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招拍挂\副中心站\20211228第三次报数\"/>
    </mc:Choice>
  </mc:AlternateContent>
  <bookViews>
    <workbookView xWindow="0" yWindow="0" windowWidth="21555" windowHeight="12900" tabRatio="875" firstSheet="37" activeTab="3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r:id="rId29"/>
    <sheet name="基准地价商务公寓" sheetId="83" r:id="rId30"/>
    <sheet name="基准地价办公" sheetId="72" r:id="rId31"/>
    <sheet name="地价" sheetId="59" r:id="rId32"/>
    <sheet name="基准地价（汇总）" sheetId="67" state="hidden" r:id="rId33"/>
    <sheet name="收益还原法" sheetId="44" state="hidden" r:id="rId34"/>
    <sheet name="酒店收入计算" sheetId="57" state="hidden" r:id="rId35"/>
    <sheet name="成本逼近法" sheetId="11" state="hidden" r:id="rId36"/>
    <sheet name="住宅案例截图及地图" sheetId="74" state="hidden" r:id="rId37"/>
    <sheet name="剩余法商业" sheetId="70" r:id="rId38"/>
    <sheet name="剩余法办公" sheetId="69" r:id="rId39"/>
    <sheet name="剩余法商务公寓" sheetId="84" r:id="rId40"/>
    <sheet name="不动产比较法-商务办公" sheetId="87" r:id="rId41"/>
    <sheet name="不动产比较法商务公寓" sheetId="21" state="hidden" r:id="rId42"/>
    <sheet name="公寓案例截图及地图 " sheetId="86" r:id="rId43"/>
    <sheet name="不动产比较法-商业" sheetId="79" r:id="rId44"/>
    <sheet name="商业案例截图及地图" sheetId="80" r:id="rId45"/>
    <sheet name="不动产比较法-办公" sheetId="81" r:id="rId46"/>
    <sheet name="办公案例截图及地图" sheetId="82" r:id="rId47"/>
    <sheet name="不动产收益法商业" sheetId="15" state="hidden" r:id="rId48"/>
    <sheet name="不动产比较法-商业租金" sheetId="33" state="hidden" r:id="rId49"/>
    <sheet name="商业租金案例截图及地图" sheetId="75" state="hidden" r:id="rId50"/>
    <sheet name="不动产收益法办公" sheetId="77" state="hidden" r:id="rId51"/>
    <sheet name="不动产比较法-办公租金" sheetId="34" state="hidden" r:id="rId52"/>
    <sheet name="办公租金案例截图及地图" sheetId="76" state="hidden" r:id="rId53"/>
    <sheet name="土地级别" sheetId="78"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s>
  <definedNames>
    <definedName name="_xlnm._FilterDatabase" localSheetId="22" hidden="1">'比较法-工业'!$A$1:$L$45</definedName>
    <definedName name="_xlnm._FilterDatabase" localSheetId="21" hidden="1">'比较法-住宅'!$A$1:$L$50</definedName>
    <definedName name="_xlnm._FilterDatabase" localSheetId="45" hidden="1">'不动产比较法-办公'!$A$1:$L$50</definedName>
    <definedName name="_xlnm._FilterDatabase" localSheetId="51"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0" hidden="1">'不动产比较法-商务办公'!$A$1:$L$50</definedName>
    <definedName name="_xlnm._FilterDatabase" localSheetId="41" hidden="1">不动产比较法商务公寓!$A$1:$L$49</definedName>
    <definedName name="_xlnm._FilterDatabase" localSheetId="43" hidden="1">'不动产比较法-商业'!$A$1:$L$49</definedName>
    <definedName name="_xlnm._FilterDatabase" localSheetId="48" hidden="1">'不动产比较法-商业租金'!$A$1:$L$49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5">'不动产比较法-办公'!$A$1:$K$55,'不动产比较法-办公'!$A$58:$M$132</definedName>
    <definedName name="_xlnm.Print_Area" localSheetId="51">'不动产比较法-办公租金'!$A$1:$K$55,'不动产比较法-办公租金'!$A$58:$M$132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0">'不动产比较法-商务办公'!$A$1:$K$55,'不动产比较法-商务办公'!$A$58:$M$132</definedName>
    <definedName name="_xlnm.Print_Area" localSheetId="41">不动产比较法商务公寓!$A$1:$K$54,不动产比较法商务公寓!$A$57:$M$131</definedName>
    <definedName name="_xlnm.Print_Area" localSheetId="43">'不动产比较法-商业'!$A$1:$K$54,'不动产比较法-商业'!$A$57:$M$131</definedName>
    <definedName name="_xlnm.Print_Area" localSheetId="48">'不动产比较法-商业租金'!$A$1:$K$54,'不动产比较法-商业租金'!$A$57:$M$131</definedName>
    <definedName name="_xlnm.Print_Area" localSheetId="50">不动产收益法办公!$A$1:$F$43,不动产收益法办公!$H$3:$M$29,不动产收益法办公!$A$46:$F$70,不动产收益法办公!$I$46:$M$60</definedName>
    <definedName name="_xlnm.Print_Area" localSheetId="47">不动产收益法商业!$A$1:$F$43,不动产收益法商业!$H$3:$M$29,不动产收益法商业!$A$46:$F$70,不动产收益法商业!$I$46:$M$60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32">'基准地价（汇总）'!$A$1:$F$14</definedName>
    <definedName name="_xlnm.Print_Area" localSheetId="30">基准地价办公!$A$1:$J$41,基准地价办公!$A$44:$N$87,基准地价办公!$R$1:$V$16</definedName>
    <definedName name="_xlnm.Print_Area" localSheetId="29">基准地价商务公寓!$A$1:$J$41,基准地价商务公寓!$A$44:$N$87,基准地价商务公寓!$R$1:$V$16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38">剩余法办公!$A$1:$K$36</definedName>
    <definedName name="_xlnm.Print_Area" localSheetId="39">剩余法商务公寓!$A$1:$K$36</definedName>
    <definedName name="_xlnm.Print_Area" localSheetId="37">剩余法商业!$A$1:$K$36</definedName>
    <definedName name="_xlnm.Print_Area" localSheetId="20">'剩余法-现房'!$A$1:$K$32</definedName>
    <definedName name="_xlnm.Print_Area" localSheetId="19">剩余法住宅!$A$1:$K$36</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53">'[1]不动产比较法-办公'!$B$119:$M$119</definedName>
    <definedName name="办公层高">'不动产比较法-办公租金'!$B$119:$M$119</definedName>
    <definedName name="办公朝向" localSheetId="53">'[1]不动产比较法-办公'!$B$91:$M$91</definedName>
    <definedName name="办公朝向">'不动产比较法-办公租金'!$B$91:$M$91</definedName>
    <definedName name="办公道路级别" localSheetId="53">'[1]不动产比较法-办公'!$B$87:$M$87</definedName>
    <definedName name="办公道路级别">'不动产比较法-办公租金'!$B$87:$M$87</definedName>
    <definedName name="办公公共部分装修" localSheetId="53">'[1]不动产比较法-办公'!$B$108:$M$108</definedName>
    <definedName name="办公公共部分装修">'不动产比较法-办公租金'!$B$108:$M$108</definedName>
    <definedName name="办公基础设施水平" localSheetId="53">'[1]不动产比较法-办公'!$B$117:$M$117</definedName>
    <definedName name="办公基础设施水平">'不动产比较法-办公租金'!$B$117:$M$117</definedName>
    <definedName name="办公集聚程度" localSheetId="53">[1]定义!$M$1:$M$6</definedName>
    <definedName name="办公集聚程度">定义!$M$1:$M$6</definedName>
    <definedName name="办公建筑结构" localSheetId="53">'[1]不动产比较法-办公'!$B$106:$M$106</definedName>
    <definedName name="办公建筑结构">'不动产比较法-办公租金'!$B$106:$M$106</definedName>
    <definedName name="办公建筑类型" localSheetId="53">'[1]不动产比较法-办公'!$B$101:$M$101</definedName>
    <definedName name="办公建筑类型">'不动产比较法-办公租金'!$B$101:$M$101</definedName>
    <definedName name="办公交易情况" localSheetId="53">'[1]不动产比较法-办公'!$A$62:$M$62</definedName>
    <definedName name="办公交易情况">'不动产比较法-办公租金'!$A$62:$M$62</definedName>
    <definedName name="办公楼层" localSheetId="53">'[1]不动产比较法-办公'!$B$89:$M$89</definedName>
    <definedName name="办公楼层">'不动产比较法-办公租金'!$B$89:$M$89</definedName>
    <definedName name="办公内部装修" localSheetId="53">'[1]不动产比较法-办公'!$B$123:$M$123</definedName>
    <definedName name="办公内部装修">'不动产比较法-办公租金'!$B$123:$M$123</definedName>
    <definedName name="办公物业管理" localSheetId="53">'[1]不动产比较法-办公'!$B$115:$M$115</definedName>
    <definedName name="办公物业管理">'不动产比较法-办公租金'!$B$115:$M$115</definedName>
    <definedName name="办公用途" localSheetId="53">'[1]不动产比较法-办公'!$B$64:$M$64</definedName>
    <definedName name="办公用途">'不动产比较法-办公租金'!$B$64:$M$64</definedName>
    <definedName name="仓储公共部分装修" localSheetId="53">'[1]不动产比较法-仓储'!$B$77:$M$77</definedName>
    <definedName name="仓储公共部分装修">'不动产比较法-仓储'!$B$77:$M$77</definedName>
    <definedName name="仓储交易情况" localSheetId="53">'[1]不动产比较法-仓储'!$A$49:$M$49</definedName>
    <definedName name="仓储交易情况">'不动产比较法-仓储'!$A$49:$M$49</definedName>
    <definedName name="仓储楼层" localSheetId="53">'[1]不动产比较法-仓储'!$B$69:$M$69</definedName>
    <definedName name="仓储楼层">'不动产比较法-仓储'!$B$69:$M$69</definedName>
    <definedName name="仓储物业等级" localSheetId="53">'[1]不动产比较法-仓储'!$B$82:$M$82</definedName>
    <definedName name="仓储物业等级">'不动产比较法-仓储'!$B$82:$M$82</definedName>
    <definedName name="仓储用途" localSheetId="53">'[1]不动产比较法-仓储'!$B$51:$M$51</definedName>
    <definedName name="仓储用途">'不动产比较法-仓储'!$B$51:$M$51</definedName>
    <definedName name="产业集聚程度" localSheetId="53">[1]定义!$N$1:$N$6</definedName>
    <definedName name="产业集聚程度">定义!$N$1:$N$6</definedName>
    <definedName name="车位公共部分装修" localSheetId="53">'[1]不动产比较法-车位'!$B$83:$M$83</definedName>
    <definedName name="车位公共部分装修">'不动产比较法-车位'!$B$83:$M$83</definedName>
    <definedName name="车位交易情况" localSheetId="53">'[1]不动产比较法-车位'!$A$51:$M$51</definedName>
    <definedName name="车位交易情况">'不动产比较法-车位'!$A$51:$M$51</definedName>
    <definedName name="车位类型" localSheetId="53">'[1]不动产比较法-车位'!$B$93:$M$93</definedName>
    <definedName name="车位类型">'不动产比较法-车位'!$B$93:$M$93</definedName>
    <definedName name="车位楼层" localSheetId="53">'[1]不动产比较法-车位'!$B$71:$M$71</definedName>
    <definedName name="车位楼层">'不动产比较法-车位'!$B$71:$M$71</definedName>
    <definedName name="车位配套类型" localSheetId="53">'[1]不动产比较法-车位'!$B$79:$M$79</definedName>
    <definedName name="车位配套类型">'不动产比较法-车位'!$B$79:$M$79</definedName>
    <definedName name="车位物业等级" localSheetId="53">'[1]不动产比较法-车位'!$B$88:$M$88</definedName>
    <definedName name="车位物业等级">'不动产比较法-车位'!$B$88:$M$88</definedName>
    <definedName name="车位用途" localSheetId="53">'[1]不动产比较法-车位'!$B$53:$M$53</definedName>
    <definedName name="车位用途">'不动产比较法-车位'!$B$53:$M$53</definedName>
    <definedName name="城镇土地纳税等级分级范围" localSheetId="53">'[1]数据-取费表'!$A$53:$A$63</definedName>
    <definedName name="城镇土地纳税等级分级范围">'数据-取费表'!$A$53:$A$63</definedName>
    <definedName name="单价内涵" localSheetId="53">[1]定义!$V$1:$V$3</definedName>
    <definedName name="单价内涵">定义!$V$1:$V$3</definedName>
    <definedName name="地类判定" localSheetId="53">[1]定义!$H$1:$H$9</definedName>
    <definedName name="地类判定">定义!$H$1:$H$9</definedName>
    <definedName name="二级">区片价!$J$1:$J$20</definedName>
    <definedName name="二级分类" localSheetId="53">[1]修正!$C$17:$C$39</definedName>
    <definedName name="二级分类">修正!$C$17:$C$39</definedName>
    <definedName name="法定最高年限" localSheetId="53">[1]定义!$G$2:$G$4</definedName>
    <definedName name="法定最高年限">定义!$G$2:$G$4</definedName>
    <definedName name="工业公共部分装修" localSheetId="53">'[1]不动产比较法-工业'!$B$95:$M$95</definedName>
    <definedName name="工业公共部分装修">'不动产比较法-工业'!$B$95:$M$95</definedName>
    <definedName name="工业基础设施水平" localSheetId="53">'[1]不动产比较法-工业'!$B$102:$M$102</definedName>
    <definedName name="工业基础设施水平">'不动产比较法-工业'!$B$102:$M$102</definedName>
    <definedName name="工业建筑结构" localSheetId="53">'[1]不动产比较法-工业'!$B$93:$M$93</definedName>
    <definedName name="工业建筑结构">'不动产比较法-工业'!$B$93:$M$93</definedName>
    <definedName name="工业建筑类型" localSheetId="53">'[1]不动产比较法-工业'!$B$88:$M$88</definedName>
    <definedName name="工业建筑类型">'不动产比较法-工业'!$B$88:$M$88</definedName>
    <definedName name="工业交易情况" localSheetId="53">'[1]不动产比较法-工业'!$A$55:$M$55</definedName>
    <definedName name="工业交易情况">'不动产比较法-工业'!$A$55:$M$55</definedName>
    <definedName name="工业内部装修" localSheetId="53">'[1]不动产比较法-工业'!$B$104:$M$104</definedName>
    <definedName name="工业内部装修">'不动产比较法-工业'!$B$104:$M$104</definedName>
    <definedName name="工业物业管理" localSheetId="53">'[1]不动产比较法-工业'!$B$100:$M$100</definedName>
    <definedName name="工业物业管理">'不动产比较法-工业'!$B$100:$M$100</definedName>
    <definedName name="工业用途" localSheetId="53">'[1]不动产比较法-工业'!$B$57:$M$57</definedName>
    <definedName name="工业用途">'不动产比较法-工业'!$B$57:$M$57</definedName>
    <definedName name="公共配套设施" localSheetId="53">[1]定义!$Q$1:$Q$6</definedName>
    <definedName name="公共配套设施">定义!$Q$1:$Q$6</definedName>
    <definedName name="估价方法" localSheetId="53">[1]定义!$B$1:$B$50</definedName>
    <definedName name="估价方法">定义!$B$1:$B$50</definedName>
    <definedName name="环境" localSheetId="53">[1]定义!$S$1:$S$6</definedName>
    <definedName name="环境">定义!$S$1:$S$6</definedName>
    <definedName name="基础设施水平" localSheetId="53">[1]定义!$R$1:$R$6</definedName>
    <definedName name="基础设施水平">定义!$R$1:$R$6</definedName>
    <definedName name="季度" localSheetId="30">基准地价办公!$N$19:$AB$19</definedName>
    <definedName name="季度" localSheetId="29">基准地价商务公寓!$N$19:$AB$19</definedName>
    <definedName name="季度" localSheetId="28">基准地价商业!$N$19:$AB$19</definedName>
    <definedName name="季度">基准地价住宅!$N$19:$AB$19</definedName>
    <definedName name="季度2014">地价!$A$2:$A$36</definedName>
    <definedName name="价值类型2" localSheetId="53">[1]定义!$B$54:$B$56</definedName>
    <definedName name="价值类型2">定义!$B$54:$B$56</definedName>
    <definedName name="交通便捷度" localSheetId="53">[1]定义!$O$1:$O$6</definedName>
    <definedName name="交通便捷度">定义!$O$1:$O$6</definedName>
    <definedName name="九级">区片价!$Q$1:$Q$46</definedName>
    <definedName name="居住社区成熟度" localSheetId="53">[1]定义!$K$1:$K$6</definedName>
    <definedName name="居住社区成熟度">定义!$K$1:$K$6</definedName>
    <definedName name="类别" localSheetId="53">[1]定义!$J$1:$J$3</definedName>
    <definedName name="类别">定义!$J$1:$J$3</definedName>
    <definedName name="临街状况" localSheetId="53">[1]定义!$T$1:$T$5</definedName>
    <definedName name="临街状况">定义!$T$1:$T$5</definedName>
    <definedName name="六级">区片价!$N$1:$N$49</definedName>
    <definedName name="内部装修维护情况" localSheetId="53">[1]定义!$U$1:$U$6</definedName>
    <definedName name="内部装修维护情况">定义!$U$1:$U$6</definedName>
    <definedName name="判定" localSheetId="53">[1]定义!$D$1:$D$4</definedName>
    <definedName name="判定">定义!$D$1:$D$4</definedName>
    <definedName name="七级">区片价!$O$1:$O$49</definedName>
    <definedName name="七通一平" localSheetId="53">[1]修正!$A$6:$A$14</definedName>
    <definedName name="七通一平">修正!$A$6:$A$14</definedName>
    <definedName name="区域土地利用方向" localSheetId="53">[1]定义!$P$1:$P$6</definedName>
    <definedName name="区域土地利用方向">定义!$P$1:$P$6</definedName>
    <definedName name="三级">区片价!$K$1:$K$21</definedName>
    <definedName name="商业层高" localSheetId="53">'[1]不动产比较法-商业'!$B$116:$M$116</definedName>
    <definedName name="商业层高">'不动产比较法-商业租金'!$B$116:$M$116</definedName>
    <definedName name="商业成新度">'不动产比较法-商业租金'!$B$109:$M$109</definedName>
    <definedName name="商业繁华度" localSheetId="53">[1]定义!$L$1:$L$6</definedName>
    <definedName name="商业繁华度">定义!$L$1:$L$6</definedName>
    <definedName name="商业公共部分装修" localSheetId="53">'[1]不动产比较法-商业'!$B$107:$M$107</definedName>
    <definedName name="商业公共部分装修">'不动产比较法-商业租金'!$B$107:$M$107</definedName>
    <definedName name="商业基础设施水平" localSheetId="53">'[1]不动产比较法-商业'!$B$112:$M$112</definedName>
    <definedName name="商业基础设施水平">'不动产比较法-商业租金'!$B$112:$M$112</definedName>
    <definedName name="商业建筑结构" localSheetId="53">'[1]不动产比较法-商业'!$B$105:$M$105</definedName>
    <definedName name="商业建筑结构">'不动产比较法-商业租金'!$B$105:$M$105</definedName>
    <definedName name="商业交易情况" localSheetId="53">'[1]不动产比较法-商业'!$A$61:$M$61</definedName>
    <definedName name="商业交易情况">'不动产比较法-商业租金'!$A$61:$M$61</definedName>
    <definedName name="商业街名称" localSheetId="53">[1]修正!$C$59:$C$119</definedName>
    <definedName name="商业街名称">修正!$C$59:$C$119</definedName>
    <definedName name="商业进深比" localSheetId="53">'[1]不动产比较法-商业'!$B$120:$M$120</definedName>
    <definedName name="商业进深比">'不动产比较法-商业租金'!$B$120:$M$120</definedName>
    <definedName name="商业类型" localSheetId="53">'[1]不动产比较法-商业'!$B$100:$M$100</definedName>
    <definedName name="商业类型">'不动产比较法-商业租金'!$B$100:$M$100</definedName>
    <definedName name="商业临街状况" localSheetId="53">'[1]不动产比较法-商业'!$B$86:$M$86</definedName>
    <definedName name="商业临街状况">'不动产比较法-商业租金'!$B$86:$M$86</definedName>
    <definedName name="商业楼层" localSheetId="53">'[1]不动产比较法-商业'!$B$92:$M$92</definedName>
    <definedName name="商业楼层">'不动产比较法-商业租金'!$B$92:$M$92</definedName>
    <definedName name="商业内部装修" localSheetId="53">'[1]不动产比较法-商业'!$B$122:$M$122</definedName>
    <definedName name="商业内部装修">'不动产比较法-商业租金'!$B$122:$M$122</definedName>
    <definedName name="商业人流量" localSheetId="53">'[1]不动产比较法-商业'!$B$90:$M$90</definedName>
    <definedName name="商业人流量">'不动产比较法-商业租金'!$B$90:$M$90</definedName>
    <definedName name="商业业态" localSheetId="53">'[1]不动产比较法-商业'!$B$114:$M$114</definedName>
    <definedName name="商业业态">'不动产比较法-商业租金'!$B$114:$M$114</definedName>
    <definedName name="商业用途" localSheetId="53">'[1]不动产比较法-商业'!$B$63:$M$63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53">'[1]不动产比较法-仓储'!$B$89:$M$89</definedName>
    <definedName name="是否封闭">'不动产比较法-仓储'!$B$89:$M$89</definedName>
    <definedName name="是否直接入户" localSheetId="53">'[1]不动产比较法-车位'!$B$95:$M$95</definedName>
    <definedName name="是否直接入户">'不动产比较法-车位'!$B$95:$M$95</definedName>
    <definedName name="四级">区片价!$L$1:$L$28</definedName>
    <definedName name="套工工程地质条件" localSheetId="53">'[1]比较法-工业'!$B$116:$M$116</definedName>
    <definedName name="套工工程地质条件">'比较法-工业'!$B$116:$M$116</definedName>
    <definedName name="套工交易情况" localSheetId="53">'[1]比较法-住宅'!$A$75:$M$75</definedName>
    <definedName name="套工交易情况">'比较法-住宅'!$A$75:$M$75</definedName>
    <definedName name="套工开发程度" localSheetId="53">'[1]比较法-工业'!$B$114:$M$114</definedName>
    <definedName name="套工开发程度">'比较法-工业'!$B$114:$M$114</definedName>
    <definedName name="套工临街等级" localSheetId="53">'[1]比较法-工业'!$B$99:$M$99</definedName>
    <definedName name="套工临街等级">'比较法-工业'!$B$99:$M$99</definedName>
    <definedName name="套工土地级别" localSheetId="53">'[1]比较法-工业'!$B$101:$M$101</definedName>
    <definedName name="套工土地级别">'比较法-工业'!$B$101:$M$101</definedName>
    <definedName name="套工用途" localSheetId="53">'[1]比较法-工业'!$B$72:$M$72</definedName>
    <definedName name="套工用途">'比较法-工业'!$B$72:$M$72</definedName>
    <definedName name="套工宗地形状" localSheetId="53">'[1]比较法-工业'!$B$112:$M$112</definedName>
    <definedName name="套工宗地形状">'比较法-工业'!$B$112:$M$112</definedName>
    <definedName name="套综道路等级" localSheetId="53">'[1]比较法-住宅'!$B$108:$M$108</definedName>
    <definedName name="套综道路等级">'比较法-住宅'!$B$108:$M$108</definedName>
    <definedName name="套综工程地质条件" localSheetId="53">'[1]比较法-住宅'!$B$127:$M$127</definedName>
    <definedName name="套综工程地质条件">'比较法-住宅'!$B$127:$M$127</definedName>
    <definedName name="套综交易情况" localSheetId="53">'[1]比较法-住宅'!$A$75:$M$75</definedName>
    <definedName name="套综交易情况">'比较法-住宅'!$A$75:$M$75</definedName>
    <definedName name="套综临街宽度及深度" localSheetId="53">'[1]比较法-住宅'!$B$123:$M$123</definedName>
    <definedName name="套综临街宽度及深度">'比较法-住宅'!$B$123:$M$123</definedName>
    <definedName name="套综土地级别" localSheetId="53">'[1]比较法-住宅'!$B$110:$M$110</definedName>
    <definedName name="套综土地级别">'比较法-住宅'!$B$110:$M$110</definedName>
    <definedName name="套综用途" localSheetId="53">'[1]比较法-住宅'!$B$77:$M$77</definedName>
    <definedName name="套综用途">'比较法-住宅'!$B$77:$M$77</definedName>
    <definedName name="套综宗地内开发程度" localSheetId="53">'[1]比较法-住宅'!$B$125:$M$125</definedName>
    <definedName name="套综宗地内开发程度">'比较法-住宅'!$B$125:$M$125</definedName>
    <definedName name="套综宗地形状" localSheetId="53">'[1]比较法-住宅'!$B$121:$M$121</definedName>
    <definedName name="套综宗地形状">'比较法-住宅'!$B$121:$M$121</definedName>
    <definedName name="土地估价师" localSheetId="53">[1]估价师及机构信息!$D$3:$D$16</definedName>
    <definedName name="土地估价师">估价师及机构信息!$D$3:$D$16</definedName>
    <definedName name="土地级别" localSheetId="53">[1]定义!$C$1:$C$14</definedName>
    <definedName name="土地级别">定义!$C$1:$C$14</definedName>
    <definedName name="土地利用方向">定义!$P$1:$P$6</definedName>
    <definedName name="土地年限区间" localSheetId="53">[1]定义!$I$1:$I$8</definedName>
    <definedName name="土地年限区间">定义!$I$1:$I$8</definedName>
    <definedName name="位置" localSheetId="53">[1]定义!$E$2:$E$4</definedName>
    <definedName name="位置">定义!$E$2:$E$4</definedName>
    <definedName name="五等判定" localSheetId="53">[1]定义!$W$1:$W$6</definedName>
    <definedName name="五等判定">定义!$W$1:$W$6</definedName>
    <definedName name="五级">区片价!$M$1:$M$35</definedName>
    <definedName name="项目类型" localSheetId="53">'[1]数据-汇总表'!$C$17:$C$26</definedName>
    <definedName name="项目类型">'数据-汇总表'!$C$17:$C$26</definedName>
    <definedName name="写字楼等级" localSheetId="53">'[1]不动产比较法-办公'!$B$113:$M$113</definedName>
    <definedName name="写字楼等级">'不动产比较法-办公租金'!$B$113:$M$113</definedName>
    <definedName name="一级">区片价!$I$1:$I$6</definedName>
    <definedName name="一修多修正项2" localSheetId="53">[1]典型户型修正!$5:$5</definedName>
    <definedName name="一修多修正项2">典型户型修正!$5:$5</definedName>
    <definedName name="一修多修正项3" localSheetId="53">[1]典型户型修正!$7:$7</definedName>
    <definedName name="一修多修正项3">典型户型修正!$7:$7</definedName>
    <definedName name="一修多修正项4" localSheetId="53">[1]典型户型修正!$9:$9</definedName>
    <definedName name="一修多修正项4">典型户型修正!$9:$9</definedName>
    <definedName name="一修多修正项5" localSheetId="53">[1]典型户型修正!$11:$11</definedName>
    <definedName name="一修多修正项5">典型户型修正!$11:$11</definedName>
    <definedName name="一修多修正项6" localSheetId="53">[1]典型户型修正!$13:$13</definedName>
    <definedName name="一修多修正项6">典型户型修正!$13:$13</definedName>
    <definedName name="一修多修正项7" localSheetId="53">[1]典型户型修正!$15:$15</definedName>
    <definedName name="一修多修正项7">典型户型修正!$15:$15</definedName>
    <definedName name="一修多修正项8" localSheetId="53">[1]典型户型修正!$17:$17</definedName>
    <definedName name="一修多修正项8">典型户型修正!$17:$17</definedName>
    <definedName name="用途类型" localSheetId="53">[1]定义!$A$1:$A$50</definedName>
    <definedName name="用途类型">定义!$A$1:$A$50</definedName>
    <definedName name="有无电梯" localSheetId="53">'[1]不动产比较法-仓储'!$B$84:$M$84</definedName>
    <definedName name="有无电梯">'不动产比较法-仓储'!$B$84:$M$84</definedName>
    <definedName name="主用途" localSheetId="53">[1]定义!$F$1:$F$10</definedName>
    <definedName name="主用途">定义!$F$1:$F$10</definedName>
    <definedName name="住宅朝向" localSheetId="53">'[1]不动产比较法-住宅'!$B$88:$M$88</definedName>
    <definedName name="住宅朝向">不动产比较法商务公寓!$B$88:$M$88</definedName>
    <definedName name="住宅房型" localSheetId="53">'[1]不动产比较法-住宅'!$B$118:$M$118</definedName>
    <definedName name="住宅房型">不动产比较法商务公寓!$B$118:$M$118</definedName>
    <definedName name="住宅公共部分装修" localSheetId="53">'[1]不动产比较法-住宅'!$B$109:$M$109</definedName>
    <definedName name="住宅公共部分装修">不动产比较法商务公寓!$B$109:$M$109</definedName>
    <definedName name="住宅基础设施水平" localSheetId="53">'[1]不动产比较法-住宅'!$B$116:$M$116</definedName>
    <definedName name="住宅基础设施水平">不动产比较法商务公寓!$B$116:$M$116</definedName>
    <definedName name="住宅建筑结构" localSheetId="53">'[1]不动产比较法-住宅'!$B$105:$M$105</definedName>
    <definedName name="住宅建筑结构">不动产比较法商务公寓!$B$105:$M$105</definedName>
    <definedName name="住宅建筑类型" localSheetId="53">'[1]不动产比较法-住宅'!$B$100:$M$100</definedName>
    <definedName name="住宅建筑类型">不动产比较法商务公寓!$B$100:$M$100</definedName>
    <definedName name="住宅建筑品质" localSheetId="53">'[1]不动产比较法-住宅'!$B$107:$M$107</definedName>
    <definedName name="住宅建筑品质">不动产比较法商务公寓!$B$107:$M$107</definedName>
    <definedName name="住宅交易情况" localSheetId="53">'[1]不动产比较法-住宅'!$A$61:$M$61</definedName>
    <definedName name="住宅交易情况">不动产比较法商务公寓!$A$61:$M$61</definedName>
    <definedName name="住宅楼层" localSheetId="53">'[1]不动产比较法-住宅'!$B$86:$M$86</definedName>
    <definedName name="住宅楼层">不动产比较法商务公寓!$B$86:$M$86</definedName>
    <definedName name="住宅内部装修" localSheetId="53">'[1]不动产比较法-住宅'!$B$122:$M$122</definedName>
    <definedName name="住宅内部装修">不动产比较法商务公寓!$B$122:$M$122</definedName>
    <definedName name="住宅物业管理" localSheetId="53">'[1]不动产比较法-住宅'!$B$114:$M$114</definedName>
    <definedName name="住宅物业管理">不动产比较法商务公寓!$B$114:$M$114</definedName>
    <definedName name="住宅用途" localSheetId="53">'[1]不动产比较法-住宅'!$B$63:$M$63</definedName>
    <definedName name="住宅用途">不动产比较法商务公寓!$B$63:$M$63</definedName>
    <definedName name="住宅主力户型面积">不动产比较法商务公寓!$B$120:$M$120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1" i="87" l="1"/>
  <c r="C8" i="70"/>
  <c r="C11" i="79"/>
  <c r="I7" i="6" l="1"/>
  <c r="B38" i="1" l="1"/>
  <c r="B37" i="1"/>
  <c r="Q8" i="1"/>
  <c r="Q7" i="1"/>
  <c r="Q6" i="1"/>
  <c r="L8" i="1"/>
  <c r="L7" i="1"/>
  <c r="L6" i="1"/>
  <c r="B20" i="1"/>
  <c r="G48" i="81" l="1"/>
  <c r="I48" i="81"/>
  <c r="G48" i="87"/>
  <c r="E48" i="87"/>
  <c r="H14" i="68" l="1"/>
  <c r="H13" i="68"/>
  <c r="I5" i="87"/>
  <c r="I48" i="87"/>
  <c r="G5" i="87"/>
  <c r="E5" i="87"/>
  <c r="B131" i="87"/>
  <c r="B129" i="87"/>
  <c r="B127" i="87"/>
  <c r="G126" i="87"/>
  <c r="E126" i="87"/>
  <c r="F126" i="87" s="1"/>
  <c r="D126" i="87"/>
  <c r="G124" i="87"/>
  <c r="H124" i="87" s="1"/>
  <c r="I124" i="87" s="1"/>
  <c r="J124" i="87" s="1"/>
  <c r="K124" i="87" s="1"/>
  <c r="L124" i="87" s="1"/>
  <c r="M124" i="87" s="1"/>
  <c r="E124" i="87"/>
  <c r="F124" i="87" s="1"/>
  <c r="D124" i="87"/>
  <c r="G120" i="87"/>
  <c r="H120" i="87" s="1"/>
  <c r="I120" i="87" s="1"/>
  <c r="J120" i="87" s="1"/>
  <c r="K120" i="87" s="1"/>
  <c r="L120" i="87" s="1"/>
  <c r="M120" i="87" s="1"/>
  <c r="E120" i="87"/>
  <c r="F120" i="87" s="1"/>
  <c r="D120" i="87"/>
  <c r="E118" i="87"/>
  <c r="F118" i="87" s="1"/>
  <c r="G118" i="87" s="1"/>
  <c r="D118" i="87"/>
  <c r="E116" i="87"/>
  <c r="F116" i="87" s="1"/>
  <c r="G116" i="87" s="1"/>
  <c r="H116" i="87" s="1"/>
  <c r="I116" i="87" s="1"/>
  <c r="J116" i="87" s="1"/>
  <c r="K116" i="87" s="1"/>
  <c r="L116" i="87" s="1"/>
  <c r="M116" i="87" s="1"/>
  <c r="D116" i="87"/>
  <c r="E114" i="87"/>
  <c r="F114" i="87" s="1"/>
  <c r="G114" i="87" s="1"/>
  <c r="H114" i="87" s="1"/>
  <c r="I114" i="87" s="1"/>
  <c r="J114" i="87" s="1"/>
  <c r="K114" i="87" s="1"/>
  <c r="L114" i="87" s="1"/>
  <c r="M114" i="87" s="1"/>
  <c r="D114" i="87"/>
  <c r="E112" i="87"/>
  <c r="F112" i="87" s="1"/>
  <c r="G112" i="87" s="1"/>
  <c r="D112" i="87"/>
  <c r="G110" i="87"/>
  <c r="F110" i="87"/>
  <c r="E110" i="87"/>
  <c r="D110" i="87"/>
  <c r="C110" i="87"/>
  <c r="F109" i="87"/>
  <c r="G109" i="87" s="1"/>
  <c r="H109" i="87" s="1"/>
  <c r="I109" i="87" s="1"/>
  <c r="J109" i="87" s="1"/>
  <c r="K109" i="87" s="1"/>
  <c r="L109" i="87" s="1"/>
  <c r="M109" i="87" s="1"/>
  <c r="D109" i="87"/>
  <c r="E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E102" i="87"/>
  <c r="F102" i="87" s="1"/>
  <c r="G102" i="87" s="1"/>
  <c r="H102" i="87" s="1"/>
  <c r="I102" i="87" s="1"/>
  <c r="J102" i="87" s="1"/>
  <c r="K102" i="87" s="1"/>
  <c r="L102" i="87" s="1"/>
  <c r="M102" i="87" s="1"/>
  <c r="D102" i="87"/>
  <c r="B99" i="87"/>
  <c r="H32" i="87" s="1"/>
  <c r="B97" i="87"/>
  <c r="B95" i="87"/>
  <c r="H30" i="87" s="1"/>
  <c r="B93" i="87"/>
  <c r="E92" i="87"/>
  <c r="F92" i="87" s="1"/>
  <c r="G92" i="87" s="1"/>
  <c r="H92" i="87" s="1"/>
  <c r="I92" i="87" s="1"/>
  <c r="J92" i="87" s="1"/>
  <c r="K92" i="87" s="1"/>
  <c r="L92" i="87" s="1"/>
  <c r="M92" i="87" s="1"/>
  <c r="D92" i="87"/>
  <c r="B91" i="87"/>
  <c r="H28" i="87" s="1"/>
  <c r="D90" i="87"/>
  <c r="E90" i="87" s="1"/>
  <c r="F90" i="87" s="1"/>
  <c r="G90" i="87" s="1"/>
  <c r="H90" i="87" s="1"/>
  <c r="I90" i="87" s="1"/>
  <c r="J90" i="87" s="1"/>
  <c r="K90" i="87" s="1"/>
  <c r="L90" i="87" s="1"/>
  <c r="M90" i="87" s="1"/>
  <c r="B89" i="87"/>
  <c r="D88" i="87"/>
  <c r="E88" i="87" s="1"/>
  <c r="F88" i="87" s="1"/>
  <c r="G88" i="87" s="1"/>
  <c r="H88" i="87" s="1"/>
  <c r="I88" i="87" s="1"/>
  <c r="J88" i="87" s="1"/>
  <c r="K88" i="87" s="1"/>
  <c r="L88" i="87" s="1"/>
  <c r="M88" i="87" s="1"/>
  <c r="E86" i="87"/>
  <c r="F86" i="87" s="1"/>
  <c r="G86" i="87" s="1"/>
  <c r="D86" i="87"/>
  <c r="D84" i="87"/>
  <c r="E84" i="87" s="1"/>
  <c r="E82" i="87"/>
  <c r="D82" i="87"/>
  <c r="D80" i="87"/>
  <c r="E80" i="87" s="1"/>
  <c r="D78" i="87"/>
  <c r="E78" i="87" s="1"/>
  <c r="H15" i="87" s="1"/>
  <c r="AB15" i="87" s="1"/>
  <c r="B75" i="87"/>
  <c r="B73" i="87"/>
  <c r="B71" i="87"/>
  <c r="D70" i="87"/>
  <c r="E70" i="87" s="1"/>
  <c r="F70" i="87" s="1"/>
  <c r="M68" i="87"/>
  <c r="L68" i="87"/>
  <c r="K68" i="87"/>
  <c r="J68" i="87"/>
  <c r="I68" i="87"/>
  <c r="H68" i="87"/>
  <c r="G68" i="87"/>
  <c r="F68" i="87"/>
  <c r="E68" i="87"/>
  <c r="D68" i="87"/>
  <c r="C68" i="87"/>
  <c r="G67" i="87"/>
  <c r="H67" i="87" s="1"/>
  <c r="I67" i="87" s="1"/>
  <c r="F67" i="87"/>
  <c r="C64" i="87"/>
  <c r="P50" i="87"/>
  <c r="P49" i="87"/>
  <c r="K49" i="87"/>
  <c r="V48" i="87"/>
  <c r="P48" i="87"/>
  <c r="AB47" i="87"/>
  <c r="U47" i="87"/>
  <c r="Q47" i="87"/>
  <c r="Z47" i="87" s="1"/>
  <c r="J47" i="87"/>
  <c r="H47" i="87"/>
  <c r="F47" i="87"/>
  <c r="Q46" i="87"/>
  <c r="Z46" i="87" s="1"/>
  <c r="H46" i="87"/>
  <c r="AB46" i="87" s="1"/>
  <c r="Q45" i="87"/>
  <c r="Z45" i="87" s="1"/>
  <c r="J45" i="87"/>
  <c r="W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AC41" i="87"/>
  <c r="W41" i="87"/>
  <c r="Q41" i="87"/>
  <c r="Z41" i="87" s="1"/>
  <c r="J41" i="87"/>
  <c r="H41" i="87"/>
  <c r="AB41" i="87" s="1"/>
  <c r="F41" i="87"/>
  <c r="AA41" i="87" s="1"/>
  <c r="AB40" i="87"/>
  <c r="U40" i="87"/>
  <c r="Q40" i="87"/>
  <c r="Z40" i="87" s="1"/>
  <c r="J40" i="87"/>
  <c r="AC40" i="87" s="1"/>
  <c r="H40" i="87"/>
  <c r="F40" i="87"/>
  <c r="AA40" i="87" s="1"/>
  <c r="Q39" i="87"/>
  <c r="Z39" i="87" s="1"/>
  <c r="J39" i="87"/>
  <c r="AC39" i="87" s="1"/>
  <c r="H39" i="87"/>
  <c r="AB39" i="87" s="1"/>
  <c r="F39" i="87"/>
  <c r="AA39" i="87" s="1"/>
  <c r="Q38" i="87"/>
  <c r="Z38" i="87" s="1"/>
  <c r="J38" i="87"/>
  <c r="AC38" i="87" s="1"/>
  <c r="H38" i="87"/>
  <c r="AB38" i="87" s="1"/>
  <c r="F38" i="87"/>
  <c r="AA38" i="87" s="1"/>
  <c r="AC37" i="87"/>
  <c r="W37" i="87"/>
  <c r="Q37" i="87"/>
  <c r="Z37" i="87" s="1"/>
  <c r="J37" i="87"/>
  <c r="F37" i="87"/>
  <c r="AA37" i="87" s="1"/>
  <c r="Q36" i="87"/>
  <c r="Z36" i="87" s="1"/>
  <c r="J36" i="87"/>
  <c r="AC36" i="87" s="1"/>
  <c r="H36" i="87"/>
  <c r="AB36" i="87" s="1"/>
  <c r="F36" i="87"/>
  <c r="AA36" i="87" s="1"/>
  <c r="AC35" i="87"/>
  <c r="W35" i="87"/>
  <c r="Q35" i="87"/>
  <c r="Z35" i="87" s="1"/>
  <c r="J35" i="87"/>
  <c r="H35" i="87"/>
  <c r="AB35" i="87" s="1"/>
  <c r="F35" i="87"/>
  <c r="AA35" i="87" s="1"/>
  <c r="Q34" i="87"/>
  <c r="Z34" i="87" s="1"/>
  <c r="H34" i="87"/>
  <c r="C34" i="87"/>
  <c r="AB33" i="87"/>
  <c r="U33" i="87"/>
  <c r="Q33" i="87"/>
  <c r="Z33" i="87" s="1"/>
  <c r="J33" i="87"/>
  <c r="AC33" i="87" s="1"/>
  <c r="H33" i="87"/>
  <c r="F33" i="87"/>
  <c r="AA33" i="87" s="1"/>
  <c r="AA32" i="87"/>
  <c r="S32" i="87"/>
  <c r="Q32" i="87"/>
  <c r="Z32" i="87" s="1"/>
  <c r="J32" i="87"/>
  <c r="F32" i="87"/>
  <c r="AB31" i="87"/>
  <c r="U31" i="87"/>
  <c r="Q31" i="87"/>
  <c r="Z31" i="87" s="1"/>
  <c r="J31" i="87"/>
  <c r="AC31" i="87" s="1"/>
  <c r="H31" i="87"/>
  <c r="F31" i="87"/>
  <c r="AA31" i="87" s="1"/>
  <c r="AA30" i="87"/>
  <c r="S30" i="87"/>
  <c r="Q30" i="87"/>
  <c r="Z30" i="87" s="1"/>
  <c r="J30" i="87"/>
  <c r="F30" i="87"/>
  <c r="AB29" i="87"/>
  <c r="U29" i="87"/>
  <c r="Q29" i="87"/>
  <c r="Z29" i="87" s="1"/>
  <c r="J29" i="87"/>
  <c r="AC29" i="87" s="1"/>
  <c r="H29" i="87"/>
  <c r="F29" i="87"/>
  <c r="AA29" i="87" s="1"/>
  <c r="AA28" i="87"/>
  <c r="S28" i="87"/>
  <c r="Q28" i="87"/>
  <c r="Z28" i="87" s="1"/>
  <c r="J28" i="87"/>
  <c r="F28" i="87"/>
  <c r="Q27" i="87"/>
  <c r="Z27" i="87" s="1"/>
  <c r="H27" i="87"/>
  <c r="U27" i="87" s="1"/>
  <c r="Q25" i="87"/>
  <c r="Z25" i="87" s="1"/>
  <c r="Q23" i="87"/>
  <c r="Z23" i="87" s="1"/>
  <c r="J23" i="87"/>
  <c r="AC23" i="87" s="1"/>
  <c r="H23" i="87"/>
  <c r="F23" i="87"/>
  <c r="AA23" i="87" s="1"/>
  <c r="C23" i="87"/>
  <c r="Q21" i="87"/>
  <c r="Z21" i="87" s="1"/>
  <c r="H21" i="87"/>
  <c r="C21" i="87"/>
  <c r="Q19" i="87"/>
  <c r="Z19" i="87" s="1"/>
  <c r="J19" i="87"/>
  <c r="AC19" i="87" s="1"/>
  <c r="H19" i="87"/>
  <c r="C19" i="87"/>
  <c r="Q17" i="87"/>
  <c r="Z17" i="87" s="1"/>
  <c r="C17" i="87"/>
  <c r="Q15" i="87"/>
  <c r="Z15" i="87" s="1"/>
  <c r="C15" i="87"/>
  <c r="AB14" i="87"/>
  <c r="Q14" i="87"/>
  <c r="Z14" i="87" s="1"/>
  <c r="H14" i="87"/>
  <c r="U14" i="87" s="1"/>
  <c r="AA13" i="87"/>
  <c r="Q13" i="87"/>
  <c r="Z13" i="87" s="1"/>
  <c r="J13" i="87"/>
  <c r="H13" i="87"/>
  <c r="AB13" i="87" s="1"/>
  <c r="F13" i="87"/>
  <c r="S13" i="87" s="1"/>
  <c r="Z12" i="87"/>
  <c r="Q12" i="87"/>
  <c r="H12" i="87"/>
  <c r="AB12" i="87" s="1"/>
  <c r="Q11" i="87"/>
  <c r="Z11" i="87" s="1"/>
  <c r="AB10" i="87"/>
  <c r="U10" i="87"/>
  <c r="Q10" i="87"/>
  <c r="Z10" i="87" s="1"/>
  <c r="J10" i="87"/>
  <c r="AC10" i="87" s="1"/>
  <c r="H10" i="87"/>
  <c r="F10" i="87"/>
  <c r="AA10" i="87" s="1"/>
  <c r="AA9" i="87"/>
  <c r="U9" i="87"/>
  <c r="Q9" i="87"/>
  <c r="Z9" i="87" s="1"/>
  <c r="J9" i="87"/>
  <c r="AC9" i="87" s="1"/>
  <c r="H9" i="87"/>
  <c r="AB9" i="87" s="1"/>
  <c r="F9" i="87"/>
  <c r="S9" i="87" s="1"/>
  <c r="J8" i="87"/>
  <c r="W8" i="87" s="1"/>
  <c r="H8" i="87"/>
  <c r="AB8" i="87" s="1"/>
  <c r="F8" i="87"/>
  <c r="S8" i="87" s="1"/>
  <c r="C7" i="87"/>
  <c r="C59" i="87" s="1"/>
  <c r="D3" i="87"/>
  <c r="C33" i="21"/>
  <c r="I47" i="21"/>
  <c r="I5" i="21"/>
  <c r="G5" i="21"/>
  <c r="G47" i="21"/>
  <c r="E47" i="21"/>
  <c r="E5" i="21"/>
  <c r="F29" i="84"/>
  <c r="F25" i="84"/>
  <c r="C25" i="84" s="1"/>
  <c r="E22" i="84"/>
  <c r="E21" i="84"/>
  <c r="F17" i="84"/>
  <c r="E16" i="84"/>
  <c r="F15" i="84"/>
  <c r="F14" i="84"/>
  <c r="K9" i="84"/>
  <c r="J9" i="84"/>
  <c r="I9" i="84"/>
  <c r="H9" i="84"/>
  <c r="G9" i="84"/>
  <c r="F9" i="84"/>
  <c r="E9" i="84"/>
  <c r="D9" i="84"/>
  <c r="C9" i="84"/>
  <c r="K1" i="84"/>
  <c r="F19" i="6"/>
  <c r="K13" i="3"/>
  <c r="E5" i="68"/>
  <c r="I5" i="68"/>
  <c r="F5" i="68"/>
  <c r="C5" i="68"/>
  <c r="B5" i="68"/>
  <c r="F33" i="84"/>
  <c r="U8" i="87" l="1"/>
  <c r="AC45" i="87"/>
  <c r="G70" i="87"/>
  <c r="H70" i="87" s="1"/>
  <c r="I70" i="87" s="1"/>
  <c r="J70" i="87" s="1"/>
  <c r="K70" i="87" s="1"/>
  <c r="L70" i="87" s="1"/>
  <c r="M70" i="87" s="1"/>
  <c r="F27" i="87"/>
  <c r="AA27" i="87" s="1"/>
  <c r="J27" i="87"/>
  <c r="AC27" i="87" s="1"/>
  <c r="H25" i="87"/>
  <c r="AB25" i="87" s="1"/>
  <c r="F84" i="87"/>
  <c r="G84" i="87" s="1"/>
  <c r="F21" i="87"/>
  <c r="AA21" i="87" s="1"/>
  <c r="J21" i="87"/>
  <c r="AC21" i="87" s="1"/>
  <c r="F25" i="87"/>
  <c r="AA25" i="87" s="1"/>
  <c r="J25" i="87"/>
  <c r="W25" i="87" s="1"/>
  <c r="F80" i="87"/>
  <c r="G80" i="87" s="1"/>
  <c r="J17" i="87"/>
  <c r="AC17" i="87" s="1"/>
  <c r="F17" i="87"/>
  <c r="AA17" i="87" s="1"/>
  <c r="H17" i="87"/>
  <c r="AB27" i="87"/>
  <c r="G55" i="87"/>
  <c r="H55" i="87" s="1"/>
  <c r="AA8" i="87"/>
  <c r="AB19" i="87"/>
  <c r="U19" i="87"/>
  <c r="AB21" i="87"/>
  <c r="U21" i="87"/>
  <c r="AB23" i="87"/>
  <c r="U23" i="87"/>
  <c r="AC30" i="87"/>
  <c r="W30" i="87"/>
  <c r="AB34" i="87"/>
  <c r="U34" i="87"/>
  <c r="U15" i="87"/>
  <c r="D59" i="87"/>
  <c r="AC8" i="87"/>
  <c r="AC13" i="87"/>
  <c r="W13" i="87"/>
  <c r="AC28" i="87"/>
  <c r="W28" i="87"/>
  <c r="AC32" i="87"/>
  <c r="W32" i="87"/>
  <c r="S39" i="87"/>
  <c r="W9" i="87"/>
  <c r="U12" i="87"/>
  <c r="J34" i="87"/>
  <c r="F34" i="87"/>
  <c r="S35" i="87"/>
  <c r="U36" i="87"/>
  <c r="S37" i="87"/>
  <c r="U38" i="87"/>
  <c r="W39" i="87"/>
  <c r="S41" i="87"/>
  <c r="U42" i="87"/>
  <c r="W43" i="87"/>
  <c r="S45" i="87"/>
  <c r="U46" i="87"/>
  <c r="J12" i="87"/>
  <c r="F12" i="87"/>
  <c r="J14" i="87"/>
  <c r="F14" i="87"/>
  <c r="F78" i="87"/>
  <c r="G78" i="87" s="1"/>
  <c r="J15" i="87"/>
  <c r="F15" i="87"/>
  <c r="J46" i="87"/>
  <c r="F46" i="87"/>
  <c r="S43" i="87"/>
  <c r="U44" i="87"/>
  <c r="AA47" i="87"/>
  <c r="S47" i="87"/>
  <c r="AC47" i="87"/>
  <c r="W47" i="87"/>
  <c r="F82" i="87"/>
  <c r="G82" i="87" s="1"/>
  <c r="F19" i="87"/>
  <c r="AB28" i="87"/>
  <c r="U28" i="87"/>
  <c r="AB30" i="87"/>
  <c r="U30" i="87"/>
  <c r="AB32" i="87"/>
  <c r="U32" i="87"/>
  <c r="H112" i="87"/>
  <c r="I112" i="87" s="1"/>
  <c r="J112" i="87" s="1"/>
  <c r="K112" i="87" s="1"/>
  <c r="L112" i="87" s="1"/>
  <c r="M112" i="87" s="1"/>
  <c r="H37" i="87"/>
  <c r="S10" i="87"/>
  <c r="W10" i="87"/>
  <c r="U13" i="87"/>
  <c r="S17" i="87"/>
  <c r="W19" i="87"/>
  <c r="S23" i="87"/>
  <c r="W23" i="87"/>
  <c r="S27" i="87"/>
  <c r="S29" i="87"/>
  <c r="W29" i="87"/>
  <c r="S31" i="87"/>
  <c r="W31" i="87"/>
  <c r="S33" i="87"/>
  <c r="W33" i="87"/>
  <c r="U35" i="87"/>
  <c r="S36" i="87"/>
  <c r="W36" i="87"/>
  <c r="S38" i="87"/>
  <c r="W38" i="87"/>
  <c r="U39" i="87"/>
  <c r="S40" i="87"/>
  <c r="W40" i="87"/>
  <c r="U41" i="87"/>
  <c r="S42" i="87"/>
  <c r="W42" i="87"/>
  <c r="U43" i="87"/>
  <c r="S44" i="87"/>
  <c r="W44" i="87"/>
  <c r="U45" i="87"/>
  <c r="E55" i="87"/>
  <c r="F55" i="87" s="1"/>
  <c r="I55" i="87"/>
  <c r="J55" i="87" s="1"/>
  <c r="R48" i="87"/>
  <c r="T48" i="87"/>
  <c r="C34" i="84"/>
  <c r="D33" i="84" s="1"/>
  <c r="F11" i="87" l="1"/>
  <c r="AA11" i="87" s="1"/>
  <c r="AC25" i="87"/>
  <c r="W21" i="87"/>
  <c r="J11" i="87"/>
  <c r="W11" i="87" s="1"/>
  <c r="H11" i="87"/>
  <c r="AC11" i="87"/>
  <c r="W27" i="87"/>
  <c r="U25" i="87"/>
  <c r="S25" i="87"/>
  <c r="S21" i="87"/>
  <c r="W17" i="87"/>
  <c r="AB17" i="87"/>
  <c r="U17" i="87"/>
  <c r="AA19" i="87"/>
  <c r="S19" i="87"/>
  <c r="AA46" i="87"/>
  <c r="S46" i="87"/>
  <c r="AA15" i="87"/>
  <c r="S15" i="87"/>
  <c r="AC14" i="87"/>
  <c r="W14" i="87"/>
  <c r="AC12" i="87"/>
  <c r="W12" i="87"/>
  <c r="AC34" i="87"/>
  <c r="W34" i="87"/>
  <c r="E59" i="87"/>
  <c r="AB37" i="87"/>
  <c r="U37" i="87"/>
  <c r="AC46" i="87"/>
  <c r="W46" i="87"/>
  <c r="AC15" i="87"/>
  <c r="W15" i="87"/>
  <c r="AA14" i="87"/>
  <c r="S14" i="87"/>
  <c r="AA12" i="87"/>
  <c r="S12" i="87"/>
  <c r="AA34" i="87"/>
  <c r="S34" i="87"/>
  <c r="S11" i="87" l="1"/>
  <c r="AB11" i="87"/>
  <c r="U11" i="87"/>
  <c r="F59" i="87"/>
  <c r="G59" i="87" l="1"/>
  <c r="H59" i="87" l="1"/>
  <c r="I59" i="87" l="1"/>
  <c r="J59" i="87" l="1"/>
  <c r="K59" i="87" l="1"/>
  <c r="L59" i="87" l="1"/>
  <c r="M59" i="87" l="1"/>
  <c r="N59" i="87" s="1"/>
  <c r="O59" i="87" s="1"/>
  <c r="H7" i="87" l="1"/>
  <c r="U7" i="87" s="1"/>
  <c r="AB7" i="87"/>
  <c r="T49" i="87" s="1"/>
  <c r="G49" i="87" s="1"/>
  <c r="J7" i="87"/>
  <c r="F7" i="87"/>
  <c r="AA7" i="87" l="1"/>
  <c r="R49" i="87" s="1"/>
  <c r="S7" i="87"/>
  <c r="G53" i="87"/>
  <c r="H53" i="87" s="1"/>
  <c r="AC7" i="87"/>
  <c r="V49" i="87" s="1"/>
  <c r="I49" i="87" s="1"/>
  <c r="W7" i="87"/>
  <c r="I53" i="87" l="1"/>
  <c r="J53" i="87" s="1"/>
  <c r="G54" i="87"/>
  <c r="H54" i="87" s="1"/>
  <c r="E49" i="87"/>
  <c r="R50" i="87"/>
  <c r="E54" i="87" l="1"/>
  <c r="F54" i="87" s="1"/>
  <c r="E53" i="87"/>
  <c r="F53" i="87" s="1"/>
  <c r="C49" i="87"/>
  <c r="C50" i="87"/>
  <c r="I54" i="87"/>
  <c r="J54" i="87" s="1"/>
  <c r="B3" i="87" l="1"/>
  <c r="C8" i="84"/>
  <c r="B2" i="87"/>
  <c r="H113" i="83"/>
  <c r="F113" i="83"/>
  <c r="L108" i="83"/>
  <c r="H108" i="83"/>
  <c r="D108" i="83"/>
  <c r="L100" i="83"/>
  <c r="H100" i="83"/>
  <c r="D100" i="83"/>
  <c r="N99" i="83"/>
  <c r="N108" i="83" s="1"/>
  <c r="M99" i="83"/>
  <c r="L99" i="83"/>
  <c r="K99" i="83"/>
  <c r="J99" i="83"/>
  <c r="J108" i="83" s="1"/>
  <c r="I99" i="83"/>
  <c r="H99" i="83"/>
  <c r="G99" i="83"/>
  <c r="F99" i="83"/>
  <c r="F108" i="83" s="1"/>
  <c r="E99" i="83"/>
  <c r="D99" i="83"/>
  <c r="C99" i="83"/>
  <c r="M87" i="83"/>
  <c r="N87" i="83" s="1"/>
  <c r="K87" i="83"/>
  <c r="J87" i="83"/>
  <c r="D87" i="83"/>
  <c r="B87" i="83"/>
  <c r="N86" i="83"/>
  <c r="M86" i="83"/>
  <c r="K86" i="83"/>
  <c r="J86" i="83" s="1"/>
  <c r="D86" i="83"/>
  <c r="N85" i="83"/>
  <c r="M85" i="83"/>
  <c r="K85" i="83"/>
  <c r="J85" i="83" s="1"/>
  <c r="D85" i="83"/>
  <c r="B85" i="83"/>
  <c r="M84" i="83"/>
  <c r="N84" i="83" s="1"/>
  <c r="K84" i="83"/>
  <c r="J84" i="83"/>
  <c r="D84" i="83"/>
  <c r="B84" i="83"/>
  <c r="N83" i="83"/>
  <c r="M83" i="83"/>
  <c r="K83" i="83"/>
  <c r="J83" i="83" s="1"/>
  <c r="D83" i="83"/>
  <c r="B83" i="83"/>
  <c r="M82" i="83"/>
  <c r="N82" i="83" s="1"/>
  <c r="K82" i="83"/>
  <c r="J82" i="83"/>
  <c r="D82" i="83"/>
  <c r="B82" i="83"/>
  <c r="N81" i="83"/>
  <c r="M81" i="83"/>
  <c r="K81" i="83"/>
  <c r="J81" i="83" s="1"/>
  <c r="D81" i="83"/>
  <c r="B81" i="83"/>
  <c r="M80" i="83"/>
  <c r="N80" i="83" s="1"/>
  <c r="K80" i="83"/>
  <c r="J80" i="83"/>
  <c r="F80" i="83"/>
  <c r="D80" i="83"/>
  <c r="B80" i="83"/>
  <c r="M77" i="83"/>
  <c r="N77" i="83" s="1"/>
  <c r="K77" i="83"/>
  <c r="J77" i="83"/>
  <c r="D77" i="83"/>
  <c r="M76" i="83"/>
  <c r="N76" i="83" s="1"/>
  <c r="K76" i="83"/>
  <c r="J76" i="83"/>
  <c r="D76" i="83"/>
  <c r="B76" i="83"/>
  <c r="N75" i="83"/>
  <c r="M75" i="83"/>
  <c r="K75" i="83"/>
  <c r="J75" i="83" s="1"/>
  <c r="H75" i="83"/>
  <c r="D75" i="83"/>
  <c r="N74" i="83"/>
  <c r="M74" i="83"/>
  <c r="K74" i="83"/>
  <c r="J74" i="83" s="1"/>
  <c r="D74" i="83"/>
  <c r="B74" i="83"/>
  <c r="M73" i="83"/>
  <c r="N73" i="83" s="1"/>
  <c r="K73" i="83"/>
  <c r="J73" i="83"/>
  <c r="D73" i="83"/>
  <c r="B73" i="83"/>
  <c r="N72" i="83"/>
  <c r="M72" i="83"/>
  <c r="K72" i="83"/>
  <c r="J72" i="83" s="1"/>
  <c r="H72" i="83"/>
  <c r="D72" i="83"/>
  <c r="B72" i="83"/>
  <c r="M71" i="83"/>
  <c r="N71" i="83" s="1"/>
  <c r="K71" i="83"/>
  <c r="J71" i="83"/>
  <c r="D71" i="83"/>
  <c r="B71" i="83"/>
  <c r="N70" i="83"/>
  <c r="M70" i="83"/>
  <c r="K70" i="83"/>
  <c r="J70" i="83" s="1"/>
  <c r="D70" i="83"/>
  <c r="B70" i="83"/>
  <c r="M69" i="83"/>
  <c r="N69" i="83" s="1"/>
  <c r="K69" i="83"/>
  <c r="J69" i="83"/>
  <c r="F69" i="83"/>
  <c r="D69" i="83"/>
  <c r="E69" i="83" s="1"/>
  <c r="B69" i="83"/>
  <c r="B67" i="83"/>
  <c r="B66" i="83"/>
  <c r="B65" i="83"/>
  <c r="B64" i="83"/>
  <c r="B62" i="83"/>
  <c r="B60" i="83"/>
  <c r="D59" i="83"/>
  <c r="B59" i="83"/>
  <c r="B58" i="83"/>
  <c r="N55" i="83"/>
  <c r="M55" i="83"/>
  <c r="K55" i="83"/>
  <c r="J55" i="83" s="1"/>
  <c r="H55" i="83"/>
  <c r="D55" i="83"/>
  <c r="B55" i="83"/>
  <c r="M54" i="83"/>
  <c r="N54" i="83" s="1"/>
  <c r="K54" i="83"/>
  <c r="J54" i="83"/>
  <c r="D54" i="83"/>
  <c r="B54" i="83"/>
  <c r="N53" i="83"/>
  <c r="M53" i="83"/>
  <c r="K53" i="83"/>
  <c r="J53" i="83" s="1"/>
  <c r="H53" i="83"/>
  <c r="D53" i="83"/>
  <c r="B53" i="83"/>
  <c r="M52" i="83"/>
  <c r="N52" i="83" s="1"/>
  <c r="K52" i="83"/>
  <c r="J52" i="83"/>
  <c r="D52" i="83"/>
  <c r="M51" i="83"/>
  <c r="N51" i="83" s="1"/>
  <c r="K51" i="83"/>
  <c r="J51" i="83"/>
  <c r="D51" i="83"/>
  <c r="B51" i="83"/>
  <c r="N50" i="83"/>
  <c r="M50" i="83"/>
  <c r="K50" i="83"/>
  <c r="J50" i="83" s="1"/>
  <c r="H50" i="83"/>
  <c r="D50" i="83"/>
  <c r="N49" i="83"/>
  <c r="M49" i="83"/>
  <c r="K49" i="83"/>
  <c r="J49" i="83" s="1"/>
  <c r="H49" i="83"/>
  <c r="D49" i="83"/>
  <c r="B49" i="83"/>
  <c r="M48" i="83"/>
  <c r="N48" i="83" s="1"/>
  <c r="K48" i="83"/>
  <c r="J48" i="83"/>
  <c r="D48" i="83"/>
  <c r="B48" i="83"/>
  <c r="N47" i="83"/>
  <c r="M47" i="83"/>
  <c r="K47" i="83"/>
  <c r="J47" i="83" s="1"/>
  <c r="H47" i="83"/>
  <c r="F47" i="83"/>
  <c r="H54" i="83" s="1"/>
  <c r="E47" i="83"/>
  <c r="B45" i="83" s="1"/>
  <c r="D47" i="83"/>
  <c r="B47" i="83"/>
  <c r="H39" i="83"/>
  <c r="H38" i="83"/>
  <c r="H37" i="83"/>
  <c r="H36" i="83"/>
  <c r="H35" i="83"/>
  <c r="H34" i="83"/>
  <c r="H33" i="83"/>
  <c r="D29" i="83"/>
  <c r="D1" i="83" s="1"/>
  <c r="J20" i="83"/>
  <c r="I20" i="83"/>
  <c r="M19" i="83"/>
  <c r="I19" i="83"/>
  <c r="G19" i="83"/>
  <c r="C19" i="83"/>
  <c r="C18" i="83"/>
  <c r="L17" i="83"/>
  <c r="H17" i="83"/>
  <c r="C17" i="83"/>
  <c r="F15" i="83"/>
  <c r="E15" i="83"/>
  <c r="D15" i="83"/>
  <c r="C15" i="83"/>
  <c r="AH12" i="83"/>
  <c r="AD12" i="83"/>
  <c r="Z12" i="83"/>
  <c r="Y12" i="83"/>
  <c r="C12" i="83"/>
  <c r="Y10" i="83"/>
  <c r="C10" i="83"/>
  <c r="C11" i="83" s="1"/>
  <c r="AJ9" i="83"/>
  <c r="AJ12" i="83" s="1"/>
  <c r="AI9" i="83"/>
  <c r="AI12" i="83" s="1"/>
  <c r="AH9" i="83"/>
  <c r="AH10" i="83" s="1"/>
  <c r="AG9" i="83"/>
  <c r="AG12" i="83" s="1"/>
  <c r="AF9" i="83"/>
  <c r="AF12" i="83" s="1"/>
  <c r="AE9" i="83"/>
  <c r="AE12" i="83" s="1"/>
  <c r="AD9" i="83"/>
  <c r="AD10" i="83" s="1"/>
  <c r="AC9" i="83"/>
  <c r="AC12" i="83" s="1"/>
  <c r="AB9" i="83"/>
  <c r="AB12" i="83" s="1"/>
  <c r="AA9" i="83"/>
  <c r="AA12" i="83" s="1"/>
  <c r="Z9" i="83"/>
  <c r="Z10" i="83" s="1"/>
  <c r="C9" i="83"/>
  <c r="X7" i="83"/>
  <c r="A7" i="83"/>
  <c r="I2" i="83"/>
  <c r="M12" i="83" s="1"/>
  <c r="G2" i="83"/>
  <c r="M1" i="83"/>
  <c r="C19" i="71"/>
  <c r="AH7" i="59"/>
  <c r="AG7" i="59"/>
  <c r="AF7" i="59"/>
  <c r="AE7" i="59"/>
  <c r="AD7" i="59"/>
  <c r="AA7" i="59"/>
  <c r="Q7" i="59"/>
  <c r="AB7" i="59" s="1"/>
  <c r="P7" i="59"/>
  <c r="O7" i="59"/>
  <c r="C7" i="59" s="1"/>
  <c r="N7" i="59"/>
  <c r="X7" i="59" s="1"/>
  <c r="F7" i="59"/>
  <c r="F6" i="59" s="1"/>
  <c r="F5" i="59" s="1"/>
  <c r="E7" i="59"/>
  <c r="B7" i="59"/>
  <c r="B6" i="59" s="1"/>
  <c r="B5" i="59" s="1"/>
  <c r="AH6" i="59"/>
  <c r="AG6" i="59"/>
  <c r="AE6" i="59"/>
  <c r="AF6" i="59" s="1"/>
  <c r="AD6" i="59"/>
  <c r="AB6" i="59"/>
  <c r="Q6" i="59"/>
  <c r="P6" i="59"/>
  <c r="AA6" i="59" s="1"/>
  <c r="O6" i="59"/>
  <c r="Y6" i="59" s="1"/>
  <c r="Z6" i="59" s="1"/>
  <c r="N6" i="59"/>
  <c r="X6" i="59" s="1"/>
  <c r="E6" i="59"/>
  <c r="E5" i="59" s="1"/>
  <c r="AH5" i="59"/>
  <c r="AG5" i="59"/>
  <c r="AF5" i="59"/>
  <c r="AE5" i="59"/>
  <c r="AD5" i="59"/>
  <c r="AA5" i="59"/>
  <c r="Q5" i="59"/>
  <c r="AB5" i="59" s="1"/>
  <c r="P5" i="59"/>
  <c r="O5" i="59"/>
  <c r="Y5" i="59" s="1"/>
  <c r="Z5" i="59" s="1"/>
  <c r="N5" i="59"/>
  <c r="X5" i="59" s="1"/>
  <c r="C10" i="84" l="1"/>
  <c r="E11" i="83"/>
  <c r="E10" i="83"/>
  <c r="E9" i="83"/>
  <c r="E8" i="83"/>
  <c r="N2" i="83"/>
  <c r="M3" i="83"/>
  <c r="N4" i="83"/>
  <c r="M5" i="83"/>
  <c r="M6" i="83"/>
  <c r="N7" i="83"/>
  <c r="N8" i="83"/>
  <c r="N9" i="83"/>
  <c r="M10" i="83"/>
  <c r="AA10" i="83"/>
  <c r="AC10" i="83"/>
  <c r="AE10" i="83"/>
  <c r="AG10" i="83"/>
  <c r="AI10" i="83"/>
  <c r="M11" i="83"/>
  <c r="N12" i="83"/>
  <c r="P25" i="83"/>
  <c r="P21" i="83"/>
  <c r="M20" i="83"/>
  <c r="O19" i="83"/>
  <c r="P23" i="83"/>
  <c r="H87" i="83"/>
  <c r="H84" i="83"/>
  <c r="H82" i="83"/>
  <c r="H80" i="83"/>
  <c r="H81" i="83"/>
  <c r="H85" i="83"/>
  <c r="C108" i="83"/>
  <c r="C100" i="83"/>
  <c r="E108" i="83"/>
  <c r="E100" i="83"/>
  <c r="G108" i="83"/>
  <c r="G100" i="83"/>
  <c r="I108" i="83"/>
  <c r="I100" i="83"/>
  <c r="K108" i="83"/>
  <c r="K100" i="83"/>
  <c r="M108" i="83"/>
  <c r="M100" i="83"/>
  <c r="N1" i="83"/>
  <c r="F39" i="83"/>
  <c r="F38" i="83"/>
  <c r="F37" i="83"/>
  <c r="F36" i="83"/>
  <c r="F35" i="83"/>
  <c r="F34" i="83"/>
  <c r="F33" i="83"/>
  <c r="O17" i="83"/>
  <c r="M17" i="83"/>
  <c r="K17" i="83"/>
  <c r="I17" i="83"/>
  <c r="D17" i="83"/>
  <c r="M2" i="83"/>
  <c r="N3" i="83"/>
  <c r="M4" i="83"/>
  <c r="N5" i="83"/>
  <c r="C6" i="83"/>
  <c r="N6" i="83"/>
  <c r="F58" i="83" s="1"/>
  <c r="M7" i="83"/>
  <c r="M8" i="83"/>
  <c r="M9" i="83"/>
  <c r="N10" i="83"/>
  <c r="AB10" i="83"/>
  <c r="AF10" i="83"/>
  <c r="AJ10" i="83"/>
  <c r="N11" i="83"/>
  <c r="E17" i="83"/>
  <c r="J17" i="83"/>
  <c r="N17" i="83"/>
  <c r="P22" i="83"/>
  <c r="P24" i="83"/>
  <c r="H77" i="83"/>
  <c r="H76" i="83"/>
  <c r="H73" i="83"/>
  <c r="H71" i="83"/>
  <c r="H69" i="83"/>
  <c r="H70" i="83"/>
  <c r="H74" i="83"/>
  <c r="E80" i="83"/>
  <c r="B78" i="83" s="1"/>
  <c r="H83" i="83"/>
  <c r="H86" i="83"/>
  <c r="H48" i="83"/>
  <c r="H51" i="83"/>
  <c r="H52" i="83"/>
  <c r="F100" i="83"/>
  <c r="J100" i="83"/>
  <c r="N100" i="83"/>
  <c r="D7" i="59"/>
  <c r="C6" i="59"/>
  <c r="Y7" i="59"/>
  <c r="Z7" i="59" s="1"/>
  <c r="G17" i="83" l="1"/>
  <c r="C16" i="83" s="1"/>
  <c r="C5" i="83" s="1"/>
  <c r="H66" i="83"/>
  <c r="G66" i="83" s="1"/>
  <c r="H65" i="83"/>
  <c r="G65" i="83" s="1"/>
  <c r="H64" i="83"/>
  <c r="G64" i="83" s="1"/>
  <c r="H63" i="83"/>
  <c r="G63" i="83" s="1"/>
  <c r="H60" i="83"/>
  <c r="G60" i="83" s="1"/>
  <c r="H59" i="83"/>
  <c r="G59" i="83" s="1"/>
  <c r="H58" i="83"/>
  <c r="G58" i="83" s="1"/>
  <c r="H61" i="83"/>
  <c r="G61" i="83" s="1"/>
  <c r="H62" i="83"/>
  <c r="G62" i="83" s="1"/>
  <c r="C7" i="83"/>
  <c r="D6" i="59"/>
  <c r="C5" i="59"/>
  <c r="D5" i="59" s="1"/>
  <c r="D5" i="83" l="1"/>
  <c r="M62" i="83"/>
  <c r="N62" i="83" s="1"/>
  <c r="K62" i="83"/>
  <c r="K58" i="83"/>
  <c r="M58" i="83"/>
  <c r="N58" i="83" s="1"/>
  <c r="K60" i="83"/>
  <c r="M60" i="83"/>
  <c r="N60" i="83" s="1"/>
  <c r="K64" i="83"/>
  <c r="M64" i="83"/>
  <c r="N64" i="83" s="1"/>
  <c r="K66" i="83"/>
  <c r="J66" i="83" s="1"/>
  <c r="D66" i="83" s="1"/>
  <c r="M66" i="83"/>
  <c r="N66" i="83" s="1"/>
  <c r="M61" i="83"/>
  <c r="N61" i="83" s="1"/>
  <c r="K61" i="83"/>
  <c r="K59" i="83"/>
  <c r="J59" i="83" s="1"/>
  <c r="M59" i="83"/>
  <c r="N59" i="83" s="1"/>
  <c r="K63" i="83"/>
  <c r="M63" i="83"/>
  <c r="N63" i="83" s="1"/>
  <c r="K65" i="83"/>
  <c r="J65" i="83" s="1"/>
  <c r="D65" i="83" s="1"/>
  <c r="M65" i="83"/>
  <c r="N65" i="83" s="1"/>
  <c r="J61" i="83" l="1"/>
  <c r="D61" i="83"/>
  <c r="D64" i="83"/>
  <c r="J64" i="83"/>
  <c r="D60" i="83"/>
  <c r="J60" i="83"/>
  <c r="D58" i="83"/>
  <c r="J58" i="83"/>
  <c r="D63" i="83"/>
  <c r="J63" i="83"/>
  <c r="J62" i="83"/>
  <c r="D62" i="83"/>
  <c r="E58" i="83" l="1"/>
  <c r="B56" i="83" s="1"/>
  <c r="C24" i="83" s="1"/>
  <c r="B131" i="81" l="1"/>
  <c r="B129" i="81"/>
  <c r="B127" i="81"/>
  <c r="D126" i="81"/>
  <c r="E126" i="81" s="1"/>
  <c r="F126" i="81" s="1"/>
  <c r="G126" i="81" s="1"/>
  <c r="J124" i="81"/>
  <c r="K124" i="81" s="1"/>
  <c r="L124" i="81" s="1"/>
  <c r="M124" i="81" s="1"/>
  <c r="F124" i="81"/>
  <c r="G124" i="81" s="1"/>
  <c r="H124" i="81" s="1"/>
  <c r="I124" i="81" s="1"/>
  <c r="D124" i="81"/>
  <c r="E124" i="81" s="1"/>
  <c r="H120" i="81"/>
  <c r="I120" i="81" s="1"/>
  <c r="J120" i="81" s="1"/>
  <c r="K120" i="81" s="1"/>
  <c r="L120" i="81" s="1"/>
  <c r="M120" i="81" s="1"/>
  <c r="D120" i="81"/>
  <c r="E120" i="81" s="1"/>
  <c r="F120" i="81" s="1"/>
  <c r="G120" i="81" s="1"/>
  <c r="D118" i="81"/>
  <c r="E118" i="81" s="1"/>
  <c r="F118" i="81" s="1"/>
  <c r="G118" i="81" s="1"/>
  <c r="F116" i="81"/>
  <c r="G116" i="81" s="1"/>
  <c r="H116" i="81" s="1"/>
  <c r="I116" i="81" s="1"/>
  <c r="J116" i="81" s="1"/>
  <c r="K116" i="81" s="1"/>
  <c r="L116" i="81" s="1"/>
  <c r="M116" i="81" s="1"/>
  <c r="D116" i="81"/>
  <c r="E116" i="81" s="1"/>
  <c r="L114" i="81"/>
  <c r="M114" i="81" s="1"/>
  <c r="D114" i="81"/>
  <c r="E114" i="81" s="1"/>
  <c r="F114" i="81" s="1"/>
  <c r="G114" i="81" s="1"/>
  <c r="H114" i="81" s="1"/>
  <c r="I114" i="81" s="1"/>
  <c r="J114" i="81" s="1"/>
  <c r="K114" i="81" s="1"/>
  <c r="F112" i="81"/>
  <c r="D112" i="81"/>
  <c r="E112" i="81" s="1"/>
  <c r="G110" i="81"/>
  <c r="F110" i="81"/>
  <c r="E110" i="81"/>
  <c r="D110" i="81"/>
  <c r="C110" i="81"/>
  <c r="G109" i="81"/>
  <c r="H109" i="81" s="1"/>
  <c r="I109" i="81" s="1"/>
  <c r="J109" i="81" s="1"/>
  <c r="K109" i="81" s="1"/>
  <c r="L109" i="81" s="1"/>
  <c r="M109" i="81" s="1"/>
  <c r="E109" i="81"/>
  <c r="F109" i="81" s="1"/>
  <c r="D109" i="81"/>
  <c r="G107" i="81"/>
  <c r="H107" i="81" s="1"/>
  <c r="I107" i="81" s="1"/>
  <c r="J107" i="81" s="1"/>
  <c r="K107" i="81" s="1"/>
  <c r="L107" i="81" s="1"/>
  <c r="M107" i="81" s="1"/>
  <c r="E107" i="81"/>
  <c r="F107" i="81" s="1"/>
  <c r="D107" i="81"/>
  <c r="M103" i="81"/>
  <c r="L103" i="81"/>
  <c r="K103" i="81"/>
  <c r="J103" i="81"/>
  <c r="I103" i="81"/>
  <c r="H103" i="81"/>
  <c r="G103" i="81"/>
  <c r="F103" i="81"/>
  <c r="E103" i="81"/>
  <c r="D103" i="81"/>
  <c r="C103" i="81"/>
  <c r="L102" i="81"/>
  <c r="M102" i="81" s="1"/>
  <c r="D102" i="81"/>
  <c r="E102" i="81" s="1"/>
  <c r="F102" i="81" s="1"/>
  <c r="G102" i="81" s="1"/>
  <c r="H102" i="81" s="1"/>
  <c r="I102" i="81" s="1"/>
  <c r="J102" i="81" s="1"/>
  <c r="K102" i="81" s="1"/>
  <c r="B99" i="81"/>
  <c r="B97" i="81"/>
  <c r="B95" i="81"/>
  <c r="B93" i="81"/>
  <c r="F92" i="81"/>
  <c r="G92" i="81" s="1"/>
  <c r="H92" i="81" s="1"/>
  <c r="I92" i="81" s="1"/>
  <c r="J92" i="81" s="1"/>
  <c r="K92" i="81" s="1"/>
  <c r="L92" i="81" s="1"/>
  <c r="M92" i="81" s="1"/>
  <c r="D92" i="81"/>
  <c r="E92" i="81" s="1"/>
  <c r="B91" i="81"/>
  <c r="G90" i="81"/>
  <c r="H90" i="81" s="1"/>
  <c r="I90" i="81" s="1"/>
  <c r="J90" i="81" s="1"/>
  <c r="K90" i="81" s="1"/>
  <c r="L90" i="81" s="1"/>
  <c r="M90" i="81" s="1"/>
  <c r="E90" i="81"/>
  <c r="F90" i="81" s="1"/>
  <c r="D90" i="81"/>
  <c r="B89" i="81"/>
  <c r="D88" i="81"/>
  <c r="D86" i="81"/>
  <c r="D84" i="81"/>
  <c r="D82" i="81"/>
  <c r="D80" i="81"/>
  <c r="D78" i="81"/>
  <c r="E78" i="81" s="1"/>
  <c r="B75" i="81"/>
  <c r="B73" i="81"/>
  <c r="B71" i="81"/>
  <c r="I70" i="81"/>
  <c r="J70" i="81" s="1"/>
  <c r="K70" i="81" s="1"/>
  <c r="L70" i="81" s="1"/>
  <c r="M70" i="81" s="1"/>
  <c r="E70" i="81"/>
  <c r="F70" i="81" s="1"/>
  <c r="G70" i="81" s="1"/>
  <c r="H70" i="81" s="1"/>
  <c r="D70" i="81"/>
  <c r="M68" i="81"/>
  <c r="L68" i="81"/>
  <c r="K68" i="81"/>
  <c r="J68" i="81"/>
  <c r="I68" i="81"/>
  <c r="H68" i="81"/>
  <c r="G68" i="81"/>
  <c r="F68" i="81"/>
  <c r="E68" i="81"/>
  <c r="D68" i="81"/>
  <c r="C68" i="81"/>
  <c r="F67" i="81"/>
  <c r="G67" i="81" s="1"/>
  <c r="H67" i="81" s="1"/>
  <c r="I67" i="81" s="1"/>
  <c r="C64" i="81"/>
  <c r="P50" i="81"/>
  <c r="P49" i="81"/>
  <c r="K49" i="81"/>
  <c r="P48" i="81"/>
  <c r="E48" i="81"/>
  <c r="Z47" i="81"/>
  <c r="Q47" i="81"/>
  <c r="AC46" i="81"/>
  <c r="W46" i="81"/>
  <c r="Q46" i="81"/>
  <c r="Z46" i="81" s="1"/>
  <c r="J46" i="81"/>
  <c r="H46" i="81"/>
  <c r="AB46" i="81" s="1"/>
  <c r="F46" i="81"/>
  <c r="AA46" i="81" s="1"/>
  <c r="Q45" i="81"/>
  <c r="Z45" i="81" s="1"/>
  <c r="AA44" i="81"/>
  <c r="Q44" i="81"/>
  <c r="Z44" i="81" s="1"/>
  <c r="J44" i="81"/>
  <c r="H44" i="81"/>
  <c r="AB44" i="81" s="1"/>
  <c r="F44" i="81"/>
  <c r="S44" i="81" s="1"/>
  <c r="Z43" i="81"/>
  <c r="Q43" i="81"/>
  <c r="J43" i="81"/>
  <c r="AC43" i="81" s="1"/>
  <c r="H43" i="81"/>
  <c r="F43" i="81"/>
  <c r="AA43" i="81" s="1"/>
  <c r="AC42" i="81"/>
  <c r="W42" i="81"/>
  <c r="Q42" i="81"/>
  <c r="Z42" i="81" s="1"/>
  <c r="J42" i="81"/>
  <c r="H42" i="81"/>
  <c r="AB42" i="81" s="1"/>
  <c r="F42" i="81"/>
  <c r="AA42" i="81" s="1"/>
  <c r="AB41" i="81"/>
  <c r="U41" i="81"/>
  <c r="Q41" i="81"/>
  <c r="Z41" i="81" s="1"/>
  <c r="J41" i="81"/>
  <c r="AC41" i="81" s="1"/>
  <c r="H41" i="81"/>
  <c r="F41" i="81"/>
  <c r="AA41" i="81" s="1"/>
  <c r="Q40" i="81"/>
  <c r="Z40" i="81" s="1"/>
  <c r="J40" i="81"/>
  <c r="H40" i="81"/>
  <c r="AB40" i="81" s="1"/>
  <c r="F40" i="81"/>
  <c r="AA40" i="81" s="1"/>
  <c r="Q39" i="81"/>
  <c r="Z39" i="81" s="1"/>
  <c r="J39" i="81"/>
  <c r="AC39" i="81" s="1"/>
  <c r="H39" i="81"/>
  <c r="F39" i="81"/>
  <c r="AA39" i="81" s="1"/>
  <c r="AC38" i="81"/>
  <c r="W38" i="81"/>
  <c r="Q38" i="81"/>
  <c r="Z38" i="81" s="1"/>
  <c r="J38" i="81"/>
  <c r="H38" i="81"/>
  <c r="AB38" i="81" s="1"/>
  <c r="F38" i="81"/>
  <c r="AA38" i="81" s="1"/>
  <c r="Q37" i="81"/>
  <c r="Z37" i="81" s="1"/>
  <c r="AA36" i="81"/>
  <c r="Q36" i="81"/>
  <c r="Z36" i="81" s="1"/>
  <c r="J36" i="81"/>
  <c r="H36" i="81"/>
  <c r="AB36" i="81" s="1"/>
  <c r="F36" i="81"/>
  <c r="S36" i="81" s="1"/>
  <c r="Z35" i="81"/>
  <c r="Q35" i="81"/>
  <c r="J35" i="81"/>
  <c r="AC35" i="81" s="1"/>
  <c r="H35" i="81"/>
  <c r="F35" i="81"/>
  <c r="AA35" i="81" s="1"/>
  <c r="Q34" i="81"/>
  <c r="Z34" i="81" s="1"/>
  <c r="Q33" i="81"/>
  <c r="Z33" i="81" s="1"/>
  <c r="J33" i="81"/>
  <c r="H33" i="81"/>
  <c r="AB33" i="81" s="1"/>
  <c r="F33" i="81"/>
  <c r="AA33" i="81" s="1"/>
  <c r="Q32" i="81"/>
  <c r="Z32" i="81" s="1"/>
  <c r="J32" i="81"/>
  <c r="AC32" i="81" s="1"/>
  <c r="H32" i="81"/>
  <c r="F32" i="81"/>
  <c r="AA32" i="81" s="1"/>
  <c r="Q31" i="81"/>
  <c r="Z31" i="81" s="1"/>
  <c r="F31" i="81"/>
  <c r="Z30" i="81"/>
  <c r="Q30" i="81"/>
  <c r="J30" i="81"/>
  <c r="AC30" i="81" s="1"/>
  <c r="H30" i="81"/>
  <c r="F30" i="81"/>
  <c r="AA30" i="81" s="1"/>
  <c r="Q29" i="81"/>
  <c r="Z29" i="81" s="1"/>
  <c r="F29" i="81"/>
  <c r="Q28" i="81"/>
  <c r="Z28" i="81" s="1"/>
  <c r="J28" i="81"/>
  <c r="AC28" i="81" s="1"/>
  <c r="H28" i="81"/>
  <c r="F28" i="81"/>
  <c r="AA28" i="81" s="1"/>
  <c r="AC27" i="81"/>
  <c r="W27" i="81"/>
  <c r="Q27" i="81"/>
  <c r="Z27" i="81" s="1"/>
  <c r="J27" i="81"/>
  <c r="H27" i="81"/>
  <c r="AB27" i="81" s="1"/>
  <c r="F27" i="81"/>
  <c r="AA27" i="81" s="1"/>
  <c r="Q25" i="81"/>
  <c r="Z25" i="81" s="1"/>
  <c r="Q23" i="81"/>
  <c r="Z23" i="81" s="1"/>
  <c r="C23" i="81"/>
  <c r="Q21" i="81"/>
  <c r="Z21" i="81" s="1"/>
  <c r="C21" i="81"/>
  <c r="Q19" i="81"/>
  <c r="Z19" i="81" s="1"/>
  <c r="C19" i="81"/>
  <c r="Q17" i="81"/>
  <c r="Z17" i="81" s="1"/>
  <c r="C17" i="81"/>
  <c r="Q15" i="81"/>
  <c r="Z15" i="81" s="1"/>
  <c r="C15" i="81"/>
  <c r="Q14" i="81"/>
  <c r="Z14" i="81" s="1"/>
  <c r="J14" i="81"/>
  <c r="H14" i="81"/>
  <c r="AB14" i="81" s="1"/>
  <c r="F14" i="81"/>
  <c r="AA14" i="81" s="1"/>
  <c r="Q13" i="81"/>
  <c r="Z13" i="81" s="1"/>
  <c r="H13" i="81"/>
  <c r="AB13" i="81" s="1"/>
  <c r="AC12" i="81"/>
  <c r="W12" i="81"/>
  <c r="Q12" i="81"/>
  <c r="Z12" i="81" s="1"/>
  <c r="J12" i="81"/>
  <c r="H12" i="81"/>
  <c r="AB12" i="81" s="1"/>
  <c r="F12" i="81"/>
  <c r="AA12" i="81" s="1"/>
  <c r="Q11" i="81"/>
  <c r="Z11" i="81" s="1"/>
  <c r="J11" i="81"/>
  <c r="H11" i="81"/>
  <c r="U11" i="81" s="1"/>
  <c r="F11" i="81"/>
  <c r="AA11" i="81" s="1"/>
  <c r="Q10" i="81"/>
  <c r="Z10" i="81" s="1"/>
  <c r="J10" i="81"/>
  <c r="AC10" i="81" s="1"/>
  <c r="H10" i="81"/>
  <c r="AB10" i="81" s="1"/>
  <c r="F10" i="81"/>
  <c r="AA10" i="81" s="1"/>
  <c r="AB9" i="81"/>
  <c r="U9" i="81"/>
  <c r="Q9" i="81"/>
  <c r="Z9" i="81" s="1"/>
  <c r="J9" i="81"/>
  <c r="AC9" i="81" s="1"/>
  <c r="H9" i="81"/>
  <c r="F9" i="81"/>
  <c r="AA9" i="81" s="1"/>
  <c r="J8" i="81"/>
  <c r="W8" i="81" s="1"/>
  <c r="H8" i="81"/>
  <c r="AB8" i="81" s="1"/>
  <c r="F8" i="81"/>
  <c r="S8" i="81" s="1"/>
  <c r="C7" i="81"/>
  <c r="C59" i="81" s="1"/>
  <c r="I5" i="81"/>
  <c r="E5" i="81"/>
  <c r="B130" i="79"/>
  <c r="H46" i="79" s="1"/>
  <c r="B128" i="79"/>
  <c r="B126" i="79"/>
  <c r="H44" i="79" s="1"/>
  <c r="D125" i="79"/>
  <c r="E125" i="79" s="1"/>
  <c r="F125" i="79" s="1"/>
  <c r="G125" i="79" s="1"/>
  <c r="F123" i="79"/>
  <c r="G123" i="79" s="1"/>
  <c r="H123" i="79" s="1"/>
  <c r="I123" i="79" s="1"/>
  <c r="J123" i="79" s="1"/>
  <c r="K123" i="79" s="1"/>
  <c r="L123" i="79" s="1"/>
  <c r="M123" i="79" s="1"/>
  <c r="D123" i="79"/>
  <c r="E123" i="79" s="1"/>
  <c r="D121" i="79"/>
  <c r="E121" i="79" s="1"/>
  <c r="F121" i="79" s="1"/>
  <c r="G121" i="79" s="1"/>
  <c r="H121" i="79" s="1"/>
  <c r="I121" i="79" s="1"/>
  <c r="J121" i="79" s="1"/>
  <c r="K121" i="79" s="1"/>
  <c r="L121" i="79" s="1"/>
  <c r="M121" i="79" s="1"/>
  <c r="D117" i="79"/>
  <c r="E117" i="79" s="1"/>
  <c r="F117" i="79" s="1"/>
  <c r="G117" i="79" s="1"/>
  <c r="F115" i="79"/>
  <c r="G115" i="79" s="1"/>
  <c r="H115" i="79" s="1"/>
  <c r="I115" i="79" s="1"/>
  <c r="J115" i="79" s="1"/>
  <c r="K115" i="79" s="1"/>
  <c r="L115" i="79" s="1"/>
  <c r="M115" i="79" s="1"/>
  <c r="D115" i="79"/>
  <c r="E115" i="79" s="1"/>
  <c r="D113" i="79"/>
  <c r="E113" i="79" s="1"/>
  <c r="F113" i="79" s="1"/>
  <c r="G113" i="79" s="1"/>
  <c r="H113" i="79" s="1"/>
  <c r="I113" i="79" s="1"/>
  <c r="J113" i="79" s="1"/>
  <c r="K113" i="79" s="1"/>
  <c r="L113" i="79" s="1"/>
  <c r="M113" i="79" s="1"/>
  <c r="D111" i="79"/>
  <c r="E111" i="79" s="1"/>
  <c r="F111" i="79" s="1"/>
  <c r="G109" i="79"/>
  <c r="F109" i="79"/>
  <c r="E109" i="79"/>
  <c r="D109" i="79"/>
  <c r="C109" i="79"/>
  <c r="G108" i="79"/>
  <c r="H108" i="79" s="1"/>
  <c r="I108" i="79" s="1"/>
  <c r="J108" i="79" s="1"/>
  <c r="K108" i="79" s="1"/>
  <c r="L108" i="79" s="1"/>
  <c r="M108" i="79" s="1"/>
  <c r="E108" i="79"/>
  <c r="F108" i="79" s="1"/>
  <c r="D108" i="79"/>
  <c r="G106" i="79"/>
  <c r="H106" i="79" s="1"/>
  <c r="I106" i="79" s="1"/>
  <c r="J106" i="79" s="1"/>
  <c r="K106" i="79" s="1"/>
  <c r="L106" i="79" s="1"/>
  <c r="M106" i="79" s="1"/>
  <c r="E106" i="79"/>
  <c r="F106" i="79" s="1"/>
  <c r="D106" i="79"/>
  <c r="M102" i="79"/>
  <c r="L102" i="79"/>
  <c r="K102" i="79"/>
  <c r="J102" i="79"/>
  <c r="I102" i="79"/>
  <c r="H102" i="79"/>
  <c r="G102" i="79"/>
  <c r="F102" i="79"/>
  <c r="E102" i="79"/>
  <c r="D102" i="79"/>
  <c r="C102" i="79"/>
  <c r="D101" i="79"/>
  <c r="B98" i="79"/>
  <c r="B96" i="79"/>
  <c r="B94" i="79"/>
  <c r="B92" i="79"/>
  <c r="F91" i="79"/>
  <c r="G91" i="79" s="1"/>
  <c r="H91" i="79" s="1"/>
  <c r="I91" i="79" s="1"/>
  <c r="J91" i="79" s="1"/>
  <c r="K91" i="79" s="1"/>
  <c r="L91" i="79" s="1"/>
  <c r="M91" i="79" s="1"/>
  <c r="D91" i="79"/>
  <c r="E91" i="79" s="1"/>
  <c r="B90" i="79"/>
  <c r="B88" i="79"/>
  <c r="D87" i="79"/>
  <c r="D85" i="79"/>
  <c r="E85" i="79" s="1"/>
  <c r="D83" i="79"/>
  <c r="E83" i="79" s="1"/>
  <c r="D81" i="79"/>
  <c r="D79" i="79"/>
  <c r="D77" i="79"/>
  <c r="E77" i="79" s="1"/>
  <c r="B74" i="79"/>
  <c r="B72" i="79"/>
  <c r="H13" i="79" s="1"/>
  <c r="B70" i="79"/>
  <c r="E69" i="79"/>
  <c r="F69" i="79" s="1"/>
  <c r="G69" i="79" s="1"/>
  <c r="H69" i="79" s="1"/>
  <c r="I69" i="79" s="1"/>
  <c r="J69" i="79" s="1"/>
  <c r="K69" i="79" s="1"/>
  <c r="L69" i="79" s="1"/>
  <c r="M69" i="79" s="1"/>
  <c r="D69" i="79"/>
  <c r="M67" i="79"/>
  <c r="L67" i="79"/>
  <c r="K67" i="79"/>
  <c r="J67" i="79"/>
  <c r="I67" i="79"/>
  <c r="H67" i="79"/>
  <c r="G67" i="79"/>
  <c r="F67" i="79"/>
  <c r="E67" i="79"/>
  <c r="D67" i="79"/>
  <c r="C67" i="79"/>
  <c r="H66" i="79"/>
  <c r="I66" i="79" s="1"/>
  <c r="G66" i="79"/>
  <c r="C63" i="79"/>
  <c r="H9" i="79" s="1"/>
  <c r="P49" i="79"/>
  <c r="P48" i="79"/>
  <c r="K48" i="79"/>
  <c r="R47" i="79"/>
  <c r="P47" i="79"/>
  <c r="I47" i="79"/>
  <c r="G47" i="79"/>
  <c r="Q46" i="79"/>
  <c r="Z46" i="79" s="1"/>
  <c r="F46" i="79"/>
  <c r="AA46" i="79" s="1"/>
  <c r="Q45" i="79"/>
  <c r="Z45" i="79" s="1"/>
  <c r="J45" i="79"/>
  <c r="AC45" i="79" s="1"/>
  <c r="H45" i="79"/>
  <c r="AB45" i="79" s="1"/>
  <c r="F45" i="79"/>
  <c r="AA45" i="79" s="1"/>
  <c r="Q44" i="79"/>
  <c r="Z44" i="79" s="1"/>
  <c r="F44" i="79"/>
  <c r="AA44" i="79" s="1"/>
  <c r="Q43" i="79"/>
  <c r="Z43" i="79" s="1"/>
  <c r="J43" i="79"/>
  <c r="AC43" i="79" s="1"/>
  <c r="H43" i="79"/>
  <c r="AB43" i="79" s="1"/>
  <c r="F43" i="79"/>
  <c r="AA43" i="79" s="1"/>
  <c r="AC42" i="79"/>
  <c r="W42" i="79"/>
  <c r="Q42" i="79"/>
  <c r="Z42" i="79" s="1"/>
  <c r="J42" i="79"/>
  <c r="H42" i="79"/>
  <c r="AB42" i="79" s="1"/>
  <c r="F42" i="79"/>
  <c r="AA42" i="79" s="1"/>
  <c r="AB41" i="79"/>
  <c r="U41" i="79"/>
  <c r="Q41" i="79"/>
  <c r="Z41" i="79" s="1"/>
  <c r="J41" i="79"/>
  <c r="AC41" i="79" s="1"/>
  <c r="H41" i="79"/>
  <c r="F41" i="79"/>
  <c r="AA41" i="79" s="1"/>
  <c r="Q40" i="79"/>
  <c r="Z40" i="79" s="1"/>
  <c r="J40" i="79"/>
  <c r="AC40" i="79" s="1"/>
  <c r="H40" i="79"/>
  <c r="AB40" i="79" s="1"/>
  <c r="F40" i="79"/>
  <c r="AA40" i="79" s="1"/>
  <c r="Q39" i="79"/>
  <c r="Z39" i="79" s="1"/>
  <c r="J39" i="79"/>
  <c r="AC39" i="79" s="1"/>
  <c r="H39" i="79"/>
  <c r="AB39" i="79" s="1"/>
  <c r="F39" i="79"/>
  <c r="AA39" i="79" s="1"/>
  <c r="AC38" i="79"/>
  <c r="W38" i="79"/>
  <c r="Q38" i="79"/>
  <c r="Z38" i="79" s="1"/>
  <c r="J38" i="79"/>
  <c r="H38" i="79"/>
  <c r="AB38" i="79" s="1"/>
  <c r="F38" i="79"/>
  <c r="AA38" i="79" s="1"/>
  <c r="AB37" i="79"/>
  <c r="U37" i="79"/>
  <c r="Q37" i="79"/>
  <c r="Z37" i="79" s="1"/>
  <c r="J37" i="79"/>
  <c r="AC37" i="79" s="1"/>
  <c r="H37" i="79"/>
  <c r="F37" i="79"/>
  <c r="AA37" i="79" s="1"/>
  <c r="Q36" i="79"/>
  <c r="Z36" i="79" s="1"/>
  <c r="AB35" i="79"/>
  <c r="U35" i="79"/>
  <c r="Q35" i="79"/>
  <c r="Z35" i="79" s="1"/>
  <c r="J35" i="79"/>
  <c r="AC35" i="79" s="1"/>
  <c r="H35" i="79"/>
  <c r="F35" i="79"/>
  <c r="AA35" i="79" s="1"/>
  <c r="Q34" i="79"/>
  <c r="Z34" i="79" s="1"/>
  <c r="J34" i="79"/>
  <c r="AC34" i="79" s="1"/>
  <c r="H34" i="79"/>
  <c r="AB34" i="79" s="1"/>
  <c r="F34" i="79"/>
  <c r="AA34" i="79" s="1"/>
  <c r="Q33" i="79"/>
  <c r="Z33" i="79" s="1"/>
  <c r="Q32" i="79"/>
  <c r="Z32" i="79" s="1"/>
  <c r="H32" i="79"/>
  <c r="AB32" i="79" s="1"/>
  <c r="F32" i="79"/>
  <c r="AA32" i="79" s="1"/>
  <c r="Q31" i="79"/>
  <c r="Z31" i="79" s="1"/>
  <c r="J31" i="79"/>
  <c r="AC31" i="79" s="1"/>
  <c r="H31" i="79"/>
  <c r="AB31" i="79" s="1"/>
  <c r="F31" i="79"/>
  <c r="AA31" i="79" s="1"/>
  <c r="Q30" i="79"/>
  <c r="Z30" i="79" s="1"/>
  <c r="AC29" i="79"/>
  <c r="W29" i="79"/>
  <c r="Q29" i="79"/>
  <c r="Z29" i="79" s="1"/>
  <c r="J29" i="79"/>
  <c r="H29" i="79"/>
  <c r="AB29" i="79" s="1"/>
  <c r="F29" i="79"/>
  <c r="AA29" i="79" s="1"/>
  <c r="Q28" i="79"/>
  <c r="Z28" i="79" s="1"/>
  <c r="H28" i="79"/>
  <c r="AB28" i="79" s="1"/>
  <c r="Q27" i="79"/>
  <c r="Z27" i="79" s="1"/>
  <c r="J27" i="79"/>
  <c r="AC27" i="79" s="1"/>
  <c r="Q26" i="79"/>
  <c r="Z26" i="79" s="1"/>
  <c r="H26" i="79"/>
  <c r="AB26" i="79" s="1"/>
  <c r="Q25" i="79"/>
  <c r="Z25" i="79" s="1"/>
  <c r="J25" i="79"/>
  <c r="AC25" i="79" s="1"/>
  <c r="Q23" i="79"/>
  <c r="Z23" i="79" s="1"/>
  <c r="C23" i="79"/>
  <c r="Q21" i="79"/>
  <c r="Z21" i="79" s="1"/>
  <c r="H21" i="79"/>
  <c r="AB21" i="79" s="1"/>
  <c r="C21" i="79"/>
  <c r="Q19" i="79"/>
  <c r="Z19" i="79" s="1"/>
  <c r="C19" i="79"/>
  <c r="Q17" i="79"/>
  <c r="Z17" i="79" s="1"/>
  <c r="C17" i="79"/>
  <c r="Q15" i="79"/>
  <c r="Z15" i="79" s="1"/>
  <c r="C15" i="79"/>
  <c r="AB14" i="79"/>
  <c r="U14" i="79"/>
  <c r="Q14" i="79"/>
  <c r="Z14" i="79" s="1"/>
  <c r="J14" i="79"/>
  <c r="AC14" i="79" s="1"/>
  <c r="H14" i="79"/>
  <c r="F14" i="79"/>
  <c r="AA14" i="79" s="1"/>
  <c r="Q13" i="79"/>
  <c r="Z13" i="79" s="1"/>
  <c r="J13" i="79"/>
  <c r="AC13" i="79" s="1"/>
  <c r="Q12" i="79"/>
  <c r="Z12" i="79" s="1"/>
  <c r="J12" i="79"/>
  <c r="AC12" i="79" s="1"/>
  <c r="H12" i="79"/>
  <c r="U12" i="79" s="1"/>
  <c r="F12" i="79"/>
  <c r="AA12" i="79" s="1"/>
  <c r="Q11" i="79"/>
  <c r="Z11" i="79" s="1"/>
  <c r="Q10" i="79"/>
  <c r="Z10" i="79" s="1"/>
  <c r="J10" i="79"/>
  <c r="AC10" i="79" s="1"/>
  <c r="H10" i="79"/>
  <c r="AB10" i="79" s="1"/>
  <c r="F10" i="79"/>
  <c r="AA10" i="79" s="1"/>
  <c r="AC9" i="79"/>
  <c r="W9" i="79"/>
  <c r="Q9" i="79"/>
  <c r="Z9" i="79" s="1"/>
  <c r="J9" i="79"/>
  <c r="F9" i="79"/>
  <c r="AA9" i="79" s="1"/>
  <c r="W8" i="79"/>
  <c r="S8" i="79"/>
  <c r="J8" i="79"/>
  <c r="AC8" i="79" s="1"/>
  <c r="H8" i="79"/>
  <c r="U8" i="79" s="1"/>
  <c r="F8" i="79"/>
  <c r="AA8" i="79" s="1"/>
  <c r="C7" i="79"/>
  <c r="C58" i="79" s="1"/>
  <c r="D58" i="79" s="1"/>
  <c r="I5" i="79"/>
  <c r="G5" i="79"/>
  <c r="E5" i="79"/>
  <c r="W10" i="81" l="1"/>
  <c r="U8" i="81"/>
  <c r="AB12" i="79"/>
  <c r="E58" i="79"/>
  <c r="F58" i="79" s="1"/>
  <c r="G58" i="79" s="1"/>
  <c r="H58" i="79" s="1"/>
  <c r="I58" i="79" s="1"/>
  <c r="J58" i="79" s="1"/>
  <c r="K58" i="79" s="1"/>
  <c r="L58" i="79" s="1"/>
  <c r="M58" i="79" s="1"/>
  <c r="N58" i="79" s="1"/>
  <c r="O58" i="79" s="1"/>
  <c r="U21" i="79"/>
  <c r="U26" i="79"/>
  <c r="U28" i="79"/>
  <c r="S31" i="79"/>
  <c r="S34" i="79"/>
  <c r="S40" i="79"/>
  <c r="I54" i="79"/>
  <c r="J54" i="79" s="1"/>
  <c r="AB13" i="79"/>
  <c r="U13" i="79"/>
  <c r="E79" i="79"/>
  <c r="F17" i="79"/>
  <c r="E81" i="79"/>
  <c r="J19" i="79"/>
  <c r="F19" i="79"/>
  <c r="J21" i="79"/>
  <c r="F21" i="79"/>
  <c r="E87" i="79"/>
  <c r="F87" i="79" s="1"/>
  <c r="G87" i="79" s="1"/>
  <c r="H87" i="79" s="1"/>
  <c r="I87" i="79" s="1"/>
  <c r="J87" i="79" s="1"/>
  <c r="K87" i="79" s="1"/>
  <c r="L87" i="79" s="1"/>
  <c r="M87" i="79" s="1"/>
  <c r="H25" i="79"/>
  <c r="J28" i="79"/>
  <c r="F28" i="79"/>
  <c r="J30" i="79"/>
  <c r="F30" i="79"/>
  <c r="E101" i="79"/>
  <c r="F101" i="79" s="1"/>
  <c r="G101" i="79" s="1"/>
  <c r="H101" i="79" s="1"/>
  <c r="I101" i="79" s="1"/>
  <c r="J101" i="79" s="1"/>
  <c r="K101" i="79" s="1"/>
  <c r="L101" i="79" s="1"/>
  <c r="M101" i="79" s="1"/>
  <c r="J32" i="79"/>
  <c r="G111" i="79"/>
  <c r="AB44" i="79"/>
  <c r="U44" i="79"/>
  <c r="AB46" i="79"/>
  <c r="U46" i="79"/>
  <c r="AA8" i="81"/>
  <c r="AB11" i="81"/>
  <c r="AC14" i="81"/>
  <c r="W14" i="81"/>
  <c r="S14" i="81"/>
  <c r="AB28" i="81"/>
  <c r="U28" i="81"/>
  <c r="AA29" i="81"/>
  <c r="S29" i="81"/>
  <c r="AB32" i="81"/>
  <c r="U32" i="81"/>
  <c r="AC33" i="81"/>
  <c r="W33" i="81"/>
  <c r="S33" i="81"/>
  <c r="AB39" i="81"/>
  <c r="U39" i="81"/>
  <c r="AC40" i="81"/>
  <c r="W40" i="81"/>
  <c r="S40" i="81"/>
  <c r="E80" i="81"/>
  <c r="H17" i="81"/>
  <c r="F17" i="81"/>
  <c r="E84" i="81"/>
  <c r="E88" i="81"/>
  <c r="F88" i="81" s="1"/>
  <c r="G88" i="81" s="1"/>
  <c r="H88" i="81" s="1"/>
  <c r="I88" i="81" s="1"/>
  <c r="J88" i="81" s="1"/>
  <c r="K88" i="81" s="1"/>
  <c r="L88" i="81" s="1"/>
  <c r="M88" i="81" s="1"/>
  <c r="J25" i="81"/>
  <c r="F25" i="81"/>
  <c r="G112" i="81"/>
  <c r="J37" i="81"/>
  <c r="J45" i="81"/>
  <c r="F45" i="81"/>
  <c r="J47" i="81"/>
  <c r="F47" i="81"/>
  <c r="H47" i="81"/>
  <c r="AB8" i="79"/>
  <c r="S9" i="79"/>
  <c r="U10" i="79"/>
  <c r="F13" i="79"/>
  <c r="W13" i="79"/>
  <c r="F25" i="79"/>
  <c r="W25" i="79"/>
  <c r="F27" i="79"/>
  <c r="W27" i="79"/>
  <c r="S29" i="79"/>
  <c r="H30" i="79"/>
  <c r="W31" i="79"/>
  <c r="U32" i="79"/>
  <c r="W34" i="79"/>
  <c r="S38" i="79"/>
  <c r="U39" i="79"/>
  <c r="W40" i="79"/>
  <c r="S42" i="79"/>
  <c r="U43" i="79"/>
  <c r="J44" i="79"/>
  <c r="S44" i="79"/>
  <c r="U45" i="79"/>
  <c r="J46" i="79"/>
  <c r="S46" i="79"/>
  <c r="G54" i="79"/>
  <c r="H54" i="79" s="1"/>
  <c r="V47" i="79"/>
  <c r="AB9" i="79"/>
  <c r="U9" i="79"/>
  <c r="F77" i="79"/>
  <c r="F83" i="79"/>
  <c r="G83" i="79" s="1"/>
  <c r="F85" i="79"/>
  <c r="G85" i="79" s="1"/>
  <c r="H23" i="79" s="1"/>
  <c r="J26" i="79"/>
  <c r="F26" i="79"/>
  <c r="H27" i="79"/>
  <c r="D59" i="81"/>
  <c r="AC8" i="81"/>
  <c r="S10" i="81"/>
  <c r="H25" i="81"/>
  <c r="AB30" i="81"/>
  <c r="U30" i="81"/>
  <c r="AA31" i="81"/>
  <c r="S31" i="81"/>
  <c r="AB35" i="81"/>
  <c r="U35" i="81"/>
  <c r="AC36" i="81"/>
  <c r="W36" i="81"/>
  <c r="AB43" i="81"/>
  <c r="U43" i="81"/>
  <c r="AC44" i="81"/>
  <c r="W44" i="81"/>
  <c r="H45" i="81"/>
  <c r="E55" i="81"/>
  <c r="F55" i="81" s="1"/>
  <c r="I55" i="81"/>
  <c r="J55" i="81" s="1"/>
  <c r="V48" i="81"/>
  <c r="R48" i="81"/>
  <c r="G55" i="81"/>
  <c r="H55" i="81" s="1"/>
  <c r="H29" i="81"/>
  <c r="J29" i="81"/>
  <c r="H31" i="81"/>
  <c r="J31" i="81"/>
  <c r="S10" i="79"/>
  <c r="W10" i="79"/>
  <c r="S12" i="79"/>
  <c r="W12" i="79"/>
  <c r="S14" i="79"/>
  <c r="W14" i="79"/>
  <c r="U29" i="79"/>
  <c r="U31" i="79"/>
  <c r="S32" i="79"/>
  <c r="U34" i="79"/>
  <c r="S35" i="79"/>
  <c r="W35" i="79"/>
  <c r="S37" i="79"/>
  <c r="W37" i="79"/>
  <c r="U38" i="79"/>
  <c r="S39" i="79"/>
  <c r="W39" i="79"/>
  <c r="U40" i="79"/>
  <c r="S41" i="79"/>
  <c r="W41" i="79"/>
  <c r="U42" i="79"/>
  <c r="S43" i="79"/>
  <c r="W43" i="79"/>
  <c r="S45" i="79"/>
  <c r="W45" i="79"/>
  <c r="T47" i="79"/>
  <c r="E54" i="79"/>
  <c r="F54" i="79" s="1"/>
  <c r="S9" i="81"/>
  <c r="W9" i="81"/>
  <c r="U10" i="81"/>
  <c r="AC11" i="81"/>
  <c r="W11" i="81"/>
  <c r="S11" i="81"/>
  <c r="S12" i="81"/>
  <c r="U13" i="81"/>
  <c r="S27" i="81"/>
  <c r="S38" i="81"/>
  <c r="S42" i="81"/>
  <c r="S46" i="81"/>
  <c r="J13" i="81"/>
  <c r="F13" i="81"/>
  <c r="F78" i="81"/>
  <c r="E82" i="81"/>
  <c r="E86" i="81"/>
  <c r="F86" i="81" s="1"/>
  <c r="G86" i="81" s="1"/>
  <c r="H23" i="81" s="1"/>
  <c r="U12" i="81"/>
  <c r="U14" i="81"/>
  <c r="U27" i="81"/>
  <c r="S28" i="81"/>
  <c r="W28" i="81"/>
  <c r="S30" i="81"/>
  <c r="W30" i="81"/>
  <c r="S32" i="81"/>
  <c r="W32" i="81"/>
  <c r="U33" i="81"/>
  <c r="S35" i="81"/>
  <c r="W35" i="81"/>
  <c r="U36" i="81"/>
  <c r="U38" i="81"/>
  <c r="S39" i="81"/>
  <c r="W39" i="81"/>
  <c r="U40" i="81"/>
  <c r="S41" i="81"/>
  <c r="W41" i="81"/>
  <c r="U42" i="81"/>
  <c r="S43" i="81"/>
  <c r="W43" i="81"/>
  <c r="U44" i="81"/>
  <c r="U46" i="81"/>
  <c r="T48" i="81"/>
  <c r="H7" i="79" l="1"/>
  <c r="F7" i="79"/>
  <c r="S7" i="79" s="1"/>
  <c r="AB23" i="81"/>
  <c r="U23" i="81"/>
  <c r="F82" i="81"/>
  <c r="G82" i="81" s="1"/>
  <c r="F19" i="81"/>
  <c r="J19" i="81"/>
  <c r="G78" i="81"/>
  <c r="F15" i="81"/>
  <c r="J15" i="81"/>
  <c r="AC13" i="81"/>
  <c r="W13" i="81"/>
  <c r="AB31" i="81"/>
  <c r="U31" i="81"/>
  <c r="E59" i="81"/>
  <c r="AB23" i="79"/>
  <c r="U23" i="79"/>
  <c r="G77" i="79"/>
  <c r="H15" i="79"/>
  <c r="AC46" i="79"/>
  <c r="W46" i="79"/>
  <c r="AB30" i="79"/>
  <c r="U30" i="79"/>
  <c r="AA25" i="81"/>
  <c r="S25" i="81"/>
  <c r="F84" i="81"/>
  <c r="G84" i="81" s="1"/>
  <c r="F21" i="81"/>
  <c r="J21" i="81"/>
  <c r="AB17" i="81"/>
  <c r="U17" i="81"/>
  <c r="H111" i="79"/>
  <c r="I111" i="79" s="1"/>
  <c r="J111" i="79" s="1"/>
  <c r="K111" i="79" s="1"/>
  <c r="L111" i="79" s="1"/>
  <c r="M111" i="79" s="1"/>
  <c r="J36" i="79"/>
  <c r="AC30" i="79"/>
  <c r="W30" i="79"/>
  <c r="J23" i="79"/>
  <c r="AC21" i="79"/>
  <c r="W21" i="79"/>
  <c r="AC19" i="79"/>
  <c r="W19" i="79"/>
  <c r="AA17" i="79"/>
  <c r="S17" i="79"/>
  <c r="F79" i="79"/>
  <c r="G79" i="79" s="1"/>
  <c r="H17" i="79"/>
  <c r="J15" i="79"/>
  <c r="H19" i="81"/>
  <c r="H15" i="81"/>
  <c r="AA13" i="81"/>
  <c r="S13" i="81"/>
  <c r="W31" i="81"/>
  <c r="AC31" i="81"/>
  <c r="AC29" i="81"/>
  <c r="W29" i="81"/>
  <c r="U25" i="81"/>
  <c r="AB25" i="81"/>
  <c r="AB27" i="79"/>
  <c r="U27" i="79"/>
  <c r="AC26" i="79"/>
  <c r="W26" i="79"/>
  <c r="AC44" i="79"/>
  <c r="W44" i="79"/>
  <c r="F36" i="79"/>
  <c r="AA27" i="79"/>
  <c r="S27" i="79"/>
  <c r="AA25" i="79"/>
  <c r="S25" i="79"/>
  <c r="AA13" i="79"/>
  <c r="S13" i="79"/>
  <c r="AB47" i="81"/>
  <c r="U47" i="81"/>
  <c r="AC47" i="81"/>
  <c r="W47" i="81"/>
  <c r="AC45" i="81"/>
  <c r="W45" i="81"/>
  <c r="H112" i="81"/>
  <c r="I112" i="81" s="1"/>
  <c r="J112" i="81" s="1"/>
  <c r="K112" i="81" s="1"/>
  <c r="L112" i="81" s="1"/>
  <c r="M112" i="81" s="1"/>
  <c r="F37" i="81"/>
  <c r="H37" i="81"/>
  <c r="AC25" i="81"/>
  <c r="W25" i="81"/>
  <c r="H21" i="81"/>
  <c r="AA17" i="81"/>
  <c r="S17" i="81"/>
  <c r="F80" i="81"/>
  <c r="G80" i="81" s="1"/>
  <c r="J17" i="81"/>
  <c r="H36" i="79"/>
  <c r="AC32" i="79"/>
  <c r="W32" i="79"/>
  <c r="AA30" i="79"/>
  <c r="S30" i="79"/>
  <c r="AA28" i="79"/>
  <c r="S28" i="79"/>
  <c r="AB25" i="79"/>
  <c r="U25" i="79"/>
  <c r="F23" i="79"/>
  <c r="AA21" i="79"/>
  <c r="S21" i="79"/>
  <c r="AA19" i="79"/>
  <c r="S19" i="79"/>
  <c r="F81" i="79"/>
  <c r="G81" i="79" s="1"/>
  <c r="H19" i="79"/>
  <c r="J17" i="79"/>
  <c r="F15" i="79"/>
  <c r="J7" i="79"/>
  <c r="F23" i="81"/>
  <c r="J23" i="81"/>
  <c r="AB29" i="81"/>
  <c r="U29" i="81"/>
  <c r="U45" i="81"/>
  <c r="AB45" i="81"/>
  <c r="AA26" i="79"/>
  <c r="S26" i="79"/>
  <c r="AB7" i="79"/>
  <c r="U7" i="79"/>
  <c r="AA47" i="81"/>
  <c r="S47" i="81"/>
  <c r="AA45" i="81"/>
  <c r="S45" i="81"/>
  <c r="AC37" i="81"/>
  <c r="W37" i="81"/>
  <c r="AC28" i="79"/>
  <c r="W28" i="79"/>
  <c r="AA7" i="79" l="1"/>
  <c r="AC23" i="81"/>
  <c r="W23" i="81"/>
  <c r="AB19" i="79"/>
  <c r="U19" i="79"/>
  <c r="AC17" i="81"/>
  <c r="W17" i="81"/>
  <c r="AB15" i="81"/>
  <c r="U15" i="81"/>
  <c r="AB17" i="79"/>
  <c r="U17" i="79"/>
  <c r="AC23" i="79"/>
  <c r="W23" i="79"/>
  <c r="AA21" i="81"/>
  <c r="S21" i="81"/>
  <c r="AB15" i="79"/>
  <c r="U15" i="79"/>
  <c r="AC15" i="81"/>
  <c r="W15" i="81"/>
  <c r="S19" i="81"/>
  <c r="AA19" i="81"/>
  <c r="AA15" i="79"/>
  <c r="S15" i="79"/>
  <c r="AA23" i="79"/>
  <c r="S23" i="79"/>
  <c r="AB21" i="81"/>
  <c r="U21" i="81"/>
  <c r="AA37" i="81"/>
  <c r="S37" i="81"/>
  <c r="AA36" i="79"/>
  <c r="S36" i="79"/>
  <c r="S23" i="81"/>
  <c r="AA23" i="81"/>
  <c r="AC7" i="79"/>
  <c r="W7" i="79"/>
  <c r="AC17" i="79"/>
  <c r="W17" i="79"/>
  <c r="AB36" i="79"/>
  <c r="U36" i="79"/>
  <c r="U37" i="81"/>
  <c r="AB37" i="81"/>
  <c r="AB19" i="81"/>
  <c r="U19" i="81"/>
  <c r="AC15" i="79"/>
  <c r="W15" i="79"/>
  <c r="AC36" i="79"/>
  <c r="W36" i="79"/>
  <c r="AC21" i="81"/>
  <c r="W21" i="81"/>
  <c r="F59" i="81"/>
  <c r="S15" i="81"/>
  <c r="AA15" i="81"/>
  <c r="AC19" i="81"/>
  <c r="W19" i="81"/>
  <c r="G59" i="81" l="1"/>
  <c r="H59" i="81" l="1"/>
  <c r="I59" i="81" l="1"/>
  <c r="J59" i="81" l="1"/>
  <c r="K59" i="81" l="1"/>
  <c r="L59" i="81" l="1"/>
  <c r="M59" i="81" l="1"/>
  <c r="N59" i="81" s="1"/>
  <c r="O59" i="81" s="1"/>
  <c r="H7" i="81"/>
  <c r="U7" i="81" l="1"/>
  <c r="AB7" i="81"/>
  <c r="J7" i="81"/>
  <c r="F7" i="81"/>
  <c r="AA7" i="81" l="1"/>
  <c r="S7" i="81"/>
  <c r="AC7" i="81"/>
  <c r="W7" i="81"/>
  <c r="M13" i="3" l="1"/>
  <c r="F23" i="69" l="1"/>
  <c r="F24" i="69"/>
  <c r="F21" i="77" s="1"/>
  <c r="F20" i="77"/>
  <c r="C19" i="72" l="1"/>
  <c r="F35" i="77" l="1"/>
  <c r="F35" i="15" l="1"/>
  <c r="E5" i="33"/>
  <c r="D29" i="72" l="1"/>
  <c r="E5" i="34" l="1"/>
  <c r="G5" i="33"/>
  <c r="E89" i="33"/>
  <c r="F89" i="33"/>
  <c r="G89" i="33"/>
  <c r="D89" i="33"/>
  <c r="Q73" i="77" l="1"/>
  <c r="Q60" i="77"/>
  <c r="D60" i="77"/>
  <c r="Q59" i="77"/>
  <c r="K59" i="77"/>
  <c r="P75" i="77" s="1"/>
  <c r="Q52" i="77"/>
  <c r="J50" i="77"/>
  <c r="M47" i="77"/>
  <c r="F33" i="77"/>
  <c r="F60" i="77" s="1"/>
  <c r="F23" i="77"/>
  <c r="D24" i="77" s="1"/>
  <c r="M19" i="77"/>
  <c r="F18" i="77"/>
  <c r="F17" i="77"/>
  <c r="F15" i="77"/>
  <c r="D22" i="77" l="1"/>
  <c r="P62" i="77"/>
  <c r="D23" i="77"/>
  <c r="J51" i="77"/>
  <c r="E12" i="68"/>
  <c r="E13" i="68"/>
  <c r="M14" i="3" l="1"/>
  <c r="K15" i="3"/>
  <c r="M15" i="3" s="1"/>
  <c r="D8" i="73"/>
  <c r="C8" i="73"/>
  <c r="F113" i="72" l="1"/>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s="1"/>
  <c r="D81" i="72"/>
  <c r="M80" i="72"/>
  <c r="N80" i="72" s="1"/>
  <c r="K80" i="72"/>
  <c r="J80" i="72" s="1"/>
  <c r="F80" i="72"/>
  <c r="H87" i="72" s="1"/>
  <c r="D80" i="72"/>
  <c r="E80" i="72" s="1"/>
  <c r="B78" i="72" s="1"/>
  <c r="N77" i="72"/>
  <c r="M77" i="72"/>
  <c r="K77" i="72"/>
  <c r="J77" i="72" s="1"/>
  <c r="D77" i="72"/>
  <c r="M76" i="72"/>
  <c r="N76" i="72" s="1"/>
  <c r="K76" i="72"/>
  <c r="J76" i="72" s="1"/>
  <c r="D76" i="72"/>
  <c r="M75" i="72"/>
  <c r="N75" i="72" s="1"/>
  <c r="K75" i="72"/>
  <c r="J75" i="72"/>
  <c r="D75" i="72"/>
  <c r="M74" i="72"/>
  <c r="N74" i="72" s="1"/>
  <c r="K74" i="72"/>
  <c r="J74" i="72" s="1"/>
  <c r="D74" i="72"/>
  <c r="M73" i="72"/>
  <c r="N73" i="72" s="1"/>
  <c r="K73" i="72"/>
  <c r="J73" i="72" s="1"/>
  <c r="D73" i="72"/>
  <c r="M72" i="72"/>
  <c r="N72" i="72" s="1"/>
  <c r="K72" i="72"/>
  <c r="J72" i="72"/>
  <c r="D72" i="72"/>
  <c r="M71" i="72"/>
  <c r="N71" i="72" s="1"/>
  <c r="K71" i="72"/>
  <c r="J71" i="72" s="1"/>
  <c r="D71" i="72"/>
  <c r="B71" i="72"/>
  <c r="M70" i="72"/>
  <c r="N70" i="72" s="1"/>
  <c r="K70" i="72"/>
  <c r="J70" i="72"/>
  <c r="D70" i="72"/>
  <c r="M69" i="72"/>
  <c r="N69" i="72" s="1"/>
  <c r="K69" i="72"/>
  <c r="J69" i="72" s="1"/>
  <c r="F69" i="72"/>
  <c r="H75" i="72" s="1"/>
  <c r="D69" i="72"/>
  <c r="E69" i="72" s="1"/>
  <c r="B67" i="72" s="1"/>
  <c r="B60" i="72"/>
  <c r="N55" i="72"/>
  <c r="M55" i="72"/>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E4" i="68" s="1"/>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N1" i="72"/>
  <c r="D1" i="72"/>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H86" i="71" s="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c r="D71" i="71"/>
  <c r="B71" i="71"/>
  <c r="M70" i="71"/>
  <c r="N70" i="71" s="1"/>
  <c r="K70" i="71"/>
  <c r="J70" i="71" s="1"/>
  <c r="D70" i="71"/>
  <c r="M69" i="71"/>
  <c r="N69" i="71" s="1"/>
  <c r="K69" i="71"/>
  <c r="J69" i="71"/>
  <c r="F69" i="71"/>
  <c r="H75"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5" i="70"/>
  <c r="F14" i="70"/>
  <c r="K9" i="70"/>
  <c r="J9" i="70"/>
  <c r="I9" i="70"/>
  <c r="H9" i="70"/>
  <c r="G9" i="70"/>
  <c r="F9" i="70"/>
  <c r="E9" i="70"/>
  <c r="D9" i="70"/>
  <c r="F25" i="69"/>
  <c r="C25" i="69" s="1"/>
  <c r="E22" i="69"/>
  <c r="E21" i="69"/>
  <c r="F17" i="69"/>
  <c r="E16" i="69"/>
  <c r="F15" i="69"/>
  <c r="F14" i="69"/>
  <c r="K9" i="69"/>
  <c r="J9" i="69"/>
  <c r="I9" i="69"/>
  <c r="H9" i="69"/>
  <c r="G9" i="69"/>
  <c r="F9" i="69"/>
  <c r="E9" i="69"/>
  <c r="D9" i="69"/>
  <c r="K8" i="68"/>
  <c r="AB12" i="71" l="1"/>
  <c r="C12" i="71"/>
  <c r="H100" i="71"/>
  <c r="L108" i="71"/>
  <c r="Z12" i="71"/>
  <c r="AH12" i="71"/>
  <c r="E47" i="72"/>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s="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l="1"/>
  <c r="B3" i="68" s="1"/>
  <c r="C7" i="72"/>
  <c r="C6" i="72"/>
  <c r="B4" i="68" s="1"/>
  <c r="H65" i="72"/>
  <c r="G65" i="72" s="1"/>
  <c r="H64" i="72"/>
  <c r="G64" i="72" s="1"/>
  <c r="H60" i="72"/>
  <c r="G60" i="72" s="1"/>
  <c r="H66" i="72"/>
  <c r="G66" i="72" s="1"/>
  <c r="H61" i="72"/>
  <c r="G61" i="72" s="1"/>
  <c r="H58" i="72"/>
  <c r="G58" i="72" s="1"/>
  <c r="H59" i="72"/>
  <c r="G59" i="72" s="1"/>
  <c r="H63" i="72"/>
  <c r="G63" i="72" s="1"/>
  <c r="H62" i="72"/>
  <c r="G62" i="72" s="1"/>
  <c r="G17" i="72"/>
  <c r="H54" i="71"/>
  <c r="G54" i="71" s="1"/>
  <c r="H49" i="71"/>
  <c r="G49" i="71" s="1"/>
  <c r="H53" i="71"/>
  <c r="G53" i="71" s="1"/>
  <c r="H48" i="71"/>
  <c r="G48" i="71" s="1"/>
  <c r="H52" i="71"/>
  <c r="G52" i="71" s="1"/>
  <c r="H47" i="71"/>
  <c r="G47" i="71" s="1"/>
  <c r="H50" i="71"/>
  <c r="G50" i="71" s="1"/>
  <c r="H55" i="71"/>
  <c r="G55" i="71" s="1"/>
  <c r="H51" i="71"/>
  <c r="G51" i="71" s="1"/>
  <c r="G17" i="71"/>
  <c r="C7" i="71"/>
  <c r="C3" i="68" s="1"/>
  <c r="K52" i="71" l="1"/>
  <c r="J52" i="71" s="1"/>
  <c r="M52" i="71"/>
  <c r="K55" i="71"/>
  <c r="J55" i="71" s="1"/>
  <c r="D55" i="71" s="1"/>
  <c r="M55" i="71"/>
  <c r="N55" i="71" s="1"/>
  <c r="M47" i="71"/>
  <c r="N47"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M50" i="71"/>
  <c r="N50" i="71" s="1"/>
  <c r="K50" i="71"/>
  <c r="K53" i="71"/>
  <c r="M53" i="71"/>
  <c r="N53" i="71" s="1"/>
  <c r="K54" i="71"/>
  <c r="M54" i="71"/>
  <c r="N54" i="71" s="1"/>
  <c r="K62" i="72"/>
  <c r="M62" i="72"/>
  <c r="N62" i="72" s="1"/>
  <c r="M59" i="72"/>
  <c r="N59" i="72" s="1"/>
  <c r="K59" i="72"/>
  <c r="M61" i="72"/>
  <c r="N61" i="72" s="1"/>
  <c r="K61" i="72"/>
  <c r="M60" i="72"/>
  <c r="N60" i="72" s="1"/>
  <c r="K60" i="72"/>
  <c r="K65" i="72"/>
  <c r="M65" i="72"/>
  <c r="N65" i="72" s="1"/>
  <c r="AH8" i="59"/>
  <c r="AG8" i="59"/>
  <c r="AE8" i="59"/>
  <c r="AF8" i="59" s="1"/>
  <c r="AD8" i="59"/>
  <c r="Q8" i="59"/>
  <c r="P8" i="59"/>
  <c r="O8" i="59"/>
  <c r="N8" i="59"/>
  <c r="J60" i="72" l="1"/>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9" i="59"/>
  <c r="AG9" i="59"/>
  <c r="AE9" i="59"/>
  <c r="AF9" i="59" s="1"/>
  <c r="AD9" i="59"/>
  <c r="Q9" i="59"/>
  <c r="P9" i="59"/>
  <c r="O9" i="59"/>
  <c r="N9" i="59"/>
  <c r="E47" i="71" l="1"/>
  <c r="B45" i="71" s="1"/>
  <c r="C24" i="71" s="1"/>
  <c r="I3" i="68" s="1"/>
  <c r="E58" i="72"/>
  <c r="B56" i="72" s="1"/>
  <c r="C24" i="72" s="1"/>
  <c r="I4" i="68" s="1"/>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c r="AD19" i="59"/>
  <c r="AE20" i="59"/>
  <c r="AF20" i="59" s="1"/>
  <c r="AG20" i="59"/>
  <c r="AH20" i="59"/>
  <c r="AD20" i="59"/>
  <c r="Q20" i="59"/>
  <c r="P20" i="59"/>
  <c r="O20" i="59"/>
  <c r="N20" i="59"/>
  <c r="N21" i="59"/>
  <c r="Q21" i="59"/>
  <c r="P21" i="59"/>
  <c r="O21" i="59"/>
  <c r="K59" i="15"/>
  <c r="P75" i="15" s="1"/>
  <c r="P62" i="15"/>
  <c r="Q74" i="44"/>
  <c r="Q61" i="44"/>
  <c r="Q60" i="44"/>
  <c r="Q53" i="44"/>
  <c r="J51" i="44"/>
  <c r="J52" i="44" s="1"/>
  <c r="M48" i="44"/>
  <c r="A16" i="55"/>
  <c r="A15" i="55"/>
  <c r="B66" i="63" s="1"/>
  <c r="A14" i="55"/>
  <c r="A11" i="55"/>
  <c r="A10" i="55"/>
  <c r="B61" i="63" s="1"/>
  <c r="A9" i="55"/>
  <c r="B60" i="63" s="1"/>
  <c r="A8" i="55"/>
  <c r="B59" i="63" s="1"/>
  <c r="A6" i="54"/>
  <c r="A8" i="54"/>
  <c r="A7" i="54"/>
  <c r="A27" i="51"/>
  <c r="B20" i="63" s="1"/>
  <c r="Q22" i="59"/>
  <c r="O22" i="59"/>
  <c r="N23" i="59"/>
  <c r="O23" i="59"/>
  <c r="P23" i="59"/>
  <c r="Q23" i="59"/>
  <c r="N22" i="59"/>
  <c r="P22" i="59"/>
  <c r="K75" i="9"/>
  <c r="K6" i="4"/>
  <c r="L76" i="9" s="1"/>
  <c r="K76" i="9"/>
  <c r="B22" i="31"/>
  <c r="E15" i="66"/>
  <c r="F15" i="66"/>
  <c r="E16" i="66"/>
  <c r="F16" i="66"/>
  <c r="E17" i="66"/>
  <c r="F17" i="66"/>
  <c r="E18" i="66"/>
  <c r="F18" i="66"/>
  <c r="E19" i="66"/>
  <c r="F19" i="66"/>
  <c r="E20" i="66"/>
  <c r="F20" i="66"/>
  <c r="E21" i="66"/>
  <c r="F21" i="66"/>
  <c r="E22" i="66"/>
  <c r="F22" i="66"/>
  <c r="E23" i="66"/>
  <c r="F23" i="66"/>
  <c r="B3" i="66"/>
  <c r="B20" i="59"/>
  <c r="B19" i="59" s="1"/>
  <c r="B18" i="59" s="1"/>
  <c r="E20" i="59"/>
  <c r="U20" i="59" s="1"/>
  <c r="E19" i="59"/>
  <c r="E18" i="59" s="1"/>
  <c r="E17" i="59" s="1"/>
  <c r="E16" i="59" s="1"/>
  <c r="S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D20" i="59"/>
  <c r="B76" i="63"/>
  <c r="M5" i="54"/>
  <c r="B41" i="63" s="1"/>
  <c r="A23" i="51"/>
  <c r="B17" i="63" s="1"/>
  <c r="Y12" i="46"/>
  <c r="AA9" i="46"/>
  <c r="AA12" i="46" s="1"/>
  <c r="AB9" i="46"/>
  <c r="AB10" i="46" s="1"/>
  <c r="AC9" i="46"/>
  <c r="AD9" i="46"/>
  <c r="AD10" i="46"/>
  <c r="AE9" i="46"/>
  <c r="AF9" i="46"/>
  <c r="AF10" i="46" s="1"/>
  <c r="AG9" i="46"/>
  <c r="AG10" i="46" s="1"/>
  <c r="AH9" i="46"/>
  <c r="AH10" i="46" s="1"/>
  <c r="AI9" i="46"/>
  <c r="AI10" i="46" s="1"/>
  <c r="AJ9" i="46"/>
  <c r="AJ10" i="46" s="1"/>
  <c r="Z9" i="46"/>
  <c r="Z10" i="46" s="1"/>
  <c r="AE10" i="46"/>
  <c r="AC10" i="46"/>
  <c r="Y10" i="46"/>
  <c r="Z12" i="46"/>
  <c r="AG12" i="46"/>
  <c r="AE12" i="46"/>
  <c r="AC12" i="46"/>
  <c r="B73" i="63"/>
  <c r="A21" i="64"/>
  <c r="B75" i="63" s="1"/>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c r="A14" i="51"/>
  <c r="B11" i="63"/>
  <c r="A4" i="55"/>
  <c r="B57" i="63" s="1"/>
  <c r="G5" i="54"/>
  <c r="B34" i="63" s="1"/>
  <c r="E5" i="54"/>
  <c r="B32" i="63" s="1"/>
  <c r="R2" i="54"/>
  <c r="B24" i="63" s="1"/>
  <c r="B49" i="50"/>
  <c r="B5" i="63"/>
  <c r="B40" i="50"/>
  <c r="B3" i="63"/>
  <c r="B67" i="63"/>
  <c r="I19" i="46"/>
  <c r="Q24" i="59"/>
  <c r="F24" i="59" s="1"/>
  <c r="P24" i="59"/>
  <c r="O24" i="59"/>
  <c r="N24" i="59"/>
  <c r="D85" i="59"/>
  <c r="F84" i="59"/>
  <c r="F83" i="59" s="1"/>
  <c r="F82" i="59" s="1"/>
  <c r="E84" i="59"/>
  <c r="E83" i="59"/>
  <c r="E82" i="59" s="1"/>
  <c r="C84" i="59"/>
  <c r="D84" i="59" s="1"/>
  <c r="B84" i="59"/>
  <c r="B83" i="59"/>
  <c r="B82" i="59" s="1"/>
  <c r="D81" i="59"/>
  <c r="F80" i="59"/>
  <c r="F79" i="59" s="1"/>
  <c r="F78" i="59" s="1"/>
  <c r="E80" i="59"/>
  <c r="E79" i="59" s="1"/>
  <c r="E78" i="59" s="1"/>
  <c r="C80" i="59"/>
  <c r="D80" i="59" s="1"/>
  <c r="B80" i="59"/>
  <c r="B79" i="59" s="1"/>
  <c r="B78" i="59" s="1"/>
  <c r="D77" i="59"/>
  <c r="Q76" i="59"/>
  <c r="P76" i="59"/>
  <c r="O76" i="59"/>
  <c r="N76" i="59"/>
  <c r="F76" i="59"/>
  <c r="V76" i="59" s="1"/>
  <c r="E76" i="59"/>
  <c r="U76" i="59"/>
  <c r="C76" i="59"/>
  <c r="T76" i="59"/>
  <c r="B76" i="59"/>
  <c r="B75" i="59" s="1"/>
  <c r="B74" i="59" s="1"/>
  <c r="S76" i="59"/>
  <c r="Q75" i="59"/>
  <c r="P75" i="59"/>
  <c r="O75" i="59"/>
  <c r="N75" i="59"/>
  <c r="Q74" i="59"/>
  <c r="P74" i="59"/>
  <c r="O74" i="59"/>
  <c r="N74" i="59"/>
  <c r="Q73" i="59"/>
  <c r="P73" i="59"/>
  <c r="O73" i="59"/>
  <c r="N73" i="59"/>
  <c r="D73" i="59"/>
  <c r="Q72" i="59"/>
  <c r="P72" i="59"/>
  <c r="O72" i="59"/>
  <c r="N72" i="59"/>
  <c r="F72" i="59"/>
  <c r="V72" i="59"/>
  <c r="E72" i="59"/>
  <c r="U72" i="59"/>
  <c r="C72" i="59"/>
  <c r="T72" i="59"/>
  <c r="B72" i="59"/>
  <c r="Q71" i="59"/>
  <c r="P71" i="59"/>
  <c r="O71" i="59"/>
  <c r="N71" i="59"/>
  <c r="F71" i="59"/>
  <c r="F70" i="59" s="1"/>
  <c r="Q70" i="59"/>
  <c r="P70" i="59"/>
  <c r="O70" i="59"/>
  <c r="N70" i="59"/>
  <c r="Q69" i="59"/>
  <c r="P69" i="59"/>
  <c r="O69" i="59"/>
  <c r="N69" i="59"/>
  <c r="D69" i="59"/>
  <c r="Q68" i="59"/>
  <c r="P68" i="59"/>
  <c r="O68" i="59"/>
  <c r="N68" i="59"/>
  <c r="F68" i="59"/>
  <c r="V68" i="59"/>
  <c r="E68" i="59"/>
  <c r="U68" i="59" s="1"/>
  <c r="C68" i="59"/>
  <c r="T68" i="59" s="1"/>
  <c r="B68" i="59"/>
  <c r="S68" i="59" s="1"/>
  <c r="Q67" i="59"/>
  <c r="P67" i="59"/>
  <c r="O67" i="59"/>
  <c r="N67" i="59"/>
  <c r="F67" i="59"/>
  <c r="F66" i="59" s="1"/>
  <c r="B67" i="59"/>
  <c r="B66" i="59" s="1"/>
  <c r="Q66" i="59"/>
  <c r="P66" i="59"/>
  <c r="O66" i="59"/>
  <c r="N66" i="59"/>
  <c r="Q65" i="59"/>
  <c r="P65" i="59"/>
  <c r="O65" i="59"/>
  <c r="N65" i="59"/>
  <c r="D65" i="59"/>
  <c r="F64" i="59"/>
  <c r="E64" i="59"/>
  <c r="E63" i="59" s="1"/>
  <c r="C64" i="59"/>
  <c r="B64" i="59"/>
  <c r="N64" i="59"/>
  <c r="B63" i="59"/>
  <c r="N63" i="59" s="1"/>
  <c r="D61" i="59"/>
  <c r="Q60" i="59"/>
  <c r="P60" i="59"/>
  <c r="O60" i="59"/>
  <c r="N60" i="59"/>
  <c r="Q59" i="59"/>
  <c r="P59" i="59"/>
  <c r="O59" i="59"/>
  <c r="N59" i="59"/>
  <c r="Q58" i="59"/>
  <c r="P58" i="59"/>
  <c r="O58" i="59"/>
  <c r="N58" i="59"/>
  <c r="Q57" i="59"/>
  <c r="F58" i="59" s="1"/>
  <c r="F59"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c r="P53" i="59"/>
  <c r="E54" i="59"/>
  <c r="E55" i="59" s="1"/>
  <c r="E56" i="59" s="1"/>
  <c r="U56" i="59" s="1"/>
  <c r="O53" i="59"/>
  <c r="C54" i="59" s="1"/>
  <c r="N53" i="59"/>
  <c r="B54" i="59" s="1"/>
  <c r="D53" i="59"/>
  <c r="Q52" i="59"/>
  <c r="P52" i="59"/>
  <c r="O52" i="59"/>
  <c r="N52" i="59"/>
  <c r="Q51" i="59"/>
  <c r="P51" i="59"/>
  <c r="O51" i="59"/>
  <c r="N51" i="59"/>
  <c r="Q50" i="59"/>
  <c r="P50" i="59"/>
  <c r="O50" i="59"/>
  <c r="N50" i="59"/>
  <c r="Q49" i="59"/>
  <c r="F50" i="59"/>
  <c r="F51" i="59" s="1"/>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C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s="1"/>
  <c r="D37" i="59"/>
  <c r="Q36" i="59"/>
  <c r="P36" i="59"/>
  <c r="O36" i="59"/>
  <c r="N36" i="59"/>
  <c r="Q35" i="59"/>
  <c r="AB35" i="59" s="1"/>
  <c r="P35" i="59"/>
  <c r="AA35" i="59" s="1"/>
  <c r="O35" i="59"/>
  <c r="N35" i="59"/>
  <c r="X35" i="59" s="1"/>
  <c r="Q34" i="59"/>
  <c r="P34" i="59"/>
  <c r="O34" i="59"/>
  <c r="N34" i="59"/>
  <c r="X34" i="59" s="1"/>
  <c r="Q33" i="59"/>
  <c r="F34" i="59" s="1"/>
  <c r="F35" i="59" s="1"/>
  <c r="P33" i="59"/>
  <c r="E34" i="59" s="1"/>
  <c r="E35" i="59" s="1"/>
  <c r="O33" i="59"/>
  <c r="C34" i="59" s="1"/>
  <c r="N33" i="59"/>
  <c r="B34" i="59" s="1"/>
  <c r="B35" i="59" s="1"/>
  <c r="B36" i="59" s="1"/>
  <c r="S36" i="59" s="1"/>
  <c r="D33" i="59"/>
  <c r="Q32" i="59"/>
  <c r="P32" i="59"/>
  <c r="O32" i="59"/>
  <c r="Y32" i="59" s="1"/>
  <c r="Z32" i="59" s="1"/>
  <c r="N32" i="59"/>
  <c r="Q31" i="59"/>
  <c r="P31" i="59"/>
  <c r="O31" i="59"/>
  <c r="N31" i="59"/>
  <c r="Q30" i="59"/>
  <c r="P30" i="59"/>
  <c r="O30" i="59"/>
  <c r="N30" i="59"/>
  <c r="Q29" i="59"/>
  <c r="F30" i="59" s="1"/>
  <c r="F31" i="59" s="1"/>
  <c r="F32" i="59" s="1"/>
  <c r="V32" i="59" s="1"/>
  <c r="P29" i="59"/>
  <c r="O29" i="59"/>
  <c r="C30" i="59"/>
  <c r="N29" i="59"/>
  <c r="B30" i="59"/>
  <c r="B31" i="59" s="1"/>
  <c r="B32" i="59" s="1"/>
  <c r="S32" i="59" s="1"/>
  <c r="D29" i="59"/>
  <c r="Q28" i="59"/>
  <c r="P28" i="59"/>
  <c r="O28" i="59"/>
  <c r="N28" i="59"/>
  <c r="Q27" i="59"/>
  <c r="P27" i="59"/>
  <c r="O27" i="59"/>
  <c r="N27" i="59"/>
  <c r="Q26" i="59"/>
  <c r="P26" i="59"/>
  <c r="O26" i="59"/>
  <c r="N26" i="59"/>
  <c r="X26" i="59" s="1"/>
  <c r="Q25" i="59"/>
  <c r="F26" i="59" s="1"/>
  <c r="F27" i="59" s="1"/>
  <c r="F28" i="59" s="1"/>
  <c r="V28" i="59" s="1"/>
  <c r="P25" i="59"/>
  <c r="O25" i="59"/>
  <c r="C26" i="59" s="1"/>
  <c r="N25" i="59"/>
  <c r="B26" i="59" s="1"/>
  <c r="B27" i="59" s="1"/>
  <c r="B28" i="59" s="1"/>
  <c r="S28" i="59" s="1"/>
  <c r="D25" i="59"/>
  <c r="E26" i="59"/>
  <c r="E27" i="59" s="1"/>
  <c r="E28" i="59" s="1"/>
  <c r="U28" i="59" s="1"/>
  <c r="S64" i="59"/>
  <c r="F55" i="59"/>
  <c r="F56" i="59" s="1"/>
  <c r="V56" i="59" s="1"/>
  <c r="F60" i="59"/>
  <c r="V60" i="59" s="1"/>
  <c r="D46" i="59"/>
  <c r="D30" i="59"/>
  <c r="B62" i="59"/>
  <c r="N62" i="59" s="1"/>
  <c r="T64" i="59"/>
  <c r="O64" i="59"/>
  <c r="D64" i="59"/>
  <c r="C63" i="59"/>
  <c r="D63" i="59" s="1"/>
  <c r="P64" i="59"/>
  <c r="U64" i="59"/>
  <c r="C67" i="59"/>
  <c r="E67" i="59"/>
  <c r="E66" i="59" s="1"/>
  <c r="D68" i="59"/>
  <c r="C71" i="59"/>
  <c r="E71" i="59"/>
  <c r="E70" i="59" s="1"/>
  <c r="D72" i="59"/>
  <c r="C75" i="59"/>
  <c r="E75" i="59"/>
  <c r="E74" i="59"/>
  <c r="D76" i="59"/>
  <c r="C79" i="59"/>
  <c r="D79" i="59" s="1"/>
  <c r="C83" i="59"/>
  <c r="D83" i="59" s="1"/>
  <c r="U16" i="4"/>
  <c r="S16" i="4"/>
  <c r="Q16" i="4"/>
  <c r="O16" i="4"/>
  <c r="M16" i="4"/>
  <c r="K16" i="4"/>
  <c r="L16" i="4" s="1"/>
  <c r="D75" i="59"/>
  <c r="C74" i="59"/>
  <c r="D74" i="59" s="1"/>
  <c r="D67" i="59"/>
  <c r="C66" i="59"/>
  <c r="D66" i="59" s="1"/>
  <c r="C62" i="59"/>
  <c r="O62" i="59" s="1"/>
  <c r="O63" i="59"/>
  <c r="N61" i="59"/>
  <c r="D62" i="59"/>
  <c r="O27" i="6"/>
  <c r="N27" i="6"/>
  <c r="P26" i="6"/>
  <c r="L26" i="6"/>
  <c r="P25" i="6"/>
  <c r="L25" i="6"/>
  <c r="P24" i="6"/>
  <c r="L24" i="6"/>
  <c r="P23" i="6"/>
  <c r="L23" i="6"/>
  <c r="P22" i="6"/>
  <c r="L22" i="6"/>
  <c r="P21" i="6"/>
  <c r="L21" i="6"/>
  <c r="P20" i="6"/>
  <c r="P19" i="6"/>
  <c r="Q18" i="36"/>
  <c r="Z18" i="36" s="1"/>
  <c r="C18" i="36"/>
  <c r="D66" i="36"/>
  <c r="F18" i="36"/>
  <c r="S18" i="36" s="1"/>
  <c r="Z18" i="35"/>
  <c r="Q18" i="35"/>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AA21" i="21"/>
  <c r="C21" i="21"/>
  <c r="Q27" i="40"/>
  <c r="Z27" i="40" s="1"/>
  <c r="D96" i="40"/>
  <c r="E96" i="40" s="1"/>
  <c r="F96" i="40" s="1"/>
  <c r="F27" i="40"/>
  <c r="AA27" i="40" s="1"/>
  <c r="Q31" i="39"/>
  <c r="Z31" i="39" s="1"/>
  <c r="D105" i="39"/>
  <c r="E105" i="39" s="1"/>
  <c r="F105" i="39" s="1"/>
  <c r="F31" i="39"/>
  <c r="G20" i="20"/>
  <c r="B85" i="46"/>
  <c r="C22" i="20"/>
  <c r="B65" i="46" s="1"/>
  <c r="C27" i="40"/>
  <c r="C31" i="39"/>
  <c r="B54" i="46"/>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15" i="57"/>
  <c r="I9" i="57"/>
  <c r="I8" i="57"/>
  <c r="I7" i="57"/>
  <c r="I6" i="57"/>
  <c r="I5" i="57"/>
  <c r="I4" i="57"/>
  <c r="I10" i="57" s="1"/>
  <c r="I3" i="57"/>
  <c r="C30" i="57"/>
  <c r="E26" i="57" s="1"/>
  <c r="C112" i="9"/>
  <c r="C7" i="11"/>
  <c r="F80" i="46"/>
  <c r="H81" i="46" s="1"/>
  <c r="D1" i="46"/>
  <c r="F113" i="46"/>
  <c r="D99" i="46"/>
  <c r="D108" i="46" s="1"/>
  <c r="E99" i="46"/>
  <c r="E108" i="46" s="1"/>
  <c r="F99" i="46"/>
  <c r="F100" i="46" s="1"/>
  <c r="G99" i="46"/>
  <c r="G108" i="46"/>
  <c r="H99" i="46"/>
  <c r="H108" i="46" s="1"/>
  <c r="I99" i="46"/>
  <c r="I108" i="46" s="1"/>
  <c r="J99" i="46"/>
  <c r="J108" i="46"/>
  <c r="K99" i="46"/>
  <c r="K108" i="46"/>
  <c r="L99" i="46"/>
  <c r="L108"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c r="D85" i="46"/>
  <c r="K85" i="46"/>
  <c r="J85" i="46" s="1"/>
  <c r="M84" i="46"/>
  <c r="N84" i="46" s="1"/>
  <c r="K84" i="46"/>
  <c r="J84" i="46" s="1"/>
  <c r="M83" i="46"/>
  <c r="N83" i="46"/>
  <c r="K83" i="46"/>
  <c r="J83" i="46" s="1"/>
  <c r="M82" i="46"/>
  <c r="N82" i="46" s="1"/>
  <c r="K82" i="46"/>
  <c r="J82" i="46" s="1"/>
  <c r="D82" i="46"/>
  <c r="M81" i="46"/>
  <c r="N81" i="46" s="1"/>
  <c r="K81" i="46"/>
  <c r="J81" i="46" s="1"/>
  <c r="M80" i="46"/>
  <c r="N80" i="46" s="1"/>
  <c r="K80" i="46"/>
  <c r="J80" i="46"/>
  <c r="D76" i="46"/>
  <c r="D74" i="46"/>
  <c r="D73" i="46"/>
  <c r="D72" i="46"/>
  <c r="D70" i="46"/>
  <c r="M66" i="46"/>
  <c r="N66" i="46" s="1"/>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E19" i="4"/>
  <c r="F7" i="1" s="1"/>
  <c r="I20" i="7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2" i="6"/>
  <c r="E23" i="6"/>
  <c r="E24" i="6"/>
  <c r="E25" i="6"/>
  <c r="E26" i="6"/>
  <c r="D38" i="4"/>
  <c r="C39" i="4" s="1"/>
  <c r="C35" i="4"/>
  <c r="E16" i="12"/>
  <c r="F14" i="12"/>
  <c r="F15" i="12"/>
  <c r="F17"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22" i="1"/>
  <c r="G26"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c r="G50" i="40"/>
  <c r="H50" i="40"/>
  <c r="E50" i="40"/>
  <c r="F50" i="40" s="1"/>
  <c r="I55" i="39"/>
  <c r="J55" i="39" s="1"/>
  <c r="G55" i="39"/>
  <c r="H55" i="39"/>
  <c r="E55" i="39"/>
  <c r="F55" i="39"/>
  <c r="I42" i="36"/>
  <c r="J42" i="36"/>
  <c r="G42" i="36"/>
  <c r="H42" i="36"/>
  <c r="E42" i="36"/>
  <c r="F42" i="36" s="1"/>
  <c r="I44" i="35"/>
  <c r="J44" i="35" s="1"/>
  <c r="G44" i="35"/>
  <c r="H44" i="35"/>
  <c r="E44" i="35"/>
  <c r="F44" i="35"/>
  <c r="I54" i="33"/>
  <c r="J54" i="33" s="1"/>
  <c r="G54" i="33"/>
  <c r="H54" i="33" s="1"/>
  <c r="E54" i="33"/>
  <c r="F54" i="33" s="1"/>
  <c r="H14" i="3"/>
  <c r="AC14" i="3"/>
  <c r="H15" i="3"/>
  <c r="AC15" i="3"/>
  <c r="G15" i="3" s="1"/>
  <c r="H16" i="3"/>
  <c r="AC16" i="3"/>
  <c r="H17" i="3"/>
  <c r="G17" i="3" s="1"/>
  <c r="AC17" i="3"/>
  <c r="H18" i="3"/>
  <c r="G18" i="3" s="1"/>
  <c r="AC18" i="3"/>
  <c r="BB18" i="3"/>
  <c r="BC18" i="3"/>
  <c r="BD18" i="3"/>
  <c r="BE18" i="3"/>
  <c r="BF18" i="3"/>
  <c r="BG18" i="3"/>
  <c r="BH18" i="3"/>
  <c r="BI18" i="3"/>
  <c r="BJ18" i="3"/>
  <c r="BK18" i="3"/>
  <c r="BM18" i="3"/>
  <c r="BL18" i="3" s="1"/>
  <c r="AZ18" i="3" s="1"/>
  <c r="BN18" i="3"/>
  <c r="BO18" i="3"/>
  <c r="BP18" i="3"/>
  <c r="BR18" i="3"/>
  <c r="BR5" i="3" s="1"/>
  <c r="BS18" i="3"/>
  <c r="BT18" i="3"/>
  <c r="H19" i="3"/>
  <c r="AC19" i="3"/>
  <c r="BB19" i="3"/>
  <c r="BC19" i="3"/>
  <c r="BD19" i="3"/>
  <c r="BE19" i="3"/>
  <c r="BE5" i="3" s="1"/>
  <c r="BF19" i="3"/>
  <c r="BG19" i="3"/>
  <c r="BH19" i="3"/>
  <c r="BI19" i="3"/>
  <c r="BJ19" i="3"/>
  <c r="BK19" i="3"/>
  <c r="BK5" i="3" s="1"/>
  <c r="BM19" i="3"/>
  <c r="BN19" i="3"/>
  <c r="BL19" i="3" s="1"/>
  <c r="BO19" i="3"/>
  <c r="BP19" i="3"/>
  <c r="BP5" i="3" s="1"/>
  <c r="G29" i="6" s="1"/>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L496" i="3" s="1"/>
  <c r="AZ496" i="3" s="1"/>
  <c r="BN496" i="3"/>
  <c r="BO496" i="3"/>
  <c r="BP496" i="3"/>
  <c r="BR496" i="3"/>
  <c r="BS496" i="3"/>
  <c r="BT496" i="3"/>
  <c r="H497" i="3"/>
  <c r="AC497" i="3"/>
  <c r="BB497" i="3"/>
  <c r="BC497" i="3"/>
  <c r="BD497" i="3"/>
  <c r="BE497" i="3"/>
  <c r="BF497" i="3"/>
  <c r="BG497" i="3"/>
  <c r="BH497" i="3"/>
  <c r="BI497" i="3"/>
  <c r="BJ497" i="3"/>
  <c r="BK497" i="3"/>
  <c r="BM497" i="3"/>
  <c r="BN497" i="3"/>
  <c r="BL497" i="3" s="1"/>
  <c r="AZ497" i="3" s="1"/>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AC499" i="3"/>
  <c r="BB499" i="3"/>
  <c r="BA499" i="3" s="1"/>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A527" i="3" s="1"/>
  <c r="BC527" i="3"/>
  <c r="BD527" i="3"/>
  <c r="BE527" i="3"/>
  <c r="BF527" i="3"/>
  <c r="BG527" i="3"/>
  <c r="BH527" i="3"/>
  <c r="BI527" i="3"/>
  <c r="BJ527" i="3"/>
  <c r="BK527" i="3"/>
  <c r="BM527" i="3"/>
  <c r="BL527" i="3" s="1"/>
  <c r="BN527" i="3"/>
  <c r="BO527" i="3"/>
  <c r="BP527" i="3"/>
  <c r="BQ527" i="3"/>
  <c r="BR527" i="3"/>
  <c r="BS527" i="3"/>
  <c r="BT527" i="3"/>
  <c r="H528" i="3"/>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AZ529" i="3" s="1"/>
  <c r="BD529" i="3"/>
  <c r="BE529" i="3"/>
  <c r="BF529" i="3"/>
  <c r="BG529" i="3"/>
  <c r="BH529" i="3"/>
  <c r="BI529" i="3"/>
  <c r="BJ529" i="3"/>
  <c r="BK529" i="3"/>
  <c r="BM529" i="3"/>
  <c r="BN529" i="3"/>
  <c r="BO529" i="3"/>
  <c r="BP529" i="3"/>
  <c r="BQ529" i="3"/>
  <c r="BR529" i="3"/>
  <c r="BS529" i="3"/>
  <c r="BT529" i="3"/>
  <c r="H530" i="3"/>
  <c r="AC530" i="3"/>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L536" i="3" s="1"/>
  <c r="AZ536" i="3" s="1"/>
  <c r="BO536" i="3"/>
  <c r="BP536" i="3"/>
  <c r="BR536" i="3"/>
  <c r="BS536" i="3"/>
  <c r="BT536" i="3"/>
  <c r="H537" i="3"/>
  <c r="G537" i="3" s="1"/>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L538" i="3" s="1"/>
  <c r="BN538" i="3"/>
  <c r="BO538" i="3"/>
  <c r="BP538" i="3"/>
  <c r="BR538" i="3"/>
  <c r="BS538" i="3"/>
  <c r="BT538" i="3"/>
  <c r="H539" i="3"/>
  <c r="AC539" i="3"/>
  <c r="G539" i="3" s="1"/>
  <c r="BB539" i="3"/>
  <c r="BC539" i="3"/>
  <c r="BA539" i="3" s="1"/>
  <c r="AZ539" i="3" s="1"/>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L540" i="3" s="1"/>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A544" i="3" s="1"/>
  <c r="AZ544" i="3" s="1"/>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A547" i="3" s="1"/>
  <c r="AZ547" i="3" s="1"/>
  <c r="BD547" i="3"/>
  <c r="BE547" i="3"/>
  <c r="BF547" i="3"/>
  <c r="BG547" i="3"/>
  <c r="BH547" i="3"/>
  <c r="BI547" i="3"/>
  <c r="BJ547" i="3"/>
  <c r="BK547" i="3"/>
  <c r="BM547" i="3"/>
  <c r="BN547" i="3"/>
  <c r="BO547" i="3"/>
  <c r="BP547" i="3"/>
  <c r="BQ547" i="3"/>
  <c r="BR547" i="3"/>
  <c r="BS547" i="3"/>
  <c r="BT547" i="3"/>
  <c r="H548" i="3"/>
  <c r="G548" i="3"/>
  <c r="AC548" i="3"/>
  <c r="BB548" i="3"/>
  <c r="BA548" i="3" s="1"/>
  <c r="AZ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L554" i="3" s="1"/>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L558" i="3" s="1"/>
  <c r="BO558" i="3"/>
  <c r="BP558" i="3"/>
  <c r="BR558" i="3"/>
  <c r="BS558" i="3"/>
  <c r="BT558" i="3"/>
  <c r="H559" i="3"/>
  <c r="AC559" i="3"/>
  <c r="BB559" i="3"/>
  <c r="BA559" i="3" s="1"/>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E560" i="3"/>
  <c r="BF560" i="3"/>
  <c r="BG560" i="3"/>
  <c r="BH560" i="3"/>
  <c r="BI560" i="3"/>
  <c r="BJ560" i="3"/>
  <c r="BK560" i="3"/>
  <c r="BM560" i="3"/>
  <c r="BL560" i="3" s="1"/>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AZ567" i="3" s="1"/>
  <c r="BC567" i="3"/>
  <c r="BD567" i="3"/>
  <c r="BE567" i="3"/>
  <c r="BF567" i="3"/>
  <c r="BG567" i="3"/>
  <c r="BH567" i="3"/>
  <c r="BI567" i="3"/>
  <c r="BJ567" i="3"/>
  <c r="BK567" i="3"/>
  <c r="BM567" i="3"/>
  <c r="BN567" i="3"/>
  <c r="BO567" i="3"/>
  <c r="BP567" i="3"/>
  <c r="BQ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H31" i="35"/>
  <c r="F31" i="35"/>
  <c r="AA31" i="35" s="1"/>
  <c r="D87" i="35"/>
  <c r="E87" i="35" s="1"/>
  <c r="F87" i="35" s="1"/>
  <c r="G87" i="35" s="1"/>
  <c r="H87" i="35" s="1"/>
  <c r="I87" i="35" s="1"/>
  <c r="J87" i="35" s="1"/>
  <c r="K87" i="35" s="1"/>
  <c r="L87" i="35" s="1"/>
  <c r="M87" i="35" s="1"/>
  <c r="H34" i="37"/>
  <c r="AB34" i="37" s="1"/>
  <c r="D101" i="37"/>
  <c r="F34" i="37"/>
  <c r="S34" i="37" s="1"/>
  <c r="D99" i="37"/>
  <c r="E99" i="37"/>
  <c r="H42" i="34"/>
  <c r="J42" i="34"/>
  <c r="AC42" i="34" s="1"/>
  <c r="F42" i="34"/>
  <c r="J38" i="34"/>
  <c r="D114" i="34"/>
  <c r="F38" i="34"/>
  <c r="S38" i="34" s="1"/>
  <c r="D112" i="34"/>
  <c r="E112" i="34" s="1"/>
  <c r="F112" i="34" s="1"/>
  <c r="G112" i="34" s="1"/>
  <c r="F40" i="33"/>
  <c r="J41" i="33"/>
  <c r="AC41" i="33" s="1"/>
  <c r="D113" i="33"/>
  <c r="D111" i="33"/>
  <c r="E111" i="33" s="1"/>
  <c r="S515" i="31"/>
  <c r="S517" i="31"/>
  <c r="S519" i="31"/>
  <c r="S521" i="31"/>
  <c r="S523" i="31"/>
  <c r="F41" i="21"/>
  <c r="J41" i="21"/>
  <c r="H41" i="21"/>
  <c r="U41" i="21"/>
  <c r="D83" i="39"/>
  <c r="E83" i="39"/>
  <c r="F83" i="39" s="1"/>
  <c r="G83" i="39"/>
  <c r="H83" i="39" s="1"/>
  <c r="I83" i="39" s="1"/>
  <c r="J83" i="39" s="1"/>
  <c r="K83" i="39" s="1"/>
  <c r="L83" i="39" s="1"/>
  <c r="M83" i="39" s="1"/>
  <c r="D78" i="40"/>
  <c r="F13" i="40"/>
  <c r="S13" i="40" s="1"/>
  <c r="B122" i="40"/>
  <c r="F42" i="40"/>
  <c r="AA42" i="40" s="1"/>
  <c r="B120" i="40"/>
  <c r="H41" i="40" s="1"/>
  <c r="U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D102" i="40"/>
  <c r="E102" i="40" s="1"/>
  <c r="F102" i="40" s="1"/>
  <c r="G102" i="40"/>
  <c r="H102" i="40" s="1"/>
  <c r="I102" i="40" s="1"/>
  <c r="J102" i="40" s="1"/>
  <c r="K102" i="40" s="1"/>
  <c r="L102" i="40" s="1"/>
  <c r="M102" i="40" s="1"/>
  <c r="D100" i="40"/>
  <c r="E100" i="40"/>
  <c r="D98" i="40"/>
  <c r="E98" i="40" s="1"/>
  <c r="B97" i="40"/>
  <c r="F29" i="40" s="1"/>
  <c r="D94" i="40"/>
  <c r="D92" i="40"/>
  <c r="E92" i="40" s="1"/>
  <c r="F92" i="40" s="1"/>
  <c r="G92" i="40" s="1"/>
  <c r="D90" i="40"/>
  <c r="H21" i="40"/>
  <c r="AB21" i="40" s="1"/>
  <c r="D88" i="40"/>
  <c r="E88" i="40" s="1"/>
  <c r="D86" i="40"/>
  <c r="E86" i="40" s="1"/>
  <c r="F86" i="40" s="1"/>
  <c r="G86" i="40" s="1"/>
  <c r="J17" i="40"/>
  <c r="B83" i="40"/>
  <c r="F16" i="40"/>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c r="Q36" i="40"/>
  <c r="Z36" i="40"/>
  <c r="Q35" i="40"/>
  <c r="Z35" i="40" s="1"/>
  <c r="Q34" i="40"/>
  <c r="Z34" i="40" s="1"/>
  <c r="Q33" i="40"/>
  <c r="Z33" i="40"/>
  <c r="Q32" i="40"/>
  <c r="Z32" i="40"/>
  <c r="Q30" i="40"/>
  <c r="Z30" i="40"/>
  <c r="Q29" i="40"/>
  <c r="Z29" i="40"/>
  <c r="Q25" i="40"/>
  <c r="Z25" i="40" s="1"/>
  <c r="Q23" i="40"/>
  <c r="Z23" i="40" s="1"/>
  <c r="Q21" i="40"/>
  <c r="Z21" i="40"/>
  <c r="Q19" i="40"/>
  <c r="Z19" i="40"/>
  <c r="Q17" i="40"/>
  <c r="Z17" i="40"/>
  <c r="Q16" i="40"/>
  <c r="Z16" i="40"/>
  <c r="Q15" i="40"/>
  <c r="Z15" i="40" s="1"/>
  <c r="Q14" i="40"/>
  <c r="Z14" i="40" s="1"/>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c r="Q47" i="39"/>
  <c r="Z47" i="39"/>
  <c r="Q40" i="39"/>
  <c r="Z40" i="39"/>
  <c r="Q38" i="39"/>
  <c r="Z38" i="39"/>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s="1"/>
  <c r="Q27" i="39"/>
  <c r="Z27" i="39"/>
  <c r="Q25" i="39"/>
  <c r="Z25" i="39"/>
  <c r="Q23" i="39"/>
  <c r="Z23" i="39"/>
  <c r="Q21" i="39"/>
  <c r="Z21" i="39"/>
  <c r="Q19" i="39"/>
  <c r="Z19" i="39" s="1"/>
  <c r="Q17" i="39"/>
  <c r="Z17" i="39" s="1"/>
  <c r="Q16" i="39"/>
  <c r="Z16" i="39"/>
  <c r="Q15" i="39"/>
  <c r="Z15" i="39"/>
  <c r="Q14" i="39"/>
  <c r="Z14" i="39"/>
  <c r="Q13" i="39"/>
  <c r="Z13" i="39"/>
  <c r="Q12" i="39"/>
  <c r="Z12" i="39" s="1"/>
  <c r="Q11" i="39"/>
  <c r="Z11" i="39" s="1"/>
  <c r="U10" i="39"/>
  <c r="C9" i="39"/>
  <c r="C70" i="39" s="1"/>
  <c r="C20" i="36"/>
  <c r="C20" i="35"/>
  <c r="C16" i="36"/>
  <c r="C16" i="35"/>
  <c r="C14" i="36"/>
  <c r="C14" i="35"/>
  <c r="B80" i="37"/>
  <c r="B110" i="37"/>
  <c r="B108" i="37"/>
  <c r="C23" i="37"/>
  <c r="C19" i="37"/>
  <c r="C17" i="37"/>
  <c r="C15" i="37"/>
  <c r="B112" i="37"/>
  <c r="F40" i="37" s="1"/>
  <c r="AA40" i="37" s="1"/>
  <c r="D107" i="37"/>
  <c r="E107" i="37" s="1"/>
  <c r="D105" i="37"/>
  <c r="E105" i="37" s="1"/>
  <c r="H36" i="37"/>
  <c r="D103" i="37"/>
  <c r="E103" i="37" s="1"/>
  <c r="J35" i="37"/>
  <c r="AC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c r="F79" i="37" s="1"/>
  <c r="G79" i="37" s="1"/>
  <c r="D75" i="37"/>
  <c r="E75" i="37"/>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Q29" i="37"/>
  <c r="Z29" i="37"/>
  <c r="H29" i="37"/>
  <c r="U29" i="37"/>
  <c r="Q28" i="37"/>
  <c r="Z28" i="37"/>
  <c r="Q27" i="37"/>
  <c r="Z27" i="37" s="1"/>
  <c r="Q26" i="37"/>
  <c r="Z26" i="37" s="1"/>
  <c r="H26" i="37"/>
  <c r="AB26" i="37" s="1"/>
  <c r="Q25" i="37"/>
  <c r="Z25" i="37" s="1"/>
  <c r="Q23" i="37"/>
  <c r="Z23" i="37" s="1"/>
  <c r="Q19" i="37"/>
  <c r="Z19" i="37" s="1"/>
  <c r="Q17" i="37"/>
  <c r="Z17" i="37" s="1"/>
  <c r="Q15" i="37"/>
  <c r="Z15" i="37" s="1"/>
  <c r="Q14" i="37"/>
  <c r="Z14" i="37"/>
  <c r="Q13" i="37"/>
  <c r="Z13" i="37"/>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c r="B75" i="36"/>
  <c r="J25" i="36" s="1"/>
  <c r="B73" i="36"/>
  <c r="J24" i="36" s="1"/>
  <c r="W24" i="36" s="1"/>
  <c r="B71" i="36"/>
  <c r="D70" i="36"/>
  <c r="H22" i="36"/>
  <c r="AB22" i="36" s="1"/>
  <c r="D68" i="36"/>
  <c r="E68" i="36" s="1"/>
  <c r="D64" i="36"/>
  <c r="E64" i="36" s="1"/>
  <c r="F64" i="36"/>
  <c r="G64" i="36" s="1"/>
  <c r="J16" i="36"/>
  <c r="D62" i="36"/>
  <c r="E62" i="36" s="1"/>
  <c r="B59" i="36"/>
  <c r="J13" i="36" s="1"/>
  <c r="B57" i="36"/>
  <c r="B55" i="36"/>
  <c r="F54" i="36"/>
  <c r="G54" i="36" s="1"/>
  <c r="H54" i="36" s="1"/>
  <c r="I54" i="36" s="1"/>
  <c r="J10" i="36"/>
  <c r="W10" i="36" s="1"/>
  <c r="C51" i="36"/>
  <c r="J9" i="36" s="1"/>
  <c r="AC9" i="36" s="1"/>
  <c r="P37" i="36"/>
  <c r="P36" i="36"/>
  <c r="V35" i="36"/>
  <c r="T35" i="36"/>
  <c r="R35" i="36"/>
  <c r="P35" i="36"/>
  <c r="Q34" i="36"/>
  <c r="Z34" i="36"/>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c r="J22" i="36"/>
  <c r="AC22" i="36" s="1"/>
  <c r="Q20" i="36"/>
  <c r="Z20" i="36" s="1"/>
  <c r="Q16" i="36"/>
  <c r="Z16" i="36"/>
  <c r="Q14" i="36"/>
  <c r="Z14" i="36"/>
  <c r="Q13" i="36"/>
  <c r="Z13" i="36"/>
  <c r="Q12" i="36"/>
  <c r="Z12" i="36"/>
  <c r="Q11" i="36"/>
  <c r="Z11" i="36" s="1"/>
  <c r="Q10" i="36"/>
  <c r="Z10" i="36"/>
  <c r="F10" i="36"/>
  <c r="AA10" i="36" s="1"/>
  <c r="Q9" i="36"/>
  <c r="Z9" i="36" s="1"/>
  <c r="H9" i="36"/>
  <c r="AB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s="1"/>
  <c r="J22" i="35"/>
  <c r="AC22" i="35" s="1"/>
  <c r="B101" i="35"/>
  <c r="B99" i="35"/>
  <c r="F35" i="35" s="1"/>
  <c r="S35" i="35" s="1"/>
  <c r="B97" i="35"/>
  <c r="B77" i="35"/>
  <c r="B75" i="35"/>
  <c r="J24" i="35" s="1"/>
  <c r="AC24" i="35" s="1"/>
  <c r="B73" i="35"/>
  <c r="J23" i="35" s="1"/>
  <c r="B57" i="35"/>
  <c r="B61" i="35"/>
  <c r="B59" i="35"/>
  <c r="F12" i="35" s="1"/>
  <c r="AA12" i="35" s="1"/>
  <c r="B131" i="34"/>
  <c r="B129" i="34"/>
  <c r="B127" i="34"/>
  <c r="H45" i="34" s="1"/>
  <c r="U45" i="34" s="1"/>
  <c r="B99" i="34"/>
  <c r="B97" i="34"/>
  <c r="B95" i="34"/>
  <c r="B93" i="34"/>
  <c r="B75" i="34"/>
  <c r="B73" i="34"/>
  <c r="B71" i="34"/>
  <c r="B130" i="33"/>
  <c r="B128" i="33"/>
  <c r="F45" i="33" s="1"/>
  <c r="S45" i="33" s="1"/>
  <c r="H45" i="33"/>
  <c r="U45" i="33" s="1"/>
  <c r="B126" i="33"/>
  <c r="B98" i="33"/>
  <c r="B96" i="33"/>
  <c r="B94" i="33"/>
  <c r="B74" i="33"/>
  <c r="H14" i="33" s="1"/>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G56" i="35" s="1"/>
  <c r="H56" i="35" s="1"/>
  <c r="I56" i="35" s="1"/>
  <c r="C53" i="35"/>
  <c r="P39" i="35"/>
  <c r="P38" i="35"/>
  <c r="V37" i="35"/>
  <c r="T37" i="35"/>
  <c r="R37" i="35"/>
  <c r="P37" i="35"/>
  <c r="Q36" i="35"/>
  <c r="Z36" i="35" s="1"/>
  <c r="Q35" i="35"/>
  <c r="Z35" i="35" s="1"/>
  <c r="Q34" i="35"/>
  <c r="Z34" i="35" s="1"/>
  <c r="J34" i="35"/>
  <c r="AC34" i="35" s="1"/>
  <c r="H34" i="35"/>
  <c r="AB34" i="35" s="1"/>
  <c r="F34" i="35"/>
  <c r="Q33" i="35"/>
  <c r="Z33" i="35" s="1"/>
  <c r="Q32" i="35"/>
  <c r="Z32" i="35" s="1"/>
  <c r="H32" i="35"/>
  <c r="AB32" i="35"/>
  <c r="F32" i="35"/>
  <c r="AA32" i="35" s="1"/>
  <c r="Q31" i="35"/>
  <c r="Z31" i="35" s="1"/>
  <c r="AB31" i="35"/>
  <c r="Q30" i="35"/>
  <c r="Z30" i="35" s="1"/>
  <c r="Q29" i="35"/>
  <c r="Z29" i="35" s="1"/>
  <c r="Q28" i="35"/>
  <c r="Z28" i="35" s="1"/>
  <c r="J28" i="35"/>
  <c r="AC28" i="35" s="1"/>
  <c r="H28" i="35"/>
  <c r="F28" i="35"/>
  <c r="AA28" i="35" s="1"/>
  <c r="Q27" i="35"/>
  <c r="Z27" i="35" s="1"/>
  <c r="Q26" i="35"/>
  <c r="Z26" i="35"/>
  <c r="Q25" i="35"/>
  <c r="Z25" i="35"/>
  <c r="Q24" i="35"/>
  <c r="Z24" i="35" s="1"/>
  <c r="Q23" i="35"/>
  <c r="Z23" i="35" s="1"/>
  <c r="Q22" i="35"/>
  <c r="Z22" i="35" s="1"/>
  <c r="Q20" i="35"/>
  <c r="Z20" i="35"/>
  <c r="Q16" i="35"/>
  <c r="Z16" i="35"/>
  <c r="Q14" i="35"/>
  <c r="Z14" i="35" s="1"/>
  <c r="Q13" i="35"/>
  <c r="Z13" i="35" s="1"/>
  <c r="Q12" i="35"/>
  <c r="Z12" i="35"/>
  <c r="Q11" i="35"/>
  <c r="Z11" i="35"/>
  <c r="Q10" i="35"/>
  <c r="Z10" i="35"/>
  <c r="Q9" i="35"/>
  <c r="Z9" i="35" s="1"/>
  <c r="J8" i="35"/>
  <c r="W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S28" i="34" s="1"/>
  <c r="B89" i="34"/>
  <c r="J27" i="34" s="1"/>
  <c r="W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c r="J39" i="34"/>
  <c r="AC39" i="34" s="1"/>
  <c r="H39" i="34"/>
  <c r="AB39" i="34" s="1"/>
  <c r="F39" i="34"/>
  <c r="S39" i="34" s="1"/>
  <c r="Q38" i="34"/>
  <c r="Z38" i="34" s="1"/>
  <c r="Q37" i="34"/>
  <c r="Z37" i="34"/>
  <c r="Q36" i="34"/>
  <c r="Z36" i="34"/>
  <c r="Q35" i="34"/>
  <c r="Z35" i="34" s="1"/>
  <c r="Q34" i="34"/>
  <c r="Z34" i="34" s="1"/>
  <c r="Q33" i="34"/>
  <c r="Z33" i="34" s="1"/>
  <c r="Q32" i="34"/>
  <c r="Z32" i="34" s="1"/>
  <c r="Q31" i="34"/>
  <c r="Z31" i="34" s="1"/>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s="1"/>
  <c r="Q12" i="34"/>
  <c r="Z12" i="34" s="1"/>
  <c r="Q11" i="34"/>
  <c r="Z11" i="34" s="1"/>
  <c r="Q10" i="34"/>
  <c r="Z10" i="34" s="1"/>
  <c r="F10" i="34"/>
  <c r="AA10" i="34" s="1"/>
  <c r="Q9" i="34"/>
  <c r="Z9" i="34" s="1"/>
  <c r="J9" i="34"/>
  <c r="J8" i="34"/>
  <c r="AC8" i="34"/>
  <c r="H8" i="34"/>
  <c r="U8" i="34" s="1"/>
  <c r="F8" i="34"/>
  <c r="AA8" i="34" s="1"/>
  <c r="C7" i="34"/>
  <c r="C59" i="34" s="1"/>
  <c r="D121" i="33"/>
  <c r="F109" i="33"/>
  <c r="E109" i="33"/>
  <c r="D109" i="33"/>
  <c r="C109" i="33"/>
  <c r="D91" i="33"/>
  <c r="B88" i="33"/>
  <c r="C23" i="33"/>
  <c r="C19" i="33"/>
  <c r="C17" i="33"/>
  <c r="C15" i="33"/>
  <c r="C15" i="21"/>
  <c r="D125" i="33"/>
  <c r="D123" i="33"/>
  <c r="E123" i="33" s="1"/>
  <c r="F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J27" i="33" s="1"/>
  <c r="AC27" i="33" s="1"/>
  <c r="D87" i="33"/>
  <c r="E87" i="33" s="1"/>
  <c r="F87" i="33" s="1"/>
  <c r="D85" i="33"/>
  <c r="E85" i="33" s="1"/>
  <c r="D81" i="33"/>
  <c r="E81" i="33" s="1"/>
  <c r="D79" i="33"/>
  <c r="E79" i="33" s="1"/>
  <c r="F79" i="33" s="1"/>
  <c r="G79" i="33" s="1"/>
  <c r="D77" i="33"/>
  <c r="E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c r="Q43" i="33"/>
  <c r="Z43" i="33" s="1"/>
  <c r="Q42" i="33"/>
  <c r="Z42" i="33" s="1"/>
  <c r="Q41" i="33"/>
  <c r="Z41" i="33" s="1"/>
  <c r="Q40" i="33"/>
  <c r="Z40" i="33"/>
  <c r="J40" i="33"/>
  <c r="AC40" i="33" s="1"/>
  <c r="H40" i="33"/>
  <c r="AB40" i="33" s="1"/>
  <c r="Q39" i="33"/>
  <c r="Z39" i="33" s="1"/>
  <c r="J39" i="33"/>
  <c r="AC39" i="33" s="1"/>
  <c r="Q38" i="33"/>
  <c r="Z38" i="33" s="1"/>
  <c r="J38" i="33"/>
  <c r="AC38" i="33" s="1"/>
  <c r="H38" i="33"/>
  <c r="AB38" i="33" s="1"/>
  <c r="F38" i="33"/>
  <c r="Q37" i="33"/>
  <c r="Z37" i="33" s="1"/>
  <c r="Q36" i="33"/>
  <c r="Z36" i="33" s="1"/>
  <c r="Q35" i="33"/>
  <c r="Z35" i="33"/>
  <c r="H35" i="33"/>
  <c r="AB35" i="33" s="1"/>
  <c r="Q34" i="33"/>
  <c r="Z34" i="33" s="1"/>
  <c r="Q33" i="33"/>
  <c r="Z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s="1"/>
  <c r="Q11" i="33"/>
  <c r="Z11" i="33" s="1"/>
  <c r="Q10" i="33"/>
  <c r="Z10" i="33"/>
  <c r="Q9" i="33"/>
  <c r="Z9" i="33" s="1"/>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c r="G15" i="20"/>
  <c r="C24" i="20"/>
  <c r="B51" i="46" s="1"/>
  <c r="C21" i="20"/>
  <c r="C20" i="20"/>
  <c r="B76" i="46" s="1"/>
  <c r="C18" i="20"/>
  <c r="C17" i="20"/>
  <c r="B58" i="46" s="1"/>
  <c r="C16" i="20"/>
  <c r="B47" i="46" s="1"/>
  <c r="C15" i="20"/>
  <c r="B69" i="46" s="1"/>
  <c r="E54" i="21"/>
  <c r="F54" i="21" s="1"/>
  <c r="I54" i="21"/>
  <c r="J54" i="21" s="1"/>
  <c r="G54" i="21"/>
  <c r="H54" i="21"/>
  <c r="D125" i="21"/>
  <c r="E125" i="21"/>
  <c r="F125" i="21" s="1"/>
  <c r="G125" i="21" s="1"/>
  <c r="D123" i="21"/>
  <c r="E123" i="21" s="1"/>
  <c r="F123" i="21"/>
  <c r="G123" i="21" s="1"/>
  <c r="H123" i="21" s="1"/>
  <c r="I123" i="21" s="1"/>
  <c r="J123" i="21" s="1"/>
  <c r="K123" i="21" s="1"/>
  <c r="L123" i="21" s="1"/>
  <c r="M123" i="21" s="1"/>
  <c r="H42" i="21"/>
  <c r="AB42" i="21" s="1"/>
  <c r="D119" i="21"/>
  <c r="D117" i="21"/>
  <c r="E117" i="21" s="1"/>
  <c r="F117" i="2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c r="F81" i="21" s="1"/>
  <c r="G81" i="21" s="1"/>
  <c r="D77" i="21"/>
  <c r="E77" i="21" s="1"/>
  <c r="B130" i="21"/>
  <c r="B128" i="21"/>
  <c r="J45" i="21" s="1"/>
  <c r="W45" i="21" s="1"/>
  <c r="B126" i="21"/>
  <c r="B98" i="21"/>
  <c r="B96" i="21"/>
  <c r="B94" i="21"/>
  <c r="B92" i="21"/>
  <c r="B90" i="21"/>
  <c r="B74" i="21"/>
  <c r="F14" i="21" s="1"/>
  <c r="AA14" i="21" s="1"/>
  <c r="B72" i="21"/>
  <c r="B70" i="21"/>
  <c r="F10" i="21"/>
  <c r="C7" i="21"/>
  <c r="C58" i="21" s="1"/>
  <c r="C19" i="21"/>
  <c r="C17" i="21"/>
  <c r="C23" i="21"/>
  <c r="Q9" i="21"/>
  <c r="Z9" i="21" s="1"/>
  <c r="Q10" i="21"/>
  <c r="Z10" i="21" s="1"/>
  <c r="Q11" i="21"/>
  <c r="Z11" i="21"/>
  <c r="Q12" i="21"/>
  <c r="Z12" i="21" s="1"/>
  <c r="Q13" i="21"/>
  <c r="Z13" i="21" s="1"/>
  <c r="Q14" i="21"/>
  <c r="Z14" i="21" s="1"/>
  <c r="Q15" i="21"/>
  <c r="Z15" i="21" s="1"/>
  <c r="Q17" i="21"/>
  <c r="Z17" i="21"/>
  <c r="Q19" i="21"/>
  <c r="Z19" i="21"/>
  <c r="Q23" i="21"/>
  <c r="Z23" i="21" s="1"/>
  <c r="Q25" i="21"/>
  <c r="Z25" i="21" s="1"/>
  <c r="Q26" i="21"/>
  <c r="Z26" i="21" s="1"/>
  <c r="Q27" i="21"/>
  <c r="Z27" i="21" s="1"/>
  <c r="Q28" i="21"/>
  <c r="Z28" i="21"/>
  <c r="Q29" i="21"/>
  <c r="Z29" i="21"/>
  <c r="Q30" i="21"/>
  <c r="Z30" i="21" s="1"/>
  <c r="Q31" i="21"/>
  <c r="Z31" i="21" s="1"/>
  <c r="Q32" i="21"/>
  <c r="Z32" i="21" s="1"/>
  <c r="Q33" i="21"/>
  <c r="Z33" i="21" s="1"/>
  <c r="Q34" i="21"/>
  <c r="Z34" i="21" s="1"/>
  <c r="J35" i="21"/>
  <c r="W35" i="21" s="1"/>
  <c r="Q35" i="21"/>
  <c r="Z35" i="21" s="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F20" i="6" s="1"/>
  <c r="C33" i="79" s="1"/>
  <c r="J5" i="3"/>
  <c r="BE10" i="3"/>
  <c r="BD13" i="3"/>
  <c r="BE13" i="3"/>
  <c r="BF13" i="3"/>
  <c r="BG13" i="3"/>
  <c r="BH13" i="3"/>
  <c r="BI13" i="3"/>
  <c r="BJ13" i="3"/>
  <c r="BJ5" i="3" s="1"/>
  <c r="BK13" i="3"/>
  <c r="BM13" i="3"/>
  <c r="BM5" i="3" s="1"/>
  <c r="F29" i="6"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c r="H34" i="21"/>
  <c r="U34" i="21" s="1"/>
  <c r="F43" i="21"/>
  <c r="S43" i="21" s="1"/>
  <c r="H38" i="21"/>
  <c r="AB38" i="21" s="1"/>
  <c r="H43" i="21"/>
  <c r="AB43" i="21" s="1"/>
  <c r="F32" i="21"/>
  <c r="F38" i="21"/>
  <c r="F36" i="21"/>
  <c r="S36" i="21" s="1"/>
  <c r="F39" i="21"/>
  <c r="AA39" i="21" s="1"/>
  <c r="J40" i="21"/>
  <c r="W40" i="21" s="1"/>
  <c r="H35" i="21"/>
  <c r="AB35" i="21" s="1"/>
  <c r="J8" i="21"/>
  <c r="AC8" i="21" s="1"/>
  <c r="H8" i="21"/>
  <c r="AB8" i="21" s="1"/>
  <c r="H10" i="21"/>
  <c r="U10" i="21" s="1"/>
  <c r="H39" i="21"/>
  <c r="J34" i="21"/>
  <c r="W34" i="21" s="1"/>
  <c r="H36" i="21"/>
  <c r="F35" i="21"/>
  <c r="AA35" i="21" s="1"/>
  <c r="J33" i="21"/>
  <c r="H33" i="21"/>
  <c r="U33" i="21" s="1"/>
  <c r="F33" i="21"/>
  <c r="AA33" i="21" s="1"/>
  <c r="J10" i="21"/>
  <c r="AC10" i="21" s="1"/>
  <c r="H26" i="21"/>
  <c r="F19" i="21"/>
  <c r="AA19" i="21" s="1"/>
  <c r="H19" i="21"/>
  <c r="AB19" i="21" s="1"/>
  <c r="J19" i="21"/>
  <c r="W19" i="21"/>
  <c r="J26" i="21"/>
  <c r="W26" i="21" s="1"/>
  <c r="F26" i="21"/>
  <c r="AA26" i="21" s="1"/>
  <c r="AB41" i="21"/>
  <c r="S41" i="21"/>
  <c r="AA41" i="21"/>
  <c r="S10" i="39"/>
  <c r="U30" i="37"/>
  <c r="F103" i="37"/>
  <c r="G103" i="37" s="1"/>
  <c r="H103" i="37" s="1"/>
  <c r="I103" i="37" s="1"/>
  <c r="J103" i="37" s="1"/>
  <c r="F29" i="36"/>
  <c r="AA29" i="36"/>
  <c r="F16" i="36"/>
  <c r="AA16" i="36" s="1"/>
  <c r="U22" i="36"/>
  <c r="W22" i="36"/>
  <c r="AC31" i="36"/>
  <c r="J33" i="36"/>
  <c r="W33" i="36"/>
  <c r="AC27" i="35"/>
  <c r="U31" i="35"/>
  <c r="W24" i="35"/>
  <c r="S31" i="35"/>
  <c r="U34" i="35"/>
  <c r="F36" i="34"/>
  <c r="S36" i="34" s="1"/>
  <c r="W39" i="34"/>
  <c r="H39" i="33"/>
  <c r="AB39" i="33" s="1"/>
  <c r="F26" i="33"/>
  <c r="AA26" i="33" s="1"/>
  <c r="S8" i="21"/>
  <c r="AB27" i="35"/>
  <c r="S10" i="40"/>
  <c r="W10" i="40"/>
  <c r="S11" i="40"/>
  <c r="U11" i="40"/>
  <c r="S36" i="40"/>
  <c r="U36" i="40"/>
  <c r="S40" i="39"/>
  <c r="S36" i="39"/>
  <c r="F11" i="21"/>
  <c r="S11" i="21" s="1"/>
  <c r="AC40" i="21"/>
  <c r="AC35" i="21"/>
  <c r="C29" i="39"/>
  <c r="U36" i="39"/>
  <c r="S42" i="39"/>
  <c r="H11" i="21"/>
  <c r="U11" i="21" s="1"/>
  <c r="J11" i="21"/>
  <c r="W11" i="21" s="1"/>
  <c r="F100" i="40"/>
  <c r="J27" i="36"/>
  <c r="W27" i="36" s="1"/>
  <c r="J30" i="35"/>
  <c r="W30" i="35" s="1"/>
  <c r="F22" i="35"/>
  <c r="AA22" i="35" s="1"/>
  <c r="H10" i="35"/>
  <c r="U10" i="35" s="1"/>
  <c r="U24" i="36"/>
  <c r="G85" i="36"/>
  <c r="H85" i="36" s="1"/>
  <c r="I85" i="36" s="1"/>
  <c r="J85" i="36" s="1"/>
  <c r="K85" i="36" s="1"/>
  <c r="L85" i="36" s="1"/>
  <c r="M85" i="36" s="1"/>
  <c r="J29" i="36"/>
  <c r="AC29" i="36" s="1"/>
  <c r="F24" i="36"/>
  <c r="AA24" i="36" s="1"/>
  <c r="F34" i="36"/>
  <c r="S34" i="36" s="1"/>
  <c r="S10" i="36"/>
  <c r="AB8" i="36"/>
  <c r="H16" i="35"/>
  <c r="H33" i="35"/>
  <c r="AB33" i="35" s="1"/>
  <c r="AC8" i="35"/>
  <c r="F35" i="37"/>
  <c r="E101" i="37"/>
  <c r="F101" i="37" s="1"/>
  <c r="G101" i="37" s="1"/>
  <c r="H101" i="37" s="1"/>
  <c r="I101" i="37" s="1"/>
  <c r="J101" i="37" s="1"/>
  <c r="K101" i="37" s="1"/>
  <c r="L101" i="37" s="1"/>
  <c r="M101" i="37" s="1"/>
  <c r="J34" i="37"/>
  <c r="W34" i="37"/>
  <c r="H43" i="34"/>
  <c r="U43" i="34" s="1"/>
  <c r="U42" i="34"/>
  <c r="E114" i="34"/>
  <c r="F114" i="34" s="1"/>
  <c r="G114" i="34" s="1"/>
  <c r="H114" i="34" s="1"/>
  <c r="I114" i="34" s="1"/>
  <c r="J114" i="34" s="1"/>
  <c r="K114" i="34" s="1"/>
  <c r="L114" i="34" s="1"/>
  <c r="M114" i="34" s="1"/>
  <c r="H36" i="34"/>
  <c r="U36" i="34" s="1"/>
  <c r="F33" i="34"/>
  <c r="S33" i="34" s="1"/>
  <c r="J10" i="34"/>
  <c r="AC10" i="34" s="1"/>
  <c r="W8" i="34"/>
  <c r="J28" i="34"/>
  <c r="W28" i="34" s="1"/>
  <c r="E113" i="33"/>
  <c r="F113" i="33" s="1"/>
  <c r="G113" i="33" s="1"/>
  <c r="F37" i="33" s="1"/>
  <c r="AA37" i="33" s="1"/>
  <c r="W40" i="33"/>
  <c r="AB30" i="36"/>
  <c r="S22" i="35"/>
  <c r="H29" i="35"/>
  <c r="U34" i="37"/>
  <c r="AA34" i="37"/>
  <c r="AB42" i="34"/>
  <c r="H37" i="33"/>
  <c r="AB37" i="33" s="1"/>
  <c r="W42" i="34"/>
  <c r="AA42" i="34"/>
  <c r="S42" i="34"/>
  <c r="AA38" i="34"/>
  <c r="J37" i="33"/>
  <c r="W37" i="33" s="1"/>
  <c r="J42" i="21"/>
  <c r="AC42" i="21" s="1"/>
  <c r="J44" i="34"/>
  <c r="AC44" i="34" s="1"/>
  <c r="F44" i="34"/>
  <c r="S44" i="34" s="1"/>
  <c r="J10" i="35"/>
  <c r="W10" i="35" s="1"/>
  <c r="AL5" i="3"/>
  <c r="BQ13" i="3"/>
  <c r="J14" i="21"/>
  <c r="H14" i="21"/>
  <c r="U14" i="21" s="1"/>
  <c r="J28" i="21"/>
  <c r="AC28" i="21" s="1"/>
  <c r="J44" i="21"/>
  <c r="AC44" i="21" s="1"/>
  <c r="H28" i="33"/>
  <c r="U28" i="33" s="1"/>
  <c r="F28" i="33"/>
  <c r="AA28" i="33" s="1"/>
  <c r="J28" i="33"/>
  <c r="W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c r="H27" i="21"/>
  <c r="AB27" i="21"/>
  <c r="J27" i="21"/>
  <c r="W27" i="21"/>
  <c r="F27" i="21"/>
  <c r="AA27" i="21" s="1"/>
  <c r="J29" i="21"/>
  <c r="AC29" i="21" s="1"/>
  <c r="H29" i="21"/>
  <c r="U29" i="21" s="1"/>
  <c r="F29" i="21"/>
  <c r="S29" i="21" s="1"/>
  <c r="J31" i="21"/>
  <c r="AC31" i="21" s="1"/>
  <c r="H31" i="21"/>
  <c r="U31" i="21" s="1"/>
  <c r="F31" i="21"/>
  <c r="S31" i="21" s="1"/>
  <c r="F13" i="33"/>
  <c r="J29" i="33"/>
  <c r="W29" i="33" s="1"/>
  <c r="J31" i="33"/>
  <c r="AC31" i="33" s="1"/>
  <c r="J45" i="33"/>
  <c r="W45" i="33" s="1"/>
  <c r="F11" i="35"/>
  <c r="S11" i="35" s="1"/>
  <c r="H28" i="36"/>
  <c r="J11" i="36"/>
  <c r="W11" i="36" s="1"/>
  <c r="H13" i="36"/>
  <c r="AB13" i="36"/>
  <c r="W13" i="36"/>
  <c r="F13" i="36"/>
  <c r="S13" i="36" s="1"/>
  <c r="E89" i="37"/>
  <c r="F89" i="37" s="1"/>
  <c r="G89" i="37" s="1"/>
  <c r="H89" i="37" s="1"/>
  <c r="I89" i="37"/>
  <c r="J89" i="37" s="1"/>
  <c r="K89" i="37" s="1"/>
  <c r="L89" i="37" s="1"/>
  <c r="M89" i="37" s="1"/>
  <c r="J29" i="37"/>
  <c r="W29" i="37"/>
  <c r="F29" i="37"/>
  <c r="AA29" i="37" s="1"/>
  <c r="F105" i="37"/>
  <c r="G105" i="37" s="1"/>
  <c r="AB36" i="37"/>
  <c r="F107" i="37"/>
  <c r="G107" i="37" s="1"/>
  <c r="H107" i="37" s="1"/>
  <c r="I107" i="37" s="1"/>
  <c r="J107" i="37" s="1"/>
  <c r="K107" i="37" s="1"/>
  <c r="J37" i="37"/>
  <c r="AC37" i="37" s="1"/>
  <c r="H37" i="37"/>
  <c r="U37" i="37" s="1"/>
  <c r="H40" i="37"/>
  <c r="U40" i="37" s="1"/>
  <c r="J40" i="37"/>
  <c r="W40" i="37" s="1"/>
  <c r="F14" i="33"/>
  <c r="AA14" i="33" s="1"/>
  <c r="H30" i="33"/>
  <c r="H44" i="33"/>
  <c r="U44" i="33" s="1"/>
  <c r="J44" i="33"/>
  <c r="AC44" i="33"/>
  <c r="F44" i="33"/>
  <c r="S44" i="33" s="1"/>
  <c r="F46" i="33"/>
  <c r="H13" i="34"/>
  <c r="U13" i="34" s="1"/>
  <c r="J13" i="34"/>
  <c r="W13" i="34" s="1"/>
  <c r="F13" i="34"/>
  <c r="AA13" i="34" s="1"/>
  <c r="J29" i="34"/>
  <c r="AC29" i="34" s="1"/>
  <c r="F31" i="34"/>
  <c r="S31" i="34" s="1"/>
  <c r="J45" i="34"/>
  <c r="W45" i="34" s="1"/>
  <c r="F45" i="34"/>
  <c r="AA45" i="34" s="1"/>
  <c r="H13" i="35"/>
  <c r="J35" i="35"/>
  <c r="AC35" i="35" s="1"/>
  <c r="H35" i="35"/>
  <c r="U35" i="35" s="1"/>
  <c r="W25" i="36"/>
  <c r="F25" i="36"/>
  <c r="AA25" i="36" s="1"/>
  <c r="H25" i="36"/>
  <c r="AB25" i="36" s="1"/>
  <c r="H13" i="37"/>
  <c r="AB13" i="37" s="1"/>
  <c r="F13" i="37"/>
  <c r="S13" i="37" s="1"/>
  <c r="J13" i="37"/>
  <c r="AC13" i="37" s="1"/>
  <c r="F28" i="37"/>
  <c r="AA28" i="37"/>
  <c r="J28" i="37"/>
  <c r="AC28" i="37" s="1"/>
  <c r="H28" i="37"/>
  <c r="U28" i="37" s="1"/>
  <c r="H38" i="37"/>
  <c r="AB38" i="37" s="1"/>
  <c r="J38" i="37"/>
  <c r="AC38" i="37" s="1"/>
  <c r="F38" i="37"/>
  <c r="S38" i="37" s="1"/>
  <c r="J27" i="37"/>
  <c r="W27" i="37" s="1"/>
  <c r="AA38" i="37"/>
  <c r="AB40" i="37"/>
  <c r="J36" i="37"/>
  <c r="AC36" i="37"/>
  <c r="AB31" i="21"/>
  <c r="U36" i="37"/>
  <c r="AC13" i="36"/>
  <c r="S19" i="21"/>
  <c r="G521" i="3"/>
  <c r="G517" i="3"/>
  <c r="G513" i="3"/>
  <c r="G508" i="3"/>
  <c r="G499" i="3"/>
  <c r="G493" i="3"/>
  <c r="G485" i="3"/>
  <c r="G565" i="3"/>
  <c r="G557" i="3"/>
  <c r="BL569" i="3"/>
  <c r="BL545" i="3"/>
  <c r="BL519" i="3"/>
  <c r="BL511" i="3"/>
  <c r="BL501" i="3"/>
  <c r="BL491" i="3"/>
  <c r="G16" i="3"/>
  <c r="BL551" i="3"/>
  <c r="G518" i="3"/>
  <c r="G514" i="3"/>
  <c r="G510" i="3"/>
  <c r="BL503" i="3"/>
  <c r="BL495" i="3"/>
  <c r="BA565" i="3"/>
  <c r="BA555" i="3"/>
  <c r="BA541" i="3"/>
  <c r="BA521" i="3"/>
  <c r="BA509" i="3"/>
  <c r="BA505" i="3"/>
  <c r="BA501" i="3"/>
  <c r="BA493" i="3"/>
  <c r="AZ493" i="3" s="1"/>
  <c r="BA487" i="3"/>
  <c r="BA566" i="3"/>
  <c r="BA560" i="3"/>
  <c r="BA550" i="3"/>
  <c r="BA536" i="3"/>
  <c r="BA520" i="3"/>
  <c r="AZ520" i="3" s="1"/>
  <c r="BA516" i="3"/>
  <c r="BA512" i="3"/>
  <c r="BA508" i="3"/>
  <c r="BA502" i="3"/>
  <c r="BA492" i="3"/>
  <c r="BA488" i="3"/>
  <c r="BA20" i="3"/>
  <c r="G566" i="3"/>
  <c r="G560" i="3"/>
  <c r="G550" i="3"/>
  <c r="AC542" i="3"/>
  <c r="G542" i="3" s="1"/>
  <c r="BQ542" i="3"/>
  <c r="BQ568" i="3"/>
  <c r="BQ566" i="3"/>
  <c r="BQ564" i="3"/>
  <c r="BQ562" i="3"/>
  <c r="BQ560" i="3"/>
  <c r="BQ558" i="3"/>
  <c r="BQ556" i="3"/>
  <c r="BQ554" i="3"/>
  <c r="BQ552" i="3"/>
  <c r="BQ550" i="3"/>
  <c r="BQ548" i="3"/>
  <c r="BQ546" i="3"/>
  <c r="BQ544" i="3"/>
  <c r="BL544" i="3" s="1"/>
  <c r="G530" i="3"/>
  <c r="G522" i="3"/>
  <c r="BQ540" i="3"/>
  <c r="BQ538" i="3"/>
  <c r="BQ536" i="3"/>
  <c r="BQ534" i="3"/>
  <c r="BQ532" i="3"/>
  <c r="BQ530" i="3"/>
  <c r="BQ528" i="3"/>
  <c r="BQ526" i="3"/>
  <c r="BQ524" i="3"/>
  <c r="BQ522" i="3"/>
  <c r="BQ520" i="3"/>
  <c r="BL520" i="3" s="1"/>
  <c r="BQ518" i="3"/>
  <c r="BQ516" i="3"/>
  <c r="BL516" i="3" s="1"/>
  <c r="AZ516" i="3" s="1"/>
  <c r="BQ514" i="3"/>
  <c r="BL514" i="3" s="1"/>
  <c r="BQ512" i="3"/>
  <c r="BQ510" i="3"/>
  <c r="BL510" i="3" s="1"/>
  <c r="BQ508" i="3"/>
  <c r="BL508" i="3" s="1"/>
  <c r="AC506" i="3"/>
  <c r="G506" i="3" s="1"/>
  <c r="BQ506" i="3"/>
  <c r="G502" i="3"/>
  <c r="BQ504" i="3"/>
  <c r="BQ502" i="3"/>
  <c r="BL502" i="3"/>
  <c r="BQ500" i="3"/>
  <c r="BL500" i="3"/>
  <c r="BQ498" i="3"/>
  <c r="BQ496" i="3"/>
  <c r="AC494" i="3"/>
  <c r="BQ494" i="3"/>
  <c r="BL493" i="3"/>
  <c r="G492" i="3"/>
  <c r="G488" i="3"/>
  <c r="BQ492" i="3"/>
  <c r="BL492" i="3" s="1"/>
  <c r="AZ492" i="3" s="1"/>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F39" i="33"/>
  <c r="AA39" i="33" s="1"/>
  <c r="F22" i="36"/>
  <c r="S22" i="36" s="1"/>
  <c r="H35" i="34"/>
  <c r="U35" i="34" s="1"/>
  <c r="F41" i="34"/>
  <c r="S41" i="34" s="1"/>
  <c r="H41" i="34"/>
  <c r="U41" i="34" s="1"/>
  <c r="J41" i="34"/>
  <c r="W41" i="34" s="1"/>
  <c r="F10" i="35"/>
  <c r="F24" i="35"/>
  <c r="AA24" i="35" s="1"/>
  <c r="H24" i="35"/>
  <c r="AB24" i="35" s="1"/>
  <c r="H23" i="37"/>
  <c r="AB23" i="37" s="1"/>
  <c r="J32" i="37"/>
  <c r="AC32" i="37" s="1"/>
  <c r="F36" i="37"/>
  <c r="S36" i="37"/>
  <c r="F37" i="37"/>
  <c r="AA37" i="37"/>
  <c r="U23" i="37"/>
  <c r="J43" i="33"/>
  <c r="AC43" i="33" s="1"/>
  <c r="J23" i="37"/>
  <c r="W23" i="37"/>
  <c r="F17" i="37"/>
  <c r="AA17" i="37"/>
  <c r="D3" i="21"/>
  <c r="AC33" i="36"/>
  <c r="AC23" i="37"/>
  <c r="AC8" i="37"/>
  <c r="AC45" i="33"/>
  <c r="U19" i="21"/>
  <c r="F43" i="33"/>
  <c r="AA43" i="33" s="1"/>
  <c r="L107" i="37"/>
  <c r="M107" i="37" s="1"/>
  <c r="F37" i="21"/>
  <c r="S37" i="21" s="1"/>
  <c r="J37" i="21"/>
  <c r="W37" i="21" s="1"/>
  <c r="J10" i="37"/>
  <c r="W10" i="37"/>
  <c r="F11" i="37"/>
  <c r="S11" i="37" s="1"/>
  <c r="J12" i="37"/>
  <c r="AC12" i="37" s="1"/>
  <c r="H12" i="37"/>
  <c r="AB12" i="37" s="1"/>
  <c r="F12" i="37"/>
  <c r="AA12" i="37" s="1"/>
  <c r="H15" i="37"/>
  <c r="F31" i="37"/>
  <c r="S31" i="37" s="1"/>
  <c r="H31" i="37"/>
  <c r="U31" i="37" s="1"/>
  <c r="J15" i="37"/>
  <c r="W15" i="37" s="1"/>
  <c r="U12" i="37"/>
  <c r="AB10" i="37"/>
  <c r="J11" i="37"/>
  <c r="W11" i="37" s="1"/>
  <c r="E90" i="40"/>
  <c r="F21" i="40"/>
  <c r="S21" i="40" s="1"/>
  <c r="W36" i="40"/>
  <c r="U40" i="39"/>
  <c r="F90" i="40"/>
  <c r="G90" i="40" s="1"/>
  <c r="J21" i="40"/>
  <c r="AC21" i="40"/>
  <c r="S27" i="31"/>
  <c r="G515" i="3"/>
  <c r="G507" i="3"/>
  <c r="G501" i="3"/>
  <c r="BA15" i="3"/>
  <c r="BL17" i="3"/>
  <c r="BL15" i="3"/>
  <c r="BA14" i="3"/>
  <c r="J57" i="39"/>
  <c r="H13" i="40"/>
  <c r="U13" i="40"/>
  <c r="I4" i="4"/>
  <c r="K141" i="21"/>
  <c r="K143" i="21"/>
  <c r="K144" i="21"/>
  <c r="I59" i="40"/>
  <c r="C59" i="40" s="1"/>
  <c r="I60" i="40"/>
  <c r="C60" i="40" s="1"/>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AZ118" i="3" s="1"/>
  <c r="BL119" i="3"/>
  <c r="G120" i="3"/>
  <c r="BA122" i="3"/>
  <c r="BL123" i="3"/>
  <c r="G124" i="3"/>
  <c r="BA126" i="3"/>
  <c r="AZ126" i="3" s="1"/>
  <c r="BL127" i="3"/>
  <c r="G128" i="3"/>
  <c r="BA130" i="3"/>
  <c r="BL131" i="3"/>
  <c r="AZ131" i="3" s="1"/>
  <c r="G132" i="3"/>
  <c r="BA134" i="3"/>
  <c r="BL135" i="3"/>
  <c r="G136" i="3"/>
  <c r="BA138" i="3"/>
  <c r="AZ138" i="3"/>
  <c r="BL139" i="3"/>
  <c r="G140" i="3"/>
  <c r="BA142" i="3"/>
  <c r="BL143" i="3"/>
  <c r="G144" i="3"/>
  <c r="BA146" i="3"/>
  <c r="AZ146" i="3" s="1"/>
  <c r="BL147" i="3"/>
  <c r="AZ147" i="3" s="1"/>
  <c r="G148" i="3"/>
  <c r="BA150" i="3"/>
  <c r="BL151" i="3"/>
  <c r="BA153" i="3"/>
  <c r="BL154" i="3"/>
  <c r="G155" i="3"/>
  <c r="BA157" i="3"/>
  <c r="BL158" i="3"/>
  <c r="G159" i="3"/>
  <c r="BA161" i="3"/>
  <c r="AZ161" i="3"/>
  <c r="BL162" i="3"/>
  <c r="G163" i="3"/>
  <c r="BA165" i="3"/>
  <c r="BL166" i="3"/>
  <c r="AZ166" i="3" s="1"/>
  <c r="G167" i="3"/>
  <c r="BA169" i="3"/>
  <c r="AZ169" i="3" s="1"/>
  <c r="BL170" i="3"/>
  <c r="G171" i="3"/>
  <c r="BA173" i="3"/>
  <c r="AZ173" i="3"/>
  <c r="BL174" i="3"/>
  <c r="AZ174" i="3" s="1"/>
  <c r="G175" i="3"/>
  <c r="BA178" i="3"/>
  <c r="BL179" i="3"/>
  <c r="G180" i="3"/>
  <c r="AZ23" i="3"/>
  <c r="AZ31" i="3"/>
  <c r="AZ35" i="3"/>
  <c r="BL181" i="3"/>
  <c r="G182" i="3"/>
  <c r="BA184" i="3"/>
  <c r="AZ184" i="3" s="1"/>
  <c r="BL185" i="3"/>
  <c r="G186" i="3"/>
  <c r="BA188" i="3"/>
  <c r="AZ188" i="3" s="1"/>
  <c r="BL189" i="3"/>
  <c r="G190" i="3"/>
  <c r="BA192" i="3"/>
  <c r="BL193" i="3"/>
  <c r="AZ193" i="3" s="1"/>
  <c r="G194" i="3"/>
  <c r="BA196" i="3"/>
  <c r="BL197" i="3"/>
  <c r="G198" i="3"/>
  <c r="BA200" i="3"/>
  <c r="BL201" i="3"/>
  <c r="AZ70" i="3"/>
  <c r="AZ82" i="3"/>
  <c r="AZ201" i="3"/>
  <c r="AZ84" i="3"/>
  <c r="G491" i="3"/>
  <c r="BA298" i="3"/>
  <c r="AZ298" i="3"/>
  <c r="BA299" i="3"/>
  <c r="BL299" i="3"/>
  <c r="G300" i="3"/>
  <c r="G303" i="3"/>
  <c r="BL304" i="3"/>
  <c r="BA306" i="3"/>
  <c r="AZ306" i="3" s="1"/>
  <c r="BA307" i="3"/>
  <c r="BL307" i="3"/>
  <c r="AZ307" i="3" s="1"/>
  <c r="G308" i="3"/>
  <c r="G319" i="3"/>
  <c r="BL320" i="3"/>
  <c r="BA322" i="3"/>
  <c r="BA323" i="3"/>
  <c r="AZ323" i="3" s="1"/>
  <c r="BL323" i="3"/>
  <c r="G324" i="3"/>
  <c r="G327" i="3"/>
  <c r="BL328" i="3"/>
  <c r="BA330" i="3"/>
  <c r="BA331" i="3"/>
  <c r="AZ331" i="3" s="1"/>
  <c r="BL331" i="3"/>
  <c r="G332" i="3"/>
  <c r="G335" i="3"/>
  <c r="BL336" i="3"/>
  <c r="BA338" i="3"/>
  <c r="BA339" i="3"/>
  <c r="AZ339" i="3" s="1"/>
  <c r="BL339" i="3"/>
  <c r="G340" i="3"/>
  <c r="G343" i="3"/>
  <c r="BL344" i="3"/>
  <c r="BA346" i="3"/>
  <c r="AZ346" i="3" s="1"/>
  <c r="BA347" i="3"/>
  <c r="BL347" i="3"/>
  <c r="G348" i="3"/>
  <c r="G351" i="3"/>
  <c r="BL352" i="3"/>
  <c r="BA354" i="3"/>
  <c r="BA355" i="3"/>
  <c r="BL355" i="3"/>
  <c r="G356" i="3"/>
  <c r="BA358" i="3"/>
  <c r="BA359" i="3"/>
  <c r="AZ359" i="3" s="1"/>
  <c r="BL359" i="3"/>
  <c r="G360" i="3"/>
  <c r="G361" i="3"/>
  <c r="BL362" i="3"/>
  <c r="BA364" i="3"/>
  <c r="AZ364" i="3"/>
  <c r="BA365" i="3"/>
  <c r="AZ365" i="3"/>
  <c r="BL365" i="3"/>
  <c r="G366" i="3"/>
  <c r="G369" i="3"/>
  <c r="BL370" i="3"/>
  <c r="BA372" i="3"/>
  <c r="AZ372" i="3"/>
  <c r="BA373" i="3"/>
  <c r="BL373" i="3"/>
  <c r="AZ373" i="3" s="1"/>
  <c r="G374" i="3"/>
  <c r="G377" i="3"/>
  <c r="BL378" i="3"/>
  <c r="BA380" i="3"/>
  <c r="BA381" i="3"/>
  <c r="AZ381" i="3"/>
  <c r="BL381" i="3"/>
  <c r="G382" i="3"/>
  <c r="G385" i="3"/>
  <c r="AZ183" i="3"/>
  <c r="AZ203" i="3"/>
  <c r="G523" i="3"/>
  <c r="BL297" i="3"/>
  <c r="G298" i="3"/>
  <c r="BA300" i="3"/>
  <c r="BL301" i="3"/>
  <c r="G302" i="3"/>
  <c r="BA304" i="3"/>
  <c r="AZ304" i="3" s="1"/>
  <c r="BL305" i="3"/>
  <c r="G306" i="3"/>
  <c r="BA308" i="3"/>
  <c r="AZ308" i="3" s="1"/>
  <c r="BL309" i="3"/>
  <c r="G310" i="3"/>
  <c r="BA310" i="3"/>
  <c r="AZ310" i="3" s="1"/>
  <c r="BL311" i="3"/>
  <c r="G312" i="3"/>
  <c r="BA312" i="3"/>
  <c r="AZ312" i="3" s="1"/>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353" i="3"/>
  <c r="G368" i="3"/>
  <c r="BA370" i="3"/>
  <c r="AZ370" i="3" s="1"/>
  <c r="BL371" i="3"/>
  <c r="G372" i="3"/>
  <c r="BA374" i="3"/>
  <c r="AZ374" i="3" s="1"/>
  <c r="BL375" i="3"/>
  <c r="G376" i="3"/>
  <c r="BA378" i="3"/>
  <c r="AZ378" i="3" s="1"/>
  <c r="BL379" i="3"/>
  <c r="G380" i="3"/>
  <c r="BA382" i="3"/>
  <c r="BL383" i="3"/>
  <c r="G384" i="3"/>
  <c r="AZ261" i="3"/>
  <c r="AZ383" i="3"/>
  <c r="AZ303" i="3"/>
  <c r="AZ438" i="3"/>
  <c r="H7" i="48"/>
  <c r="F33" i="46"/>
  <c r="H16" i="48"/>
  <c r="H9" i="48"/>
  <c r="H8" i="48"/>
  <c r="C12" i="46"/>
  <c r="AA13" i="40"/>
  <c r="E78" i="40"/>
  <c r="F78" i="40"/>
  <c r="G78" i="40" s="1"/>
  <c r="H78" i="40" s="1"/>
  <c r="I78" i="40" s="1"/>
  <c r="J78" i="40" s="1"/>
  <c r="K78" i="40" s="1"/>
  <c r="L78" i="40" s="1"/>
  <c r="M78" i="40" s="1"/>
  <c r="R16" i="4"/>
  <c r="P16" i="4"/>
  <c r="D3" i="35"/>
  <c r="G4" i="4"/>
  <c r="J16" i="35"/>
  <c r="W16" i="35" s="1"/>
  <c r="U42" i="21"/>
  <c r="AC26" i="36"/>
  <c r="AZ300" i="3"/>
  <c r="H13" i="39"/>
  <c r="AB13" i="39" s="1"/>
  <c r="F13" i="39"/>
  <c r="AA13" i="39" s="1"/>
  <c r="J13" i="39"/>
  <c r="AC13" i="39"/>
  <c r="H11" i="37"/>
  <c r="AB11" i="37" s="1"/>
  <c r="W37" i="37"/>
  <c r="AA36" i="37"/>
  <c r="AB17" i="37"/>
  <c r="AZ508" i="3"/>
  <c r="AC29" i="33"/>
  <c r="AA45" i="33"/>
  <c r="AC10" i="36"/>
  <c r="AB35" i="35"/>
  <c r="W44" i="33"/>
  <c r="AC29" i="37"/>
  <c r="J33" i="34"/>
  <c r="AC33" i="34" s="1"/>
  <c r="J40" i="34"/>
  <c r="W40" i="34" s="1"/>
  <c r="F16" i="35"/>
  <c r="AA16" i="35" s="1"/>
  <c r="J35" i="34"/>
  <c r="AC35" i="34" s="1"/>
  <c r="S30" i="36"/>
  <c r="H16" i="36"/>
  <c r="AB16" i="36" s="1"/>
  <c r="K103" i="37"/>
  <c r="L103" i="37" s="1"/>
  <c r="M103" i="37" s="1"/>
  <c r="H35" i="37"/>
  <c r="AB35" i="37" s="1"/>
  <c r="S26" i="21"/>
  <c r="H32" i="21"/>
  <c r="U32" i="21" s="1"/>
  <c r="S33" i="21"/>
  <c r="J32" i="21"/>
  <c r="AC32" i="21" s="1"/>
  <c r="G13" i="3"/>
  <c r="F17" i="21"/>
  <c r="S17" i="21" s="1"/>
  <c r="H17" i="21"/>
  <c r="AB17" i="21"/>
  <c r="J17" i="21"/>
  <c r="AC17" i="21"/>
  <c r="H37" i="21"/>
  <c r="U37" i="21" s="1"/>
  <c r="F40" i="21"/>
  <c r="S40" i="21" s="1"/>
  <c r="H40" i="21"/>
  <c r="AB40" i="21" s="1"/>
  <c r="E119" i="21"/>
  <c r="F119" i="21" s="1"/>
  <c r="G119" i="21" s="1"/>
  <c r="H119" i="21" s="1"/>
  <c r="I119" i="21" s="1"/>
  <c r="J119" i="21" s="1"/>
  <c r="K119" i="21" s="1"/>
  <c r="L119" i="21" s="1"/>
  <c r="M119" i="21" s="1"/>
  <c r="AA8" i="33"/>
  <c r="S8" i="33"/>
  <c r="H66" i="33"/>
  <c r="F10" i="33"/>
  <c r="AA10" i="33" s="1"/>
  <c r="F11" i="33"/>
  <c r="S11" i="33" s="1"/>
  <c r="F35" i="33"/>
  <c r="AA35" i="33" s="1"/>
  <c r="F11" i="34"/>
  <c r="S11" i="34" s="1"/>
  <c r="E80" i="34"/>
  <c r="J17" i="34" s="1"/>
  <c r="AC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W43" i="39" s="1"/>
  <c r="F99" i="37"/>
  <c r="G99" i="37" s="1"/>
  <c r="AC27" i="37"/>
  <c r="S45" i="34"/>
  <c r="AC40" i="37"/>
  <c r="AC45" i="21"/>
  <c r="S28" i="33"/>
  <c r="S14" i="21"/>
  <c r="AB29" i="35"/>
  <c r="U29" i="35"/>
  <c r="AC34" i="37"/>
  <c r="S35" i="37"/>
  <c r="AA35" i="37"/>
  <c r="AA32" i="21"/>
  <c r="S32" i="21"/>
  <c r="U38" i="21"/>
  <c r="AB34" i="21"/>
  <c r="BL571" i="3"/>
  <c r="BL570" i="3"/>
  <c r="F42" i="21"/>
  <c r="AA42" i="21" s="1"/>
  <c r="U40" i="33"/>
  <c r="S35" i="34"/>
  <c r="E90" i="34"/>
  <c r="F90" i="34" s="1"/>
  <c r="G90" i="34" s="1"/>
  <c r="H90" i="34" s="1"/>
  <c r="I90" i="34" s="1"/>
  <c r="J90" i="34" s="1"/>
  <c r="K90" i="34" s="1"/>
  <c r="L90" i="34" s="1"/>
  <c r="M90" i="34" s="1"/>
  <c r="AB8"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c r="H11" i="36"/>
  <c r="AB11" i="36" s="1"/>
  <c r="F11" i="36"/>
  <c r="S11" i="36" s="1"/>
  <c r="W16" i="36"/>
  <c r="AC16" i="36"/>
  <c r="F26" i="36"/>
  <c r="S26" i="36"/>
  <c r="H33" i="36"/>
  <c r="U33" i="36" s="1"/>
  <c r="F33" i="36"/>
  <c r="AA33" i="36" s="1"/>
  <c r="H27" i="36"/>
  <c r="AB27" i="36"/>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H39" i="39"/>
  <c r="AB39" i="39" s="1"/>
  <c r="J39" i="39"/>
  <c r="AC39" i="39" s="1"/>
  <c r="J29" i="35"/>
  <c r="AC29" i="35"/>
  <c r="F29" i="35"/>
  <c r="S29" i="35" s="1"/>
  <c r="W30" i="36"/>
  <c r="AC30" i="36"/>
  <c r="F37" i="39"/>
  <c r="AA37" i="39" s="1"/>
  <c r="H37" i="39"/>
  <c r="U37" i="39" s="1"/>
  <c r="J37" i="39"/>
  <c r="W37" i="39" s="1"/>
  <c r="BL568" i="3"/>
  <c r="BL567" i="3"/>
  <c r="BL566" i="3"/>
  <c r="AZ566" i="3" s="1"/>
  <c r="BL565" i="3"/>
  <c r="AZ565" i="3"/>
  <c r="BA564" i="3"/>
  <c r="BA553" i="3"/>
  <c r="BL549" i="3"/>
  <c r="BL548" i="3"/>
  <c r="BL547" i="3"/>
  <c r="BL539" i="3"/>
  <c r="BA537" i="3"/>
  <c r="AZ537" i="3" s="1"/>
  <c r="BA535" i="3"/>
  <c r="BA533" i="3"/>
  <c r="AZ533" i="3" s="1"/>
  <c r="BL531" i="3"/>
  <c r="BL530" i="3"/>
  <c r="BL529" i="3"/>
  <c r="BL528" i="3"/>
  <c r="BA526" i="3"/>
  <c r="BA525" i="3"/>
  <c r="BL523" i="3"/>
  <c r="AZ523" i="3" s="1"/>
  <c r="BA523" i="3"/>
  <c r="BL522" i="3"/>
  <c r="BA522" i="3"/>
  <c r="BL521" i="3"/>
  <c r="AZ521" i="3" s="1"/>
  <c r="BA519" i="3"/>
  <c r="AZ519" i="3"/>
  <c r="BL518" i="3"/>
  <c r="BA518" i="3"/>
  <c r="AZ518" i="3" s="1"/>
  <c r="BL517" i="3"/>
  <c r="BA517" i="3"/>
  <c r="BL515" i="3"/>
  <c r="AZ515" i="3" s="1"/>
  <c r="BA515" i="3"/>
  <c r="BA514" i="3"/>
  <c r="AZ514" i="3" s="1"/>
  <c r="BL513" i="3"/>
  <c r="BA513" i="3"/>
  <c r="AZ513" i="3" s="1"/>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s="1"/>
  <c r="BL499" i="3"/>
  <c r="BL498" i="3"/>
  <c r="BA497" i="3"/>
  <c r="BA496" i="3"/>
  <c r="BL494" i="3"/>
  <c r="BA494" i="3"/>
  <c r="AZ494" i="3"/>
  <c r="G494" i="3"/>
  <c r="BA491" i="3"/>
  <c r="AZ491" i="3" s="1"/>
  <c r="BL490" i="3"/>
  <c r="BA490" i="3"/>
  <c r="BL489" i="3"/>
  <c r="BA489" i="3"/>
  <c r="BL487" i="3"/>
  <c r="AZ487" i="3" s="1"/>
  <c r="BL486" i="3"/>
  <c r="BA486" i="3"/>
  <c r="AZ486" i="3" s="1"/>
  <c r="BA482" i="3"/>
  <c r="AZ482" i="3" s="1"/>
  <c r="BL481" i="3"/>
  <c r="BA481" i="3"/>
  <c r="AZ481" i="3" s="1"/>
  <c r="BA18" i="3"/>
  <c r="F36" i="44"/>
  <c r="H38" i="34"/>
  <c r="U38" i="34" s="1"/>
  <c r="H30" i="40"/>
  <c r="AB30" i="40" s="1"/>
  <c r="G100" i="40"/>
  <c r="J30" i="40"/>
  <c r="AC30" i="40" s="1"/>
  <c r="F38" i="40"/>
  <c r="AA38" i="40" s="1"/>
  <c r="AB33" i="21"/>
  <c r="S35" i="21"/>
  <c r="U8" i="21"/>
  <c r="S34" i="21"/>
  <c r="AC36" i="21"/>
  <c r="AB8" i="33"/>
  <c r="E106" i="33"/>
  <c r="H34" i="33"/>
  <c r="U34" i="33" s="1"/>
  <c r="F34" i="33"/>
  <c r="S34" i="33" s="1"/>
  <c r="E121" i="33"/>
  <c r="F41" i="33"/>
  <c r="S41" i="33" s="1"/>
  <c r="AA39" i="34"/>
  <c r="E78" i="34"/>
  <c r="F15" i="34"/>
  <c r="S15" i="34" s="1"/>
  <c r="W28" i="35"/>
  <c r="J20" i="35"/>
  <c r="AC20" i="35"/>
  <c r="E72" i="35"/>
  <c r="F72" i="35"/>
  <c r="G72" i="35" s="1"/>
  <c r="H22" i="35"/>
  <c r="AB22" i="35" s="1"/>
  <c r="H23" i="35"/>
  <c r="U23" i="35" s="1"/>
  <c r="F23" i="35"/>
  <c r="AA23" i="35"/>
  <c r="U31" i="36"/>
  <c r="S8" i="37"/>
  <c r="AA8" i="37"/>
  <c r="F14" i="39"/>
  <c r="AA14" i="39" s="1"/>
  <c r="H14" i="39"/>
  <c r="AB14" i="39" s="1"/>
  <c r="J14" i="39"/>
  <c r="W14" i="39" s="1"/>
  <c r="AC14" i="39"/>
  <c r="F16" i="39"/>
  <c r="H16" i="39"/>
  <c r="U16" i="39" s="1"/>
  <c r="J16" i="39"/>
  <c r="AC16" i="39"/>
  <c r="F23" i="39"/>
  <c r="AA23" i="39"/>
  <c r="E97" i="39"/>
  <c r="F27" i="39"/>
  <c r="AA27" i="39" s="1"/>
  <c r="H27" i="39"/>
  <c r="U27" i="39" s="1"/>
  <c r="J27" i="39"/>
  <c r="AC27" i="39"/>
  <c r="H15" i="40"/>
  <c r="AB15" i="40" s="1"/>
  <c r="H23" i="40"/>
  <c r="U23" i="40" s="1"/>
  <c r="F41" i="40"/>
  <c r="AA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U47" i="39" s="1"/>
  <c r="J47" i="39"/>
  <c r="W47" i="39" s="1"/>
  <c r="F41" i="39"/>
  <c r="AA41" i="39" s="1"/>
  <c r="H41" i="39"/>
  <c r="AB41" i="39" s="1"/>
  <c r="J41" i="39"/>
  <c r="AC41" i="39" s="1"/>
  <c r="E94" i="40"/>
  <c r="F94" i="40" s="1"/>
  <c r="G94" i="40" s="1"/>
  <c r="J25" i="40"/>
  <c r="AC25" i="40"/>
  <c r="J32" i="40"/>
  <c r="AC32" i="40" s="1"/>
  <c r="H32" i="40"/>
  <c r="U32" i="40" s="1"/>
  <c r="H33" i="40"/>
  <c r="AB33" i="40" s="1"/>
  <c r="J33" i="40"/>
  <c r="AC33" i="40" s="1"/>
  <c r="H35" i="40"/>
  <c r="AB35" i="40" s="1"/>
  <c r="J35" i="40"/>
  <c r="AC35" i="40" s="1"/>
  <c r="J38" i="39"/>
  <c r="W38" i="39" s="1"/>
  <c r="J16" i="40"/>
  <c r="W16" i="40" s="1"/>
  <c r="J14" i="40"/>
  <c r="W14" i="40"/>
  <c r="H42" i="40"/>
  <c r="AB42" i="40" s="1"/>
  <c r="H40" i="40"/>
  <c r="U40" i="40" s="1"/>
  <c r="H34" i="40"/>
  <c r="U34" i="40"/>
  <c r="AZ454" i="3"/>
  <c r="J42" i="40"/>
  <c r="AC42" i="40"/>
  <c r="J40" i="40"/>
  <c r="AC40" i="40" s="1"/>
  <c r="J34" i="40"/>
  <c r="AC34" i="40" s="1"/>
  <c r="H16" i="40"/>
  <c r="U16" i="40" s="1"/>
  <c r="AB16" i="40"/>
  <c r="H14" i="40"/>
  <c r="U14" i="40" s="1"/>
  <c r="F32" i="40"/>
  <c r="AA32" i="40" s="1"/>
  <c r="AZ428" i="3"/>
  <c r="AZ444" i="3"/>
  <c r="AZ449" i="3"/>
  <c r="M1" i="46"/>
  <c r="M6" i="46"/>
  <c r="C6" i="46" s="1"/>
  <c r="M10" i="46"/>
  <c r="N2" i="46"/>
  <c r="N5" i="46"/>
  <c r="F58" i="46"/>
  <c r="H61" i="46" s="1"/>
  <c r="N7" i="46"/>
  <c r="AZ458" i="3"/>
  <c r="AZ215" i="3"/>
  <c r="AZ236" i="3"/>
  <c r="AZ124" i="3"/>
  <c r="M7" i="46"/>
  <c r="M11" i="46"/>
  <c r="N3" i="46"/>
  <c r="N6" i="46"/>
  <c r="N10" i="46"/>
  <c r="AZ40" i="3"/>
  <c r="AZ112" i="3"/>
  <c r="J13" i="40"/>
  <c r="W13" i="40" s="1"/>
  <c r="AB14" i="40"/>
  <c r="W40" i="40"/>
  <c r="AC14" i="40"/>
  <c r="W35" i="40"/>
  <c r="AC47" i="39"/>
  <c r="J23" i="40"/>
  <c r="W23" i="40" s="1"/>
  <c r="F23" i="40"/>
  <c r="S23" i="40" s="1"/>
  <c r="W27" i="39"/>
  <c r="S23" i="39"/>
  <c r="H20" i="35"/>
  <c r="U20" i="35" s="1"/>
  <c r="F20" i="35"/>
  <c r="AA20" i="35" s="1"/>
  <c r="S20" i="35"/>
  <c r="H15" i="34"/>
  <c r="AB15" i="34" s="1"/>
  <c r="F78" i="34"/>
  <c r="G78" i="34" s="1"/>
  <c r="J15" i="34"/>
  <c r="W15" i="34" s="1"/>
  <c r="H41" i="33"/>
  <c r="AB41" i="33" s="1"/>
  <c r="F121" i="33"/>
  <c r="G121" i="33" s="1"/>
  <c r="H121" i="33" s="1"/>
  <c r="I121" i="33" s="1"/>
  <c r="J121" i="33" s="1"/>
  <c r="K121" i="33" s="1"/>
  <c r="L121" i="33" s="1"/>
  <c r="M121" i="33" s="1"/>
  <c r="F30" i="40"/>
  <c r="S30" i="40" s="1"/>
  <c r="H100" i="40"/>
  <c r="I100" i="40" s="1"/>
  <c r="J100" i="40" s="1"/>
  <c r="K100" i="40" s="1"/>
  <c r="L100" i="40" s="1"/>
  <c r="M100" i="40" s="1"/>
  <c r="AB37" i="39"/>
  <c r="AA29" i="35"/>
  <c r="U39" i="39"/>
  <c r="J29" i="39"/>
  <c r="AC29" i="39"/>
  <c r="AB21" i="39"/>
  <c r="U21" i="39"/>
  <c r="AB33" i="36"/>
  <c r="AA14" i="35"/>
  <c r="F33" i="37"/>
  <c r="AA33" i="37" s="1"/>
  <c r="U19" i="39"/>
  <c r="AA14" i="34"/>
  <c r="AC13" i="33"/>
  <c r="AA11" i="34"/>
  <c r="AA11" i="33"/>
  <c r="U17" i="21"/>
  <c r="S13" i="39"/>
  <c r="AB34" i="40"/>
  <c r="W32" i="40"/>
  <c r="H25" i="40"/>
  <c r="AB25" i="40" s="1"/>
  <c r="W15" i="39"/>
  <c r="AB23" i="40"/>
  <c r="H23" i="39"/>
  <c r="AB23" i="39"/>
  <c r="J23" i="39"/>
  <c r="AC23" i="39" s="1"/>
  <c r="F97" i="39"/>
  <c r="G97" i="39" s="1"/>
  <c r="F106" i="33"/>
  <c r="G106" i="33"/>
  <c r="H106" i="33" s="1"/>
  <c r="I106" i="33" s="1"/>
  <c r="J106" i="33" s="1"/>
  <c r="K106" i="33" s="1"/>
  <c r="L106" i="33" s="1"/>
  <c r="M106" i="33" s="1"/>
  <c r="J34" i="33"/>
  <c r="AC34" i="33" s="1"/>
  <c r="W29" i="35"/>
  <c r="W39" i="39"/>
  <c r="AA39" i="39"/>
  <c r="S39" i="39"/>
  <c r="AB46" i="39"/>
  <c r="AC33" i="39"/>
  <c r="W33" i="39"/>
  <c r="U11" i="36"/>
  <c r="W14" i="35"/>
  <c r="AC43" i="39"/>
  <c r="AA19" i="39"/>
  <c r="G96" i="37"/>
  <c r="H96" i="37"/>
  <c r="I96" i="37" s="1"/>
  <c r="J96" i="37" s="1"/>
  <c r="K96" i="37" s="1"/>
  <c r="L96" i="37" s="1"/>
  <c r="M96" i="37" s="1"/>
  <c r="F32" i="37"/>
  <c r="S32" i="37" s="1"/>
  <c r="U11" i="35"/>
  <c r="AB11" i="35"/>
  <c r="U32" i="34"/>
  <c r="U12" i="34"/>
  <c r="H11" i="34"/>
  <c r="AB11" i="34" s="1"/>
  <c r="J35" i="33"/>
  <c r="W35" i="33" s="1"/>
  <c r="H11" i="33"/>
  <c r="U11" i="33" s="1"/>
  <c r="H10" i="33"/>
  <c r="U10" i="33" s="1"/>
  <c r="I66" i="33"/>
  <c r="J10" i="33"/>
  <c r="AC10" i="33" s="1"/>
  <c r="U11" i="37"/>
  <c r="AC16" i="35"/>
  <c r="J11" i="34"/>
  <c r="W11" i="34" s="1"/>
  <c r="F25" i="40"/>
  <c r="AA25" i="40" s="1"/>
  <c r="J11" i="33"/>
  <c r="W11" i="33" s="1"/>
  <c r="H33" i="37"/>
  <c r="AB33" i="37"/>
  <c r="AP11" i="1"/>
  <c r="B11" i="1"/>
  <c r="E11" i="1" s="1"/>
  <c r="K11" i="1"/>
  <c r="M11" i="1" s="1"/>
  <c r="O11" i="1" s="1"/>
  <c r="P11" i="1" s="1"/>
  <c r="B9" i="1"/>
  <c r="E9" i="1" s="1"/>
  <c r="K9" i="1"/>
  <c r="M9" i="1" s="1"/>
  <c r="B7" i="1"/>
  <c r="E7" i="1" s="1"/>
  <c r="F6" i="1"/>
  <c r="AP6" i="1" s="1"/>
  <c r="G11" i="1"/>
  <c r="M22" i="44"/>
  <c r="AC25" i="36"/>
  <c r="S8" i="36"/>
  <c r="AA26" i="36"/>
  <c r="AA28" i="36"/>
  <c r="U25" i="36"/>
  <c r="H20" i="36"/>
  <c r="U20" i="36" s="1"/>
  <c r="F68" i="36"/>
  <c r="G68" i="36" s="1"/>
  <c r="J20" i="36"/>
  <c r="AC20" i="36" s="1"/>
  <c r="F20" i="36"/>
  <c r="S20" i="36" s="1"/>
  <c r="F62" i="36"/>
  <c r="G62" i="36" s="1"/>
  <c r="J14" i="36"/>
  <c r="W14" i="36" s="1"/>
  <c r="H14" i="36"/>
  <c r="U14" i="36" s="1"/>
  <c r="F14" i="36"/>
  <c r="AA14" i="36" s="1"/>
  <c r="W20" i="36"/>
  <c r="U27" i="36"/>
  <c r="S33" i="36"/>
  <c r="S16" i="36"/>
  <c r="S29" i="36"/>
  <c r="AC33" i="35"/>
  <c r="S8" i="35"/>
  <c r="U33" i="35"/>
  <c r="W20" i="35"/>
  <c r="S23" i="35"/>
  <c r="S16" i="35"/>
  <c r="AC10" i="35"/>
  <c r="AC18" i="35"/>
  <c r="W18" i="35"/>
  <c r="U18" i="35"/>
  <c r="AB18" i="35"/>
  <c r="S30" i="35"/>
  <c r="AA35" i="35"/>
  <c r="S27" i="35"/>
  <c r="J26" i="35"/>
  <c r="W26" i="35" s="1"/>
  <c r="F26" i="35"/>
  <c r="AA26" i="35" s="1"/>
  <c r="H26" i="35"/>
  <c r="U26" i="35" s="1"/>
  <c r="W12" i="37"/>
  <c r="S17" i="37"/>
  <c r="AA31" i="37"/>
  <c r="S33" i="37"/>
  <c r="U32" i="37"/>
  <c r="AA32" i="37"/>
  <c r="J33" i="37"/>
  <c r="AC33" i="37" s="1"/>
  <c r="H99" i="37"/>
  <c r="I99" i="37" s="1"/>
  <c r="J99" i="37" s="1"/>
  <c r="K99" i="37" s="1"/>
  <c r="L99" i="37" s="1"/>
  <c r="M99" i="37" s="1"/>
  <c r="S29" i="37"/>
  <c r="J19" i="37"/>
  <c r="AC19" i="37"/>
  <c r="F19" i="37"/>
  <c r="AA19" i="37" s="1"/>
  <c r="H19" i="37"/>
  <c r="AB19" i="37" s="1"/>
  <c r="J17" i="37"/>
  <c r="S15" i="37"/>
  <c r="AC10" i="37"/>
  <c r="AC21" i="37"/>
  <c r="W21" i="37"/>
  <c r="AC11" i="37"/>
  <c r="W32" i="37"/>
  <c r="U35" i="37"/>
  <c r="U8" i="37"/>
  <c r="AB21" i="37"/>
  <c r="U21" i="37"/>
  <c r="S37" i="37"/>
  <c r="S40" i="37"/>
  <c r="S10" i="37"/>
  <c r="AA40" i="34"/>
  <c r="S32" i="34"/>
  <c r="AB33" i="34"/>
  <c r="AA12" i="34"/>
  <c r="AA30" i="34"/>
  <c r="AC32" i="34"/>
  <c r="U44" i="34"/>
  <c r="J25" i="34"/>
  <c r="AC25" i="34" s="1"/>
  <c r="H25" i="34"/>
  <c r="J23" i="34"/>
  <c r="AC23" i="34" s="1"/>
  <c r="F23" i="34"/>
  <c r="S23" i="34" s="1"/>
  <c r="H23" i="34"/>
  <c r="AB23" i="34" s="1"/>
  <c r="W29" i="34"/>
  <c r="AC21" i="34"/>
  <c r="W21" i="34"/>
  <c r="AB21" i="34"/>
  <c r="U21" i="34"/>
  <c r="AB41" i="34"/>
  <c r="S13" i="34"/>
  <c r="AA41" i="34"/>
  <c r="W31" i="33"/>
  <c r="AB34" i="33"/>
  <c r="J23" i="33"/>
  <c r="W23" i="33" s="1"/>
  <c r="F17" i="33"/>
  <c r="AA17" i="33" s="1"/>
  <c r="H17" i="33"/>
  <c r="AB17" i="33" s="1"/>
  <c r="J17" i="33"/>
  <c r="W17" i="33" s="1"/>
  <c r="S14" i="33"/>
  <c r="AC21" i="33"/>
  <c r="W21" i="33"/>
  <c r="AB21" i="33"/>
  <c r="U21" i="33"/>
  <c r="AA21" i="33"/>
  <c r="S21" i="33"/>
  <c r="AA44" i="33"/>
  <c r="W39" i="21"/>
  <c r="AC34" i="21"/>
  <c r="W32" i="21"/>
  <c r="W43" i="21"/>
  <c r="AA37" i="21"/>
  <c r="S42" i="21"/>
  <c r="AB37" i="21"/>
  <c r="AB32" i="21"/>
  <c r="AC26" i="21"/>
  <c r="F85" i="21"/>
  <c r="G85" i="21" s="1"/>
  <c r="J23" i="21"/>
  <c r="AC23" i="21" s="1"/>
  <c r="F23" i="21"/>
  <c r="S23" i="21" s="1"/>
  <c r="H23" i="21"/>
  <c r="U23" i="21" s="1"/>
  <c r="AA17" i="21"/>
  <c r="W17" i="21"/>
  <c r="F15" i="21"/>
  <c r="S15" i="21" s="1"/>
  <c r="F77" i="21"/>
  <c r="G77" i="21" s="1"/>
  <c r="J15" i="21"/>
  <c r="W15" i="21" s="1"/>
  <c r="H15" i="21"/>
  <c r="AB15" i="21" s="1"/>
  <c r="AB11" i="21"/>
  <c r="AA11" i="21"/>
  <c r="AC21" i="21"/>
  <c r="W21" i="21"/>
  <c r="W44" i="21"/>
  <c r="AC19" i="21"/>
  <c r="AC38" i="21"/>
  <c r="AB21" i="21"/>
  <c r="U21" i="21"/>
  <c r="AB29" i="21"/>
  <c r="AA31" i="21"/>
  <c r="U33" i="40"/>
  <c r="U15" i="40"/>
  <c r="S14" i="40"/>
  <c r="AB13" i="40"/>
  <c r="S16"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F88" i="40"/>
  <c r="G88" i="40" s="1"/>
  <c r="F19" i="40"/>
  <c r="H19" i="40"/>
  <c r="U19" i="40" s="1"/>
  <c r="J19" i="40"/>
  <c r="W17" i="40"/>
  <c r="AC17" i="40"/>
  <c r="F17" i="40"/>
  <c r="AA17" i="40" s="1"/>
  <c r="H17" i="40"/>
  <c r="AB17" i="40"/>
  <c r="W21" i="40"/>
  <c r="AB40" i="40"/>
  <c r="U10" i="40"/>
  <c r="U27" i="40"/>
  <c r="AB27" i="40"/>
  <c r="AC44" i="39"/>
  <c r="W13" i="39"/>
  <c r="S11" i="39"/>
  <c r="S27" i="39"/>
  <c r="AC19" i="39"/>
  <c r="W29" i="39"/>
  <c r="AC21" i="39"/>
  <c r="AC17" i="39"/>
  <c r="S14" i="39"/>
  <c r="U11" i="39"/>
  <c r="U23" i="39"/>
  <c r="U31" i="39"/>
  <c r="AB31" i="39"/>
  <c r="S38" i="39"/>
  <c r="M20" i="15"/>
  <c r="A18" i="64"/>
  <c r="B74" i="63"/>
  <c r="C53" i="10"/>
  <c r="A25" i="64" s="1"/>
  <c r="A18" i="51"/>
  <c r="B14" i="63" s="1"/>
  <c r="BA16" i="3"/>
  <c r="BA17" i="3"/>
  <c r="AZ17" i="3" s="1"/>
  <c r="F3" i="35"/>
  <c r="K1" i="43"/>
  <c r="K1" i="12"/>
  <c r="G1" i="44"/>
  <c r="AZ15" i="3"/>
  <c r="BO5" i="3"/>
  <c r="BN5" i="3"/>
  <c r="BD5" i="3"/>
  <c r="BS5" i="3"/>
  <c r="BL16" i="3"/>
  <c r="AZ16" i="3" s="1"/>
  <c r="BA13" i="3"/>
  <c r="D24" i="44"/>
  <c r="D26" i="44"/>
  <c r="N8" i="46"/>
  <c r="N4" i="46"/>
  <c r="N1" i="46"/>
  <c r="F69" i="46" s="1"/>
  <c r="F47" i="46"/>
  <c r="M9" i="46"/>
  <c r="M2" i="46"/>
  <c r="N11" i="46"/>
  <c r="N9" i="46"/>
  <c r="M4" i="46"/>
  <c r="M12" i="46"/>
  <c r="M8" i="46"/>
  <c r="M3" i="46"/>
  <c r="M5" i="46"/>
  <c r="H6" i="48"/>
  <c r="H15" i="48"/>
  <c r="H5" i="48"/>
  <c r="H14" i="48"/>
  <c r="F36" i="46"/>
  <c r="K17" i="46"/>
  <c r="F39" i="46"/>
  <c r="H13" i="48"/>
  <c r="H11" i="48"/>
  <c r="D17" i="46"/>
  <c r="D71" i="46"/>
  <c r="D84" i="46"/>
  <c r="E80" i="46"/>
  <c r="B78" i="46" s="1"/>
  <c r="D69" i="46"/>
  <c r="E47" i="46"/>
  <c r="B45" i="46" s="1"/>
  <c r="A4" i="51"/>
  <c r="B6" i="63" s="1"/>
  <c r="I100" i="46"/>
  <c r="N100" i="46"/>
  <c r="H100" i="46"/>
  <c r="F108" i="46"/>
  <c r="H80" i="46"/>
  <c r="E100" i="46"/>
  <c r="G100" i="46"/>
  <c r="H84" i="46"/>
  <c r="C100" i="46"/>
  <c r="J100" i="46"/>
  <c r="M100" i="46"/>
  <c r="W11" i="35"/>
  <c r="AA11" i="35"/>
  <c r="S13" i="21"/>
  <c r="C24" i="9"/>
  <c r="C25" i="9"/>
  <c r="G9" i="1"/>
  <c r="L5" i="54"/>
  <c r="B39" i="63" s="1"/>
  <c r="K5" i="54"/>
  <c r="B38" i="63"/>
  <c r="T41" i="4"/>
  <c r="A17" i="64" s="1"/>
  <c r="B46" i="50"/>
  <c r="B4" i="63" s="1"/>
  <c r="C46" i="36"/>
  <c r="D46" i="36" s="1"/>
  <c r="E46" i="36" s="1"/>
  <c r="F46" i="36" s="1"/>
  <c r="G46" i="36" s="1"/>
  <c r="H46" i="36" s="1"/>
  <c r="O19" i="46"/>
  <c r="A22" i="5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G1" i="15"/>
  <c r="F66" i="36"/>
  <c r="H18" i="36"/>
  <c r="U18" i="36" s="1"/>
  <c r="S25" i="36"/>
  <c r="AA34" i="36"/>
  <c r="AC27" i="36"/>
  <c r="W28" i="36"/>
  <c r="U13" i="36"/>
  <c r="AA22" i="36"/>
  <c r="U10" i="36"/>
  <c r="W29" i="36"/>
  <c r="W8" i="36"/>
  <c r="AC30" i="35"/>
  <c r="W32" i="35"/>
  <c r="S24" i="35"/>
  <c r="AA33" i="35"/>
  <c r="U32" i="35"/>
  <c r="W22" i="35"/>
  <c r="W34" i="35"/>
  <c r="S32" i="35"/>
  <c r="W35" i="37"/>
  <c r="U33" i="37"/>
  <c r="AC15" i="37"/>
  <c r="AA13" i="37"/>
  <c r="S12" i="37"/>
  <c r="W38" i="37"/>
  <c r="W36" i="37"/>
  <c r="U26" i="37"/>
  <c r="S28" i="37"/>
  <c r="U38" i="37"/>
  <c r="AA31" i="34"/>
  <c r="AB13" i="34"/>
  <c r="AC13" i="34"/>
  <c r="S8" i="34"/>
  <c r="S39" i="21"/>
  <c r="W25" i="21"/>
  <c r="AA25" i="21"/>
  <c r="AC37" i="21"/>
  <c r="AA29" i="21"/>
  <c r="U27" i="21"/>
  <c r="W31" i="21"/>
  <c r="S27" i="21"/>
  <c r="AC27" i="21"/>
  <c r="G96" i="40"/>
  <c r="J27" i="40"/>
  <c r="W37" i="40"/>
  <c r="W30" i="40"/>
  <c r="S34" i="40"/>
  <c r="U17" i="40"/>
  <c r="U38" i="40"/>
  <c r="S42" i="40"/>
  <c r="G105" i="39"/>
  <c r="J31" i="39"/>
  <c r="W31" i="39" s="1"/>
  <c r="S45" i="39"/>
  <c r="W41" i="39"/>
  <c r="AB33" i="39"/>
  <c r="S34" i="39"/>
  <c r="W42" i="39"/>
  <c r="W36" i="39"/>
  <c r="W23" i="39"/>
  <c r="AC37" i="39"/>
  <c r="W16" i="39"/>
  <c r="W25" i="39"/>
  <c r="S41" i="39"/>
  <c r="AA46" i="39"/>
  <c r="W10" i="39"/>
  <c r="W11" i="39"/>
  <c r="U42" i="39"/>
  <c r="W40" i="39"/>
  <c r="S32" i="40"/>
  <c r="C17" i="40"/>
  <c r="C19" i="40"/>
  <c r="C17" i="39"/>
  <c r="C19" i="39"/>
  <c r="C21" i="39"/>
  <c r="C23" i="40"/>
  <c r="B48" i="46"/>
  <c r="B55" i="46"/>
  <c r="B66" i="46"/>
  <c r="B53" i="46"/>
  <c r="B64" i="46"/>
  <c r="D24" i="15"/>
  <c r="AB20" i="36"/>
  <c r="AC14" i="36"/>
  <c r="AB14" i="36"/>
  <c r="S26" i="35"/>
  <c r="AB26" i="35"/>
  <c r="AC26" i="35"/>
  <c r="W19" i="37"/>
  <c r="U19" i="37"/>
  <c r="AC17" i="37"/>
  <c r="W17" i="37"/>
  <c r="U25" i="34"/>
  <c r="AB25" i="34"/>
  <c r="AB23" i="21"/>
  <c r="AA23" i="21"/>
  <c r="U15" i="21"/>
  <c r="U39" i="40"/>
  <c r="AC39" i="40"/>
  <c r="W39" i="40"/>
  <c r="S39" i="40"/>
  <c r="AB37" i="40"/>
  <c r="AB29" i="40"/>
  <c r="W19" i="40"/>
  <c r="AC19" i="40"/>
  <c r="AA19" i="40"/>
  <c r="S19" i="40"/>
  <c r="AB19" i="40"/>
  <c r="AC31" i="39"/>
  <c r="AT6" i="3"/>
  <c r="A9" i="64"/>
  <c r="A9" i="51"/>
  <c r="B9" i="63" s="1"/>
  <c r="E4" i="4"/>
  <c r="B21" i="55" s="1"/>
  <c r="B72" i="63" s="1"/>
  <c r="C4" i="4"/>
  <c r="B20" i="55" s="1"/>
  <c r="B70" i="63" s="1"/>
  <c r="G66" i="36"/>
  <c r="J18" i="36"/>
  <c r="AE6" i="1"/>
  <c r="W18" i="36"/>
  <c r="AC18" i="36"/>
  <c r="AG6" i="1"/>
  <c r="L20" i="6"/>
  <c r="S9" i="1"/>
  <c r="R9" i="1"/>
  <c r="C45" i="9"/>
  <c r="H14" i="66"/>
  <c r="B7" i="66" s="1"/>
  <c r="C44" i="9"/>
  <c r="O40" i="9"/>
  <c r="R7" i="54" s="1"/>
  <c r="B52" i="63" s="1"/>
  <c r="K29" i="9"/>
  <c r="K30" i="9" s="1"/>
  <c r="N76" i="9"/>
  <c r="C46" i="9"/>
  <c r="I14" i="66" s="1"/>
  <c r="B8" i="66" s="1"/>
  <c r="O41" i="9"/>
  <c r="R8" i="54" s="1"/>
  <c r="B54" i="63" s="1"/>
  <c r="H58" i="46"/>
  <c r="J17" i="46"/>
  <c r="C17" i="46"/>
  <c r="F34" i="46"/>
  <c r="F38" i="46"/>
  <c r="F37" i="46"/>
  <c r="H113" i="46"/>
  <c r="D19" i="59"/>
  <c r="C18" i="59"/>
  <c r="C17" i="59" s="1"/>
  <c r="C16" i="59" s="1"/>
  <c r="U16" i="59"/>
  <c r="H1" i="65"/>
  <c r="X7" i="46"/>
  <c r="E17" i="46"/>
  <c r="N17" i="46"/>
  <c r="O17" i="46"/>
  <c r="M17" i="46"/>
  <c r="L17" i="46"/>
  <c r="P12" i="1"/>
  <c r="G13" i="1"/>
  <c r="H50" i="46"/>
  <c r="F35" i="46"/>
  <c r="I17" i="46"/>
  <c r="H63" i="46"/>
  <c r="H66" i="46"/>
  <c r="D100" i="46"/>
  <c r="H62" i="46"/>
  <c r="AF12" i="46"/>
  <c r="K100" i="46"/>
  <c r="AB12" i="46"/>
  <c r="AJ12" i="46"/>
  <c r="H59" i="46"/>
  <c r="E10" i="46"/>
  <c r="C7" i="46" s="1"/>
  <c r="E9" i="46"/>
  <c r="E11" i="46"/>
  <c r="E8" i="46"/>
  <c r="H55" i="46"/>
  <c r="H54" i="46"/>
  <c r="H52" i="46"/>
  <c r="H47" i="46"/>
  <c r="AD12" i="46"/>
  <c r="AH12" i="46"/>
  <c r="B17" i="59"/>
  <c r="B16" i="59" s="1"/>
  <c r="B15" i="59" s="1"/>
  <c r="B14" i="59" s="1"/>
  <c r="B13" i="59" s="1"/>
  <c r="D17" i="59"/>
  <c r="E11" i="67"/>
  <c r="B11" i="67"/>
  <c r="F10" i="44"/>
  <c r="E8" i="67"/>
  <c r="J3" i="65"/>
  <c r="F11" i="44"/>
  <c r="N3" i="65"/>
  <c r="F43" i="44"/>
  <c r="N7" i="65"/>
  <c r="F18" i="44"/>
  <c r="F13" i="67"/>
  <c r="N6" i="65"/>
  <c r="B8" i="67"/>
  <c r="B14" i="67"/>
  <c r="D21" i="84"/>
  <c r="F45" i="44"/>
  <c r="M28" i="44"/>
  <c r="J17" i="44"/>
  <c r="E10" i="67"/>
  <c r="M31" i="44"/>
  <c r="F8" i="67"/>
  <c r="N4" i="65"/>
  <c r="B13" i="67"/>
  <c r="F39" i="44"/>
  <c r="J5" i="65"/>
  <c r="F9" i="44"/>
  <c r="F28" i="44"/>
  <c r="I6" i="65"/>
  <c r="F13" i="15"/>
  <c r="M29" i="44"/>
  <c r="E14" i="67"/>
  <c r="F40" i="15"/>
  <c r="L49" i="44"/>
  <c r="L48" i="44"/>
  <c r="B12" i="67"/>
  <c r="B10" i="67"/>
  <c r="M10" i="44"/>
  <c r="E13" i="67"/>
  <c r="F38" i="44"/>
  <c r="M25" i="44"/>
  <c r="F14" i="67"/>
  <c r="E9" i="67"/>
  <c r="I4" i="65"/>
  <c r="E12" i="67"/>
  <c r="M26" i="44"/>
  <c r="I5" i="65"/>
  <c r="N5" i="65"/>
  <c r="F11" i="67"/>
  <c r="J6" i="65"/>
  <c r="F10" i="67"/>
  <c r="M8" i="44"/>
  <c r="F15" i="44"/>
  <c r="M30" i="44"/>
  <c r="F12" i="67"/>
  <c r="M11" i="44"/>
  <c r="F9" i="67"/>
  <c r="B9" i="67"/>
  <c r="G22" i="43" l="1"/>
  <c r="G28" i="84"/>
  <c r="G26" i="84"/>
  <c r="G27" i="84"/>
  <c r="G23" i="43"/>
  <c r="G28" i="12"/>
  <c r="C21" i="84"/>
  <c r="M6" i="1"/>
  <c r="BQ5" i="3"/>
  <c r="F28" i="6" s="1"/>
  <c r="AC5" i="3"/>
  <c r="AC11" i="21"/>
  <c r="F33" i="79"/>
  <c r="J33" i="79"/>
  <c r="C34" i="81"/>
  <c r="H33" i="79"/>
  <c r="E20" i="83"/>
  <c r="AB43" i="34"/>
  <c r="F17" i="34"/>
  <c r="AA17" i="34" s="1"/>
  <c r="C51" i="10"/>
  <c r="G10" i="1"/>
  <c r="AZ332" i="3"/>
  <c r="AZ20" i="3"/>
  <c r="B20" i="31"/>
  <c r="R22" i="31"/>
  <c r="B21" i="31" s="1"/>
  <c r="AZ559" i="3"/>
  <c r="AZ556" i="3"/>
  <c r="AZ527" i="3"/>
  <c r="AZ483" i="3"/>
  <c r="AZ525" i="3"/>
  <c r="U14" i="33"/>
  <c r="AB14" i="33"/>
  <c r="AA15" i="40"/>
  <c r="S15" i="40"/>
  <c r="AA29" i="40"/>
  <c r="S29" i="40"/>
  <c r="AA35" i="40"/>
  <c r="S35" i="40"/>
  <c r="AZ540" i="3"/>
  <c r="AZ538" i="3"/>
  <c r="J12" i="33"/>
  <c r="H12" i="33"/>
  <c r="F12" i="33"/>
  <c r="AA12" i="33" s="1"/>
  <c r="F30" i="33"/>
  <c r="J30" i="33"/>
  <c r="J36" i="35"/>
  <c r="H36" i="35"/>
  <c r="F36" i="35"/>
  <c r="J9" i="37"/>
  <c r="H9" i="37"/>
  <c r="H14" i="37"/>
  <c r="F14" i="37"/>
  <c r="J26" i="37"/>
  <c r="F26" i="37"/>
  <c r="BL563" i="3"/>
  <c r="AZ563" i="3" s="1"/>
  <c r="BL561" i="3"/>
  <c r="BA561" i="3"/>
  <c r="AZ561" i="3" s="1"/>
  <c r="BA557" i="3"/>
  <c r="AZ557" i="3" s="1"/>
  <c r="BL555" i="3"/>
  <c r="BL553" i="3"/>
  <c r="BA551" i="3"/>
  <c r="AZ551" i="3" s="1"/>
  <c r="BA546" i="3"/>
  <c r="BL542" i="3"/>
  <c r="BA542" i="3"/>
  <c r="BL541" i="3"/>
  <c r="AZ541" i="3" s="1"/>
  <c r="BL535" i="3"/>
  <c r="BA531" i="3"/>
  <c r="AZ531" i="3" s="1"/>
  <c r="BA524" i="3"/>
  <c r="BA484" i="3"/>
  <c r="AZ484" i="3" s="1"/>
  <c r="AZ498" i="3"/>
  <c r="AZ499" i="3"/>
  <c r="AZ535" i="3"/>
  <c r="AZ553" i="3"/>
  <c r="AZ301" i="3"/>
  <c r="AZ336" i="3"/>
  <c r="AZ376" i="3"/>
  <c r="AA10" i="35"/>
  <c r="S10" i="35"/>
  <c r="AZ560" i="3"/>
  <c r="AZ555" i="3"/>
  <c r="W33" i="21"/>
  <c r="AC33" i="21"/>
  <c r="S38" i="21"/>
  <c r="AA38" i="21"/>
  <c r="BA570" i="3"/>
  <c r="BF5" i="3"/>
  <c r="AA10" i="21"/>
  <c r="S10" i="21"/>
  <c r="AA38" i="33"/>
  <c r="S38" i="33"/>
  <c r="J12" i="36"/>
  <c r="H12" i="36"/>
  <c r="F32" i="36"/>
  <c r="H32" i="36"/>
  <c r="J32" i="36"/>
  <c r="BA569" i="3"/>
  <c r="AZ569" i="3" s="1"/>
  <c r="BA562" i="3"/>
  <c r="BA558" i="3"/>
  <c r="AZ558" i="3" s="1"/>
  <c r="BA554" i="3"/>
  <c r="AZ554" i="3" s="1"/>
  <c r="BL550" i="3"/>
  <c r="BA543" i="3"/>
  <c r="AZ543" i="3" s="1"/>
  <c r="BA540" i="3"/>
  <c r="BA532" i="3"/>
  <c r="AZ532" i="3" s="1"/>
  <c r="BL525" i="3"/>
  <c r="BL485" i="3"/>
  <c r="AZ485" i="3" s="1"/>
  <c r="BL483" i="3"/>
  <c r="BA19" i="3"/>
  <c r="AZ19" i="3" s="1"/>
  <c r="S16" i="59"/>
  <c r="H65" i="46"/>
  <c r="H60" i="46"/>
  <c r="H64" i="46"/>
  <c r="D18" i="59"/>
  <c r="AA37" i="40"/>
  <c r="S19" i="37"/>
  <c r="AA20" i="36"/>
  <c r="S14" i="36"/>
  <c r="B62" i="46"/>
  <c r="C27" i="39"/>
  <c r="W34" i="39"/>
  <c r="AA44" i="39"/>
  <c r="W45" i="39"/>
  <c r="S15" i="39"/>
  <c r="U14" i="39"/>
  <c r="AC46" i="39"/>
  <c r="AB43" i="39"/>
  <c r="S40" i="40"/>
  <c r="W29" i="21"/>
  <c r="AA15" i="21"/>
  <c r="AB25" i="21"/>
  <c r="W13" i="37"/>
  <c r="AB28" i="37"/>
  <c r="U24" i="35"/>
  <c r="W9" i="36"/>
  <c r="AA13" i="36"/>
  <c r="U16" i="36"/>
  <c r="A3" i="55"/>
  <c r="B56" i="63" s="1"/>
  <c r="U13" i="37"/>
  <c r="BC5" i="3"/>
  <c r="S25" i="39"/>
  <c r="U41" i="39"/>
  <c r="AB15" i="39"/>
  <c r="S29" i="39"/>
  <c r="AC38" i="39"/>
  <c r="AA21" i="39"/>
  <c r="AB45" i="39"/>
  <c r="AA23" i="40"/>
  <c r="J29" i="40"/>
  <c r="S38" i="40"/>
  <c r="U35" i="40"/>
  <c r="U21" i="40"/>
  <c r="W33" i="40"/>
  <c r="W13" i="21"/>
  <c r="W28" i="21"/>
  <c r="U35" i="21"/>
  <c r="W39" i="33"/>
  <c r="W43" i="33"/>
  <c r="AC11" i="34"/>
  <c r="U30" i="34"/>
  <c r="AC45" i="34"/>
  <c r="AA11" i="37"/>
  <c r="W33" i="37"/>
  <c r="AB37" i="37"/>
  <c r="S28" i="35"/>
  <c r="AB30" i="35"/>
  <c r="AB14" i="35"/>
  <c r="U22" i="35"/>
  <c r="AA27" i="36"/>
  <c r="U9" i="36"/>
  <c r="AC13" i="40"/>
  <c r="U13" i="39"/>
  <c r="AB13" i="33"/>
  <c r="U14" i="34"/>
  <c r="F27" i="34"/>
  <c r="S27" i="34" s="1"/>
  <c r="AB44" i="39"/>
  <c r="AB29" i="39"/>
  <c r="S41" i="40"/>
  <c r="AC16" i="40"/>
  <c r="W12" i="34"/>
  <c r="AC30" i="34"/>
  <c r="AA11" i="36"/>
  <c r="AB17" i="39"/>
  <c r="AA30" i="40"/>
  <c r="AB16" i="39"/>
  <c r="S47" i="39"/>
  <c r="AB32" i="40"/>
  <c r="H38" i="39"/>
  <c r="U38" i="39" s="1"/>
  <c r="AB47" i="39"/>
  <c r="J41" i="40"/>
  <c r="J15" i="40"/>
  <c r="AZ517" i="3"/>
  <c r="S37" i="39"/>
  <c r="AA31" i="36"/>
  <c r="H27" i="34"/>
  <c r="AB10" i="35"/>
  <c r="AC27" i="34"/>
  <c r="S24" i="36"/>
  <c r="AB28" i="33"/>
  <c r="U43" i="21"/>
  <c r="AZ337" i="3"/>
  <c r="AZ377" i="3"/>
  <c r="AZ360" i="3"/>
  <c r="AZ345" i="3"/>
  <c r="AZ329" i="3"/>
  <c r="AZ305" i="3"/>
  <c r="F9" i="37"/>
  <c r="BL524" i="3"/>
  <c r="BL562" i="3"/>
  <c r="AZ562" i="3" s="1"/>
  <c r="AZ488" i="3"/>
  <c r="J14" i="37"/>
  <c r="U13" i="35"/>
  <c r="AB13" i="35"/>
  <c r="J14" i="33"/>
  <c r="U13" i="21"/>
  <c r="AB13" i="21"/>
  <c r="F12" i="36"/>
  <c r="AC24" i="36"/>
  <c r="H12" i="21"/>
  <c r="F12" i="21"/>
  <c r="J12" i="21"/>
  <c r="H28" i="21"/>
  <c r="F28" i="21"/>
  <c r="H30" i="21"/>
  <c r="F30" i="21"/>
  <c r="J30" i="21"/>
  <c r="F44" i="21"/>
  <c r="H44" i="21"/>
  <c r="H46" i="21"/>
  <c r="J46" i="21"/>
  <c r="F46" i="21"/>
  <c r="J26" i="33"/>
  <c r="H26" i="33"/>
  <c r="U26" i="33" s="1"/>
  <c r="AA34" i="35"/>
  <c r="S34" i="35"/>
  <c r="J9" i="35"/>
  <c r="H9" i="35"/>
  <c r="F9" i="35"/>
  <c r="F31" i="33"/>
  <c r="H31" i="33"/>
  <c r="J46" i="33"/>
  <c r="AC46" i="33" s="1"/>
  <c r="H46" i="33"/>
  <c r="F29" i="34"/>
  <c r="H29" i="34"/>
  <c r="J31" i="34"/>
  <c r="H31" i="34"/>
  <c r="H47" i="34"/>
  <c r="F47" i="34"/>
  <c r="F13" i="35"/>
  <c r="J13" i="35"/>
  <c r="AC23" i="35"/>
  <c r="W23" i="35"/>
  <c r="J25" i="35"/>
  <c r="H25" i="35"/>
  <c r="F9" i="36"/>
  <c r="AB26" i="36"/>
  <c r="U26" i="36"/>
  <c r="J23" i="36"/>
  <c r="H23" i="36"/>
  <c r="F23" i="36"/>
  <c r="AB29" i="36"/>
  <c r="U29" i="36"/>
  <c r="H27" i="37"/>
  <c r="F27" i="37"/>
  <c r="J39" i="37"/>
  <c r="AC39" i="37" s="1"/>
  <c r="F39" i="37"/>
  <c r="H39" i="37"/>
  <c r="AA40" i="33"/>
  <c r="S40" i="33"/>
  <c r="W38" i="34"/>
  <c r="AC38" i="34"/>
  <c r="AC31" i="35"/>
  <c r="W31" i="35"/>
  <c r="BL564" i="3"/>
  <c r="AZ564" i="3" s="1"/>
  <c r="BL14" i="3"/>
  <c r="AZ358" i="3"/>
  <c r="AZ355" i="3"/>
  <c r="AZ354" i="3"/>
  <c r="AZ338" i="3"/>
  <c r="AZ322" i="3"/>
  <c r="AZ363" i="3"/>
  <c r="AZ14" i="3"/>
  <c r="BL20" i="3"/>
  <c r="BL526" i="3"/>
  <c r="AZ526" i="3" s="1"/>
  <c r="BL546" i="3"/>
  <c r="BL552" i="3"/>
  <c r="AZ552" i="3" s="1"/>
  <c r="BL556" i="3"/>
  <c r="AZ502" i="3"/>
  <c r="AZ501" i="3"/>
  <c r="G572" i="3"/>
  <c r="BL572" i="3"/>
  <c r="BA572" i="3"/>
  <c r="AZ572" i="3" s="1"/>
  <c r="G569" i="3"/>
  <c r="G559" i="3"/>
  <c r="G553" i="3"/>
  <c r="G524" i="3"/>
  <c r="G495" i="3"/>
  <c r="G543" i="3"/>
  <c r="G536" i="3"/>
  <c r="BL534" i="3"/>
  <c r="AZ534" i="3" s="1"/>
  <c r="G528" i="3"/>
  <c r="G520" i="3"/>
  <c r="G516" i="3"/>
  <c r="G512" i="3"/>
  <c r="G511" i="3"/>
  <c r="G509" i="3"/>
  <c r="G504" i="3"/>
  <c r="G497" i="3"/>
  <c r="G490" i="3"/>
  <c r="G482" i="3"/>
  <c r="G19" i="3"/>
  <c r="G14" i="3"/>
  <c r="G392" i="3"/>
  <c r="G393" i="3"/>
  <c r="BA393" i="3"/>
  <c r="AZ393" i="3" s="1"/>
  <c r="BL394" i="3"/>
  <c r="AZ394" i="3" s="1"/>
  <c r="BL397" i="3"/>
  <c r="G403" i="3"/>
  <c r="BA403" i="3"/>
  <c r="BL403" i="3"/>
  <c r="BA406" i="3"/>
  <c r="BL406" i="3"/>
  <c r="G407" i="3"/>
  <c r="BA407" i="3"/>
  <c r="AZ407" i="3" s="1"/>
  <c r="BL408" i="3"/>
  <c r="BA409" i="3"/>
  <c r="G410" i="3"/>
  <c r="G411" i="3"/>
  <c r="BA411" i="3"/>
  <c r="BL411" i="3"/>
  <c r="G412" i="3"/>
  <c r="BA415" i="3"/>
  <c r="AZ415" i="3" s="1"/>
  <c r="BA416" i="3"/>
  <c r="AZ416" i="3" s="1"/>
  <c r="BL417" i="3"/>
  <c r="BA418" i="3"/>
  <c r="G420" i="3"/>
  <c r="BA421" i="3"/>
  <c r="G422" i="3"/>
  <c r="BA422" i="3"/>
  <c r="BL422" i="3"/>
  <c r="BL424" i="3"/>
  <c r="G425" i="3"/>
  <c r="BA425" i="3"/>
  <c r="AZ425" i="3" s="1"/>
  <c r="BA426" i="3"/>
  <c r="G427" i="3"/>
  <c r="BL431" i="3"/>
  <c r="AZ431" i="3" s="1"/>
  <c r="BL434" i="3"/>
  <c r="G435" i="3"/>
  <c r="BA435" i="3"/>
  <c r="AZ435" i="3" s="1"/>
  <c r="BA436" i="3"/>
  <c r="G437" i="3"/>
  <c r="BA440" i="3"/>
  <c r="AZ440" i="3" s="1"/>
  <c r="G442" i="3"/>
  <c r="G445" i="3"/>
  <c r="BA445" i="3"/>
  <c r="AZ445" i="3" s="1"/>
  <c r="BA446" i="3"/>
  <c r="G447" i="3"/>
  <c r="BL447" i="3"/>
  <c r="BL448" i="3"/>
  <c r="BL452" i="3"/>
  <c r="AZ452" i="3" s="1"/>
  <c r="BL453" i="3"/>
  <c r="BA474" i="3"/>
  <c r="AZ474" i="3" s="1"/>
  <c r="BA475" i="3"/>
  <c r="BL475" i="3"/>
  <c r="BA309" i="3"/>
  <c r="AZ309" i="3" s="1"/>
  <c r="BA349" i="3"/>
  <c r="AZ349" i="3" s="1"/>
  <c r="BA368" i="3"/>
  <c r="BL368" i="3"/>
  <c r="BA369" i="3"/>
  <c r="BA384" i="3"/>
  <c r="AZ384" i="3" s="1"/>
  <c r="BA385" i="3"/>
  <c r="BL213" i="3"/>
  <c r="AZ213" i="3" s="1"/>
  <c r="BL389" i="3"/>
  <c r="AZ392" i="3"/>
  <c r="BA398" i="3"/>
  <c r="BL398" i="3"/>
  <c r="BA402" i="3"/>
  <c r="AZ402" i="3" s="1"/>
  <c r="AZ404" i="3"/>
  <c r="BL404" i="3"/>
  <c r="BA408" i="3"/>
  <c r="AZ408" i="3" s="1"/>
  <c r="BA410" i="3"/>
  <c r="BA417" i="3"/>
  <c r="BL421" i="3"/>
  <c r="BA430" i="3"/>
  <c r="AZ430" i="3" s="1"/>
  <c r="BL439" i="3"/>
  <c r="AZ439" i="3" s="1"/>
  <c r="BL441" i="3"/>
  <c r="BL442" i="3"/>
  <c r="BL446" i="3"/>
  <c r="BA450" i="3"/>
  <c r="AZ450" i="3" s="1"/>
  <c r="BA455" i="3"/>
  <c r="AZ455" i="3" s="1"/>
  <c r="BA460" i="3"/>
  <c r="AZ460" i="3" s="1"/>
  <c r="BL465" i="3"/>
  <c r="BA470" i="3"/>
  <c r="BL470" i="3"/>
  <c r="BA479" i="3"/>
  <c r="AZ479" i="3" s="1"/>
  <c r="BL480" i="3"/>
  <c r="BL316" i="3"/>
  <c r="AZ316" i="3" s="1"/>
  <c r="BL330" i="3"/>
  <c r="AZ330" i="3" s="1"/>
  <c r="BL332" i="3"/>
  <c r="BA335" i="3"/>
  <c r="BL219" i="3"/>
  <c r="BL230" i="3"/>
  <c r="AZ234" i="3"/>
  <c r="BA248" i="3"/>
  <c r="AZ248" i="3" s="1"/>
  <c r="BA456" i="3"/>
  <c r="G457" i="3"/>
  <c r="BA459" i="3"/>
  <c r="AZ459" i="3" s="1"/>
  <c r="BL461" i="3"/>
  <c r="AZ461" i="3" s="1"/>
  <c r="BA463" i="3"/>
  <c r="G464" i="3"/>
  <c r="G466" i="3"/>
  <c r="BL468" i="3"/>
  <c r="G471" i="3"/>
  <c r="G474" i="3"/>
  <c r="G476" i="3"/>
  <c r="BA476" i="3"/>
  <c r="G479" i="3"/>
  <c r="BA480" i="3"/>
  <c r="G301" i="3"/>
  <c r="BA301" i="3"/>
  <c r="BA311" i="3"/>
  <c r="AZ311" i="3" s="1"/>
  <c r="BA313" i="3"/>
  <c r="AZ313" i="3" s="1"/>
  <c r="BL314" i="3"/>
  <c r="AZ314" i="3" s="1"/>
  <c r="BA319" i="3"/>
  <c r="BL319" i="3"/>
  <c r="G320" i="3"/>
  <c r="BA321" i="3"/>
  <c r="AZ321" i="3" s="1"/>
  <c r="BL326" i="3"/>
  <c r="AZ326" i="3" s="1"/>
  <c r="G329" i="3"/>
  <c r="G331" i="3"/>
  <c r="G333" i="3"/>
  <c r="BA337" i="3"/>
  <c r="BL350" i="3"/>
  <c r="BA351" i="3"/>
  <c r="G352" i="3"/>
  <c r="BL360" i="3"/>
  <c r="G363" i="3"/>
  <c r="G367" i="3"/>
  <c r="BA367" i="3"/>
  <c r="AZ367" i="3" s="1"/>
  <c r="BL369" i="3"/>
  <c r="BA371" i="3"/>
  <c r="AZ371" i="3" s="1"/>
  <c r="G375" i="3"/>
  <c r="BA375" i="3"/>
  <c r="AZ375" i="3" s="1"/>
  <c r="BL376" i="3"/>
  <c r="G379" i="3"/>
  <c r="BL380" i="3"/>
  <c r="AZ380" i="3" s="1"/>
  <c r="G381" i="3"/>
  <c r="BL382" i="3"/>
  <c r="AZ382" i="3" s="1"/>
  <c r="G383" i="3"/>
  <c r="BL384" i="3"/>
  <c r="BL385" i="3"/>
  <c r="BL206" i="3"/>
  <c r="G207" i="3"/>
  <c r="BA209" i="3"/>
  <c r="BL209" i="3"/>
  <c r="G210" i="3"/>
  <c r="BL212" i="3"/>
  <c r="AZ212" i="3" s="1"/>
  <c r="BA214" i="3"/>
  <c r="BL214" i="3"/>
  <c r="G215" i="3"/>
  <c r="BA216" i="3"/>
  <c r="G217" i="3"/>
  <c r="BL217" i="3"/>
  <c r="AZ217" i="3" s="1"/>
  <c r="BL218" i="3"/>
  <c r="AZ218" i="3" s="1"/>
  <c r="G219" i="3"/>
  <c r="BL220" i="3"/>
  <c r="G222" i="3"/>
  <c r="BL222" i="3"/>
  <c r="BA223" i="3"/>
  <c r="AZ223" i="3" s="1"/>
  <c r="BL223" i="3"/>
  <c r="G224" i="3"/>
  <c r="BL225" i="3"/>
  <c r="BA228" i="3"/>
  <c r="AZ228" i="3" s="1"/>
  <c r="BA237" i="3"/>
  <c r="AZ254" i="3"/>
  <c r="BL254" i="3"/>
  <c r="BA263" i="3"/>
  <c r="AZ263" i="3" s="1"/>
  <c r="BA269" i="3"/>
  <c r="BA277" i="3"/>
  <c r="BL284" i="3"/>
  <c r="BL287" i="3"/>
  <c r="BL292" i="3"/>
  <c r="BA296" i="3"/>
  <c r="AZ132" i="3"/>
  <c r="BA141" i="3"/>
  <c r="AZ141" i="3" s="1"/>
  <c r="BA144" i="3"/>
  <c r="AZ149" i="3"/>
  <c r="BL149" i="3"/>
  <c r="BL196" i="3"/>
  <c r="AZ196" i="3" s="1"/>
  <c r="BA198" i="3"/>
  <c r="BL199" i="3"/>
  <c r="BA21" i="3"/>
  <c r="BL24" i="3"/>
  <c r="AZ25" i="3"/>
  <c r="BA26" i="3"/>
  <c r="AZ26" i="3" s="1"/>
  <c r="BA28" i="3"/>
  <c r="AZ28" i="3" s="1"/>
  <c r="BA32" i="3"/>
  <c r="BA36" i="3"/>
  <c r="AZ36" i="3" s="1"/>
  <c r="BA37" i="3"/>
  <c r="AZ37" i="3" s="1"/>
  <c r="BA44" i="3"/>
  <c r="AZ44" i="3" s="1"/>
  <c r="BL51" i="3"/>
  <c r="BA53" i="3"/>
  <c r="BL59" i="3"/>
  <c r="AZ59" i="3" s="1"/>
  <c r="BL60" i="3"/>
  <c r="BA61" i="3"/>
  <c r="AZ61" i="3" s="1"/>
  <c r="BL63" i="3"/>
  <c r="D50" i="59"/>
  <c r="C51" i="59"/>
  <c r="BL228" i="3"/>
  <c r="BA231" i="3"/>
  <c r="G232" i="3"/>
  <c r="BL233" i="3"/>
  <c r="AZ233" i="3" s="1"/>
  <c r="G235" i="3"/>
  <c r="BL238" i="3"/>
  <c r="BA239" i="3"/>
  <c r="AZ239" i="3" s="1"/>
  <c r="BL241" i="3"/>
  <c r="BA242" i="3"/>
  <c r="AZ242" i="3" s="1"/>
  <c r="G245" i="3"/>
  <c r="BL245" i="3"/>
  <c r="G246" i="3"/>
  <c r="BA247" i="3"/>
  <c r="AZ247" i="3" s="1"/>
  <c r="G250" i="3"/>
  <c r="BL250" i="3"/>
  <c r="G253" i="3"/>
  <c r="BL253" i="3"/>
  <c r="G254" i="3"/>
  <c r="BA256" i="3"/>
  <c r="BL256" i="3"/>
  <c r="G257" i="3"/>
  <c r="BL260" i="3"/>
  <c r="BL268" i="3"/>
  <c r="BL270" i="3"/>
  <c r="AZ270" i="3" s="1"/>
  <c r="G272" i="3"/>
  <c r="BL273" i="3"/>
  <c r="G274" i="3"/>
  <c r="G276" i="3"/>
  <c r="BL281" i="3"/>
  <c r="BA282" i="3"/>
  <c r="G284" i="3"/>
  <c r="BA286" i="3"/>
  <c r="AZ286" i="3" s="1"/>
  <c r="G288" i="3"/>
  <c r="BA288" i="3"/>
  <c r="G290" i="3"/>
  <c r="BL290" i="3"/>
  <c r="AZ290" i="3" s="1"/>
  <c r="BL291" i="3"/>
  <c r="G292" i="3"/>
  <c r="G293" i="3"/>
  <c r="BA293" i="3"/>
  <c r="BA294" i="3"/>
  <c r="BL294" i="3"/>
  <c r="G295" i="3"/>
  <c r="BL114" i="3"/>
  <c r="AZ114" i="3" s="1"/>
  <c r="BA115" i="3"/>
  <c r="AZ115" i="3" s="1"/>
  <c r="BA117" i="3"/>
  <c r="BA121" i="3"/>
  <c r="BA123" i="3"/>
  <c r="AZ123" i="3" s="1"/>
  <c r="G129" i="3"/>
  <c r="BA129" i="3"/>
  <c r="G133" i="3"/>
  <c r="BA137" i="3"/>
  <c r="G138" i="3"/>
  <c r="G143" i="3"/>
  <c r="G146" i="3"/>
  <c r="BA148" i="3"/>
  <c r="AZ148" i="3" s="1"/>
  <c r="BL148" i="3"/>
  <c r="G149" i="3"/>
  <c r="G151" i="3"/>
  <c r="G154" i="3"/>
  <c r="G157" i="3"/>
  <c r="BL157" i="3"/>
  <c r="AZ157" i="3" s="1"/>
  <c r="G158" i="3"/>
  <c r="BA158" i="3"/>
  <c r="AZ158" i="3" s="1"/>
  <c r="G161" i="3"/>
  <c r="G166" i="3"/>
  <c r="BA171" i="3"/>
  <c r="BA172" i="3"/>
  <c r="G173" i="3"/>
  <c r="BA175" i="3"/>
  <c r="AZ175" i="3" s="1"/>
  <c r="BL175" i="3"/>
  <c r="G176" i="3"/>
  <c r="BL176" i="3"/>
  <c r="BA177" i="3"/>
  <c r="G181" i="3"/>
  <c r="BA182" i="3"/>
  <c r="G183" i="3"/>
  <c r="BA186" i="3"/>
  <c r="G188" i="3"/>
  <c r="BA190" i="3"/>
  <c r="G192" i="3"/>
  <c r="BL192" i="3"/>
  <c r="AZ192" i="3" s="1"/>
  <c r="BA194" i="3"/>
  <c r="AZ194" i="3" s="1"/>
  <c r="G200" i="3"/>
  <c r="BL200" i="3"/>
  <c r="AZ200" i="3" s="1"/>
  <c r="G201" i="3"/>
  <c r="BL202" i="3"/>
  <c r="BA204" i="3"/>
  <c r="BL21" i="3"/>
  <c r="BA22" i="3"/>
  <c r="G23" i="3"/>
  <c r="BA24" i="3"/>
  <c r="AZ24" i="3" s="1"/>
  <c r="BA27" i="3"/>
  <c r="BL27" i="3"/>
  <c r="G28" i="3"/>
  <c r="G30" i="3"/>
  <c r="BA30" i="3"/>
  <c r="AZ30" i="3" s="1"/>
  <c r="G31" i="3"/>
  <c r="G32" i="3"/>
  <c r="BL32" i="3"/>
  <c r="G37" i="3"/>
  <c r="BL41" i="3"/>
  <c r="AZ41" i="3" s="1"/>
  <c r="BL44" i="3"/>
  <c r="BL45" i="3"/>
  <c r="AZ45" i="3" s="1"/>
  <c r="BA48" i="3"/>
  <c r="BL48" i="3"/>
  <c r="G51" i="3"/>
  <c r="G52" i="3"/>
  <c r="BA52" i="3"/>
  <c r="BL54" i="3"/>
  <c r="BA55" i="3"/>
  <c r="AZ58" i="3"/>
  <c r="BA64" i="3"/>
  <c r="AZ80" i="3"/>
  <c r="BL98" i="3"/>
  <c r="O61" i="59"/>
  <c r="B39" i="59"/>
  <c r="B40" i="59" s="1"/>
  <c r="S40" i="59" s="1"/>
  <c r="E47" i="59"/>
  <c r="E48" i="59" s="1"/>
  <c r="U48" i="59" s="1"/>
  <c r="B55" i="59"/>
  <c r="F75" i="59"/>
  <c r="F74" i="59" s="1"/>
  <c r="G54" i="3"/>
  <c r="BA54" i="3"/>
  <c r="G56" i="3"/>
  <c r="G57" i="3"/>
  <c r="BL66" i="3"/>
  <c r="AZ66" i="3" s="1"/>
  <c r="BL67" i="3"/>
  <c r="AZ67" i="3" s="1"/>
  <c r="G68" i="3"/>
  <c r="G69" i="3"/>
  <c r="BL72" i="3"/>
  <c r="BA76" i="3"/>
  <c r="AZ76" i="3" s="1"/>
  <c r="BL77" i="3"/>
  <c r="AZ77" i="3" s="1"/>
  <c r="G79" i="3"/>
  <c r="BL80" i="3"/>
  <c r="G83" i="3"/>
  <c r="G88" i="3"/>
  <c r="G89" i="3"/>
  <c r="BA91" i="3"/>
  <c r="G92" i="3"/>
  <c r="BA93" i="3"/>
  <c r="BL94" i="3"/>
  <c r="BL95" i="3"/>
  <c r="BA96" i="3"/>
  <c r="BA98" i="3"/>
  <c r="AZ98" i="3" s="1"/>
  <c r="G100" i="3"/>
  <c r="BA100" i="3"/>
  <c r="G102" i="3"/>
  <c r="BL103" i="3"/>
  <c r="BL104" i="3"/>
  <c r="G106" i="3"/>
  <c r="BA107" i="3"/>
  <c r="BA108" i="3"/>
  <c r="BA109" i="3"/>
  <c r="K13" i="1"/>
  <c r="M13" i="1" s="1"/>
  <c r="I20" i="57"/>
  <c r="AA18" i="36"/>
  <c r="X30" i="59"/>
  <c r="X32" i="59"/>
  <c r="A28" i="64"/>
  <c r="AI12" i="46"/>
  <c r="O76" i="9"/>
  <c r="C15" i="59"/>
  <c r="T16" i="59"/>
  <c r="D16" i="59"/>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AZ546" i="3"/>
  <c r="U28" i="36"/>
  <c r="AB28" i="36"/>
  <c r="U16" i="35"/>
  <c r="AB16" i="35"/>
  <c r="AB26" i="21"/>
  <c r="U26" i="21"/>
  <c r="W35" i="35"/>
  <c r="AA43" i="21"/>
  <c r="AB44" i="33"/>
  <c r="H5" i="3"/>
  <c r="H12" i="35"/>
  <c r="H25" i="37"/>
  <c r="F25" i="37"/>
  <c r="J25" i="37"/>
  <c r="AZ397" i="3"/>
  <c r="AB45" i="34"/>
  <c r="J47" i="34"/>
  <c r="B69" i="72"/>
  <c r="B69" i="71"/>
  <c r="H9" i="34"/>
  <c r="AB9" i="34" s="1"/>
  <c r="J34" i="36"/>
  <c r="H34" i="36"/>
  <c r="AC41" i="21"/>
  <c r="W41" i="21"/>
  <c r="AC11" i="36"/>
  <c r="AB31" i="37"/>
  <c r="AA36" i="21"/>
  <c r="H27" i="33"/>
  <c r="U27" i="33" s="1"/>
  <c r="J12" i="35"/>
  <c r="F25" i="35"/>
  <c r="G563" i="3"/>
  <c r="H45" i="21"/>
  <c r="F45" i="21"/>
  <c r="BI5" i="3"/>
  <c r="H28" i="34"/>
  <c r="BH5" i="3"/>
  <c r="B80" i="71"/>
  <c r="B80" i="72"/>
  <c r="B80" i="46"/>
  <c r="AB45" i="33"/>
  <c r="BG5" i="3"/>
  <c r="AZ409" i="3"/>
  <c r="AZ447" i="3"/>
  <c r="AZ448" i="3"/>
  <c r="AZ453"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17" i="3"/>
  <c r="BL426" i="3"/>
  <c r="BL436" i="3"/>
  <c r="AZ436" i="3" s="1"/>
  <c r="BA451" i="3"/>
  <c r="BL456" i="3"/>
  <c r="AZ456" i="3" s="1"/>
  <c r="G465" i="3"/>
  <c r="BL472" i="3"/>
  <c r="AZ472" i="3" s="1"/>
  <c r="BL476" i="3"/>
  <c r="BA477" i="3"/>
  <c r="AZ477" i="3" s="1"/>
  <c r="BL334" i="3"/>
  <c r="G345" i="3"/>
  <c r="BA210" i="3"/>
  <c r="AZ210" i="3" s="1"/>
  <c r="BA226" i="3"/>
  <c r="AZ226" i="3" s="1"/>
  <c r="B81" i="72"/>
  <c r="B81" i="71"/>
  <c r="BL391" i="3"/>
  <c r="AZ476" i="3"/>
  <c r="AZ116" i="3"/>
  <c r="G399" i="3"/>
  <c r="BA208" i="3"/>
  <c r="AZ208" i="3" s="1"/>
  <c r="AZ224" i="3"/>
  <c r="BA389" i="3"/>
  <c r="AZ389" i="3" s="1"/>
  <c r="BA391" i="3"/>
  <c r="AZ391" i="3" s="1"/>
  <c r="G450" i="3"/>
  <c r="G455" i="3"/>
  <c r="BL467" i="3"/>
  <c r="BA205" i="3"/>
  <c r="AZ205" i="3" s="1"/>
  <c r="BA225" i="3"/>
  <c r="AZ225" i="3" s="1"/>
  <c r="B87" i="71"/>
  <c r="B87" i="72"/>
  <c r="BA390" i="3"/>
  <c r="BL390" i="3"/>
  <c r="BL414" i="3"/>
  <c r="BA467" i="3"/>
  <c r="AZ467" i="3" s="1"/>
  <c r="AZ468" i="3"/>
  <c r="BA469" i="3"/>
  <c r="AZ469" i="3" s="1"/>
  <c r="BA471" i="3"/>
  <c r="AZ471" i="3" s="1"/>
  <c r="BA318" i="3"/>
  <c r="BL318" i="3"/>
  <c r="BA333" i="3"/>
  <c r="AZ333" i="3" s="1"/>
  <c r="BA388" i="3"/>
  <c r="AZ388" i="3" s="1"/>
  <c r="BA207" i="3"/>
  <c r="AZ168" i="3"/>
  <c r="BL395" i="3"/>
  <c r="BL396" i="3"/>
  <c r="AZ396" i="3" s="1"/>
  <c r="BL399" i="3"/>
  <c r="BL400" i="3"/>
  <c r="BL401" i="3"/>
  <c r="AZ401" i="3" s="1"/>
  <c r="BL405" i="3"/>
  <c r="BL413" i="3"/>
  <c r="BL423" i="3"/>
  <c r="BL433" i="3"/>
  <c r="BL463" i="3"/>
  <c r="AZ463" i="3" s="1"/>
  <c r="G212" i="3"/>
  <c r="BA395" i="3"/>
  <c r="BL409" i="3"/>
  <c r="BL410" i="3"/>
  <c r="AZ410" i="3" s="1"/>
  <c r="BA413" i="3"/>
  <c r="BA414" i="3"/>
  <c r="AZ414" i="3" s="1"/>
  <c r="BL432" i="3"/>
  <c r="BL462" i="3"/>
  <c r="BA466" i="3"/>
  <c r="AZ466" i="3" s="1"/>
  <c r="AZ243" i="3"/>
  <c r="AZ280" i="3"/>
  <c r="BA400" i="3"/>
  <c r="BA405" i="3"/>
  <c r="BA412" i="3"/>
  <c r="BL418" i="3"/>
  <c r="AZ418" i="3" s="1"/>
  <c r="BL419" i="3"/>
  <c r="AZ419" i="3" s="1"/>
  <c r="BA423" i="3"/>
  <c r="BA424" i="3"/>
  <c r="AZ424" i="3" s="1"/>
  <c r="BL427" i="3"/>
  <c r="AZ427" i="3" s="1"/>
  <c r="BA432" i="3"/>
  <c r="AZ432" i="3" s="1"/>
  <c r="BA433" i="3"/>
  <c r="BA434" i="3"/>
  <c r="AZ434" i="3" s="1"/>
  <c r="BL437" i="3"/>
  <c r="AZ437" i="3" s="1"/>
  <c r="BL443" i="3"/>
  <c r="AZ443" i="3" s="1"/>
  <c r="BL451" i="3"/>
  <c r="BL457" i="3"/>
  <c r="AZ457" i="3" s="1"/>
  <c r="BA462" i="3"/>
  <c r="BA317" i="3"/>
  <c r="AZ317" i="3" s="1"/>
  <c r="BA219" i="3"/>
  <c r="BA220" i="3"/>
  <c r="AZ220" i="3" s="1"/>
  <c r="BA250" i="3"/>
  <c r="AZ250" i="3" s="1"/>
  <c r="BA357" i="3"/>
  <c r="AZ357" i="3" s="1"/>
  <c r="BL235" i="3"/>
  <c r="G239" i="3"/>
  <c r="BL246" i="3"/>
  <c r="BL265" i="3"/>
  <c r="AZ265" i="3" s="1"/>
  <c r="BL269" i="3"/>
  <c r="BL272" i="3"/>
  <c r="BL275" i="3"/>
  <c r="AZ275" i="3" s="1"/>
  <c r="BL279" i="3"/>
  <c r="AZ279" i="3" s="1"/>
  <c r="BL282" i="3"/>
  <c r="AZ282" i="3" s="1"/>
  <c r="BL283" i="3"/>
  <c r="BL288" i="3"/>
  <c r="AZ288" i="3" s="1"/>
  <c r="BL293" i="3"/>
  <c r="BL296" i="3"/>
  <c r="AZ296" i="3" s="1"/>
  <c r="BL113" i="3"/>
  <c r="AZ117" i="3"/>
  <c r="BA133" i="3"/>
  <c r="BA143" i="3"/>
  <c r="AZ143" i="3" s="1"/>
  <c r="G156" i="3"/>
  <c r="BL165" i="3"/>
  <c r="AZ165" i="3" s="1"/>
  <c r="BA167" i="3"/>
  <c r="BL167" i="3"/>
  <c r="BL171" i="3"/>
  <c r="BL172" i="3"/>
  <c r="AZ172" i="3" s="1"/>
  <c r="AZ176" i="3"/>
  <c r="BA202" i="3"/>
  <c r="AZ202" i="3" s="1"/>
  <c r="BA62" i="3"/>
  <c r="BL351" i="3"/>
  <c r="AZ351" i="3" s="1"/>
  <c r="BL211" i="3"/>
  <c r="G214" i="3"/>
  <c r="BA245" i="3"/>
  <c r="AZ245" i="3" s="1"/>
  <c r="BA246" i="3"/>
  <c r="BL255" i="3"/>
  <c r="BA264" i="3"/>
  <c r="AZ264" i="3" s="1"/>
  <c r="BL278" i="3"/>
  <c r="AZ278" i="3" s="1"/>
  <c r="BA119" i="3"/>
  <c r="AZ119" i="3" s="1"/>
  <c r="BA235" i="3"/>
  <c r="BA244" i="3"/>
  <c r="AZ244" i="3" s="1"/>
  <c r="BA262" i="3"/>
  <c r="AZ262" i="3" s="1"/>
  <c r="BA273" i="3"/>
  <c r="BA276" i="3"/>
  <c r="AZ276" i="3" s="1"/>
  <c r="BA283" i="3"/>
  <c r="AZ283" i="3" s="1"/>
  <c r="BA284" i="3"/>
  <c r="AZ284" i="3" s="1"/>
  <c r="BA289" i="3"/>
  <c r="AZ289" i="3" s="1"/>
  <c r="BA113" i="3"/>
  <c r="AZ113" i="3" s="1"/>
  <c r="BL136" i="3"/>
  <c r="BA140" i="3"/>
  <c r="AZ140" i="3" s="1"/>
  <c r="BA159" i="3"/>
  <c r="AZ159" i="3" s="1"/>
  <c r="BA199" i="3"/>
  <c r="AZ199" i="3" s="1"/>
  <c r="X17" i="59"/>
  <c r="X3" i="59"/>
  <c r="BA350" i="3"/>
  <c r="AZ350" i="3" s="1"/>
  <c r="BA211" i="3"/>
  <c r="AZ211" i="3" s="1"/>
  <c r="BL227" i="3"/>
  <c r="AZ227" i="3" s="1"/>
  <c r="G231" i="3"/>
  <c r="BL237" i="3"/>
  <c r="AZ237" i="3" s="1"/>
  <c r="BL251" i="3"/>
  <c r="BA259" i="3"/>
  <c r="AZ259" i="3" s="1"/>
  <c r="BA260" i="3"/>
  <c r="BA267" i="3"/>
  <c r="AZ267" i="3" s="1"/>
  <c r="BA271" i="3"/>
  <c r="AZ271" i="3" s="1"/>
  <c r="BA274" i="3"/>
  <c r="AZ274" i="3" s="1"/>
  <c r="BA281" i="3"/>
  <c r="AZ281" i="3" s="1"/>
  <c r="BA291" i="3"/>
  <c r="AZ291" i="3" s="1"/>
  <c r="BA295" i="3"/>
  <c r="AZ295" i="3" s="1"/>
  <c r="G126" i="3"/>
  <c r="BL137" i="3"/>
  <c r="BA139" i="3"/>
  <c r="AZ139" i="3" s="1"/>
  <c r="BA164" i="3"/>
  <c r="BL164" i="3"/>
  <c r="BA170" i="3"/>
  <c r="AZ170" i="3" s="1"/>
  <c r="BL178" i="3"/>
  <c r="AZ178" i="3" s="1"/>
  <c r="BL191" i="3"/>
  <c r="AZ191" i="3" s="1"/>
  <c r="AZ54" i="3"/>
  <c r="AZ251" i="3"/>
  <c r="BA253" i="3"/>
  <c r="AZ253" i="3" s="1"/>
  <c r="AZ269" i="3"/>
  <c r="BL133" i="3"/>
  <c r="BA162" i="3"/>
  <c r="AZ162" i="3" s="1"/>
  <c r="BA341" i="3"/>
  <c r="AZ341" i="3" s="1"/>
  <c r="G209" i="3"/>
  <c r="G223" i="3"/>
  <c r="BL229" i="3"/>
  <c r="AZ229" i="3" s="1"/>
  <c r="BA238" i="3"/>
  <c r="AZ238" i="3" s="1"/>
  <c r="BL240" i="3"/>
  <c r="BA249" i="3"/>
  <c r="AZ249" i="3" s="1"/>
  <c r="BA255" i="3"/>
  <c r="AZ255" i="3" s="1"/>
  <c r="BA257" i="3"/>
  <c r="AZ257" i="3" s="1"/>
  <c r="BA268" i="3"/>
  <c r="AZ268" i="3" s="1"/>
  <c r="BA287" i="3"/>
  <c r="AZ287" i="3" s="1"/>
  <c r="BA292" i="3"/>
  <c r="AZ292" i="3" s="1"/>
  <c r="BL130" i="3"/>
  <c r="AZ130" i="3" s="1"/>
  <c r="BA135" i="3"/>
  <c r="AZ135" i="3" s="1"/>
  <c r="BL142" i="3"/>
  <c r="AZ142" i="3" s="1"/>
  <c r="BL186" i="3"/>
  <c r="AZ21" i="3"/>
  <c r="BL335" i="3"/>
  <c r="BL207" i="3"/>
  <c r="BA252" i="3"/>
  <c r="AZ252" i="3" s="1"/>
  <c r="G118" i="3"/>
  <c r="BL129" i="3"/>
  <c r="BA136" i="3"/>
  <c r="BL153" i="3"/>
  <c r="AZ153" i="3" s="1"/>
  <c r="BA155" i="3"/>
  <c r="AZ155" i="3" s="1"/>
  <c r="G177" i="3"/>
  <c r="BL182" i="3"/>
  <c r="AZ182" i="3" s="1"/>
  <c r="BA189" i="3"/>
  <c r="AZ189" i="3" s="1"/>
  <c r="BL34" i="3"/>
  <c r="BL39" i="3"/>
  <c r="BL46" i="3"/>
  <c r="BL76" i="3"/>
  <c r="BA90" i="3"/>
  <c r="BA334" i="3"/>
  <c r="AZ334" i="3" s="1"/>
  <c r="BA206" i="3"/>
  <c r="AZ206" i="3" s="1"/>
  <c r="BL221" i="3"/>
  <c r="BL231" i="3"/>
  <c r="AZ231" i="3" s="1"/>
  <c r="BA240" i="3"/>
  <c r="AZ277" i="3"/>
  <c r="BL121" i="3"/>
  <c r="AZ121" i="3" s="1"/>
  <c r="BA128" i="3"/>
  <c r="BL128" i="3"/>
  <c r="AZ129" i="3"/>
  <c r="BA156" i="3"/>
  <c r="BL180" i="3"/>
  <c r="BA187" i="3"/>
  <c r="BL187" i="3"/>
  <c r="BA325" i="3"/>
  <c r="AZ325" i="3" s="1"/>
  <c r="G388" i="3"/>
  <c r="BL232" i="3"/>
  <c r="AZ232" i="3" s="1"/>
  <c r="BA241" i="3"/>
  <c r="AZ241" i="3" s="1"/>
  <c r="G263" i="3"/>
  <c r="BA272" i="3"/>
  <c r="AZ272" i="3" s="1"/>
  <c r="BL150" i="3"/>
  <c r="AZ150" i="3" s="1"/>
  <c r="BA154" i="3"/>
  <c r="AZ154" i="3" s="1"/>
  <c r="AZ171" i="3"/>
  <c r="BA185" i="3"/>
  <c r="AZ185" i="3" s="1"/>
  <c r="BA38" i="3"/>
  <c r="BA39" i="3"/>
  <c r="AZ39" i="3" s="1"/>
  <c r="BL75" i="3"/>
  <c r="BL386" i="3"/>
  <c r="AZ386" i="3" s="1"/>
  <c r="BL216" i="3"/>
  <c r="BA221" i="3"/>
  <c r="BA230" i="3"/>
  <c r="AZ230" i="3" s="1"/>
  <c r="BA258" i="3"/>
  <c r="AZ258" i="3" s="1"/>
  <c r="G282" i="3"/>
  <c r="BL122" i="3"/>
  <c r="AZ122" i="3" s="1"/>
  <c r="BA125" i="3"/>
  <c r="AZ125" i="3" s="1"/>
  <c r="BL144" i="3"/>
  <c r="AZ144" i="3" s="1"/>
  <c r="BA151" i="3"/>
  <c r="AZ151" i="3" s="1"/>
  <c r="BA152" i="3"/>
  <c r="AZ152" i="3" s="1"/>
  <c r="BL156" i="3"/>
  <c r="BA163" i="3"/>
  <c r="AZ163" i="3" s="1"/>
  <c r="BL177" i="3"/>
  <c r="BA180" i="3"/>
  <c r="AZ180" i="3" s="1"/>
  <c r="BA181" i="3"/>
  <c r="AZ181" i="3" s="1"/>
  <c r="BL33" i="3"/>
  <c r="AZ34" i="3"/>
  <c r="BL57" i="3"/>
  <c r="AZ57" i="3" s="1"/>
  <c r="BA75" i="3"/>
  <c r="AZ75" i="3" s="1"/>
  <c r="BA222" i="3"/>
  <c r="AZ222" i="3" s="1"/>
  <c r="BL243" i="3"/>
  <c r="G255" i="3"/>
  <c r="G287" i="3"/>
  <c r="BA120" i="3"/>
  <c r="BL120" i="3"/>
  <c r="BA127" i="3"/>
  <c r="AZ127" i="3" s="1"/>
  <c r="BL134" i="3"/>
  <c r="AZ134" i="3" s="1"/>
  <c r="BL145" i="3"/>
  <c r="AZ145" i="3" s="1"/>
  <c r="G170" i="3"/>
  <c r="BA179" i="3"/>
  <c r="AZ179" i="3" s="1"/>
  <c r="BA195" i="3"/>
  <c r="AZ195" i="3" s="1"/>
  <c r="BL22" i="3"/>
  <c r="AZ22" i="3" s="1"/>
  <c r="BL37" i="3"/>
  <c r="C27" i="59"/>
  <c r="D26" i="59"/>
  <c r="AB20" i="59"/>
  <c r="F20" i="59"/>
  <c r="AB3" i="59"/>
  <c r="BL204" i="3"/>
  <c r="BL43" i="3"/>
  <c r="AZ43" i="3" s="1"/>
  <c r="BA68" i="3"/>
  <c r="AZ68" i="3" s="1"/>
  <c r="BA81" i="3"/>
  <c r="AZ81" i="3" s="1"/>
  <c r="P63" i="59"/>
  <c r="E62" i="59"/>
  <c r="AA15" i="59"/>
  <c r="AB8" i="59"/>
  <c r="BA42" i="3"/>
  <c r="AZ42" i="3" s="1"/>
  <c r="G46" i="3"/>
  <c r="BA50" i="3"/>
  <c r="AZ50" i="3" s="1"/>
  <c r="G55" i="3"/>
  <c r="BL69" i="3"/>
  <c r="BL78" i="3"/>
  <c r="BL83" i="3"/>
  <c r="BA86" i="3"/>
  <c r="AZ86" i="3" s="1"/>
  <c r="BL88" i="3"/>
  <c r="BL90" i="3"/>
  <c r="BL93" i="3"/>
  <c r="AZ93" i="3" s="1"/>
  <c r="G109" i="3"/>
  <c r="P27" i="6"/>
  <c r="C35" i="59"/>
  <c r="D34" i="59"/>
  <c r="V64" i="59"/>
  <c r="Q64" i="59"/>
  <c r="F63" i="59"/>
  <c r="BL52" i="3"/>
  <c r="AZ52" i="3" s="1"/>
  <c r="BA69" i="3"/>
  <c r="BA71" i="3"/>
  <c r="AZ71" i="3" s="1"/>
  <c r="BL73" i="3"/>
  <c r="BA78" i="3"/>
  <c r="BA83" i="3"/>
  <c r="BA85" i="3"/>
  <c r="AZ85" i="3" s="1"/>
  <c r="BA88" i="3"/>
  <c r="AZ88" i="3" s="1"/>
  <c r="BA89" i="3"/>
  <c r="AZ89" i="3" s="1"/>
  <c r="BL91" i="3"/>
  <c r="AZ91" i="3" s="1"/>
  <c r="E36" i="59"/>
  <c r="C48" i="59"/>
  <c r="D47" i="59"/>
  <c r="F52" i="59"/>
  <c r="V52" i="59" s="1"/>
  <c r="X22" i="59"/>
  <c r="BL198" i="3"/>
  <c r="AZ198" i="3" s="1"/>
  <c r="BL53" i="3"/>
  <c r="AZ53" i="3" s="1"/>
  <c r="BL61" i="3"/>
  <c r="BA72" i="3"/>
  <c r="AZ72" i="3" s="1"/>
  <c r="BA94" i="3"/>
  <c r="AZ94" i="3" s="1"/>
  <c r="BL96" i="3"/>
  <c r="BL102" i="3"/>
  <c r="C59" i="59"/>
  <c r="D58" i="59"/>
  <c r="BL38" i="3"/>
  <c r="BA51" i="3"/>
  <c r="AZ51" i="3" s="1"/>
  <c r="BL62" i="3"/>
  <c r="BL74" i="3"/>
  <c r="BL92" i="3"/>
  <c r="BA95" i="3"/>
  <c r="AZ95" i="3" s="1"/>
  <c r="BL97" i="3"/>
  <c r="BL99" i="3"/>
  <c r="BL100" i="3"/>
  <c r="AZ100" i="3" s="1"/>
  <c r="BA102" i="3"/>
  <c r="AZ102" i="3" s="1"/>
  <c r="BA103" i="3"/>
  <c r="AZ103" i="3" s="1"/>
  <c r="BL105" i="3"/>
  <c r="BL110" i="3"/>
  <c r="BL111" i="3"/>
  <c r="I21" i="57"/>
  <c r="BA197" i="3"/>
  <c r="AZ197" i="3" s="1"/>
  <c r="BL55" i="3"/>
  <c r="AZ55" i="3" s="1"/>
  <c r="BA60" i="3"/>
  <c r="AZ60" i="3" s="1"/>
  <c r="BA63" i="3"/>
  <c r="AZ63" i="3" s="1"/>
  <c r="BL64" i="3"/>
  <c r="AZ64" i="3" s="1"/>
  <c r="BA74" i="3"/>
  <c r="BA87" i="3"/>
  <c r="AZ87" i="3" s="1"/>
  <c r="BA92" i="3"/>
  <c r="AZ92" i="3" s="1"/>
  <c r="BA97" i="3"/>
  <c r="AZ97" i="3" s="1"/>
  <c r="BA104" i="3"/>
  <c r="BL107" i="3"/>
  <c r="AZ107" i="3" s="1"/>
  <c r="BL108" i="3"/>
  <c r="BL109" i="3"/>
  <c r="AZ109" i="3" s="1"/>
  <c r="BA111" i="3"/>
  <c r="B56" i="59"/>
  <c r="S56" i="59" s="1"/>
  <c r="G193" i="3"/>
  <c r="G36" i="3"/>
  <c r="BL65" i="3"/>
  <c r="G81" i="3"/>
  <c r="BA99" i="3"/>
  <c r="BL101" i="3"/>
  <c r="BL106" i="3"/>
  <c r="C55" i="59"/>
  <c r="D54" i="59"/>
  <c r="F23" i="59"/>
  <c r="F22" i="59" s="1"/>
  <c r="V24" i="59"/>
  <c r="Y13" i="59"/>
  <c r="Z13" i="59" s="1"/>
  <c r="BL190" i="3"/>
  <c r="BA33" i="3"/>
  <c r="AZ33" i="3" s="1"/>
  <c r="BL47" i="3"/>
  <c r="BL56" i="3"/>
  <c r="BA65" i="3"/>
  <c r="AZ65" i="3" s="1"/>
  <c r="BA73" i="3"/>
  <c r="AZ73" i="3" s="1"/>
  <c r="BA101" i="3"/>
  <c r="BA106" i="3"/>
  <c r="AZ106" i="3" s="1"/>
  <c r="AZ108" i="3"/>
  <c r="AA21" i="37"/>
  <c r="S21" i="37"/>
  <c r="D71" i="59"/>
  <c r="C70" i="59"/>
  <c r="D70" i="59" s="1"/>
  <c r="BA47" i="3"/>
  <c r="BA56" i="3"/>
  <c r="AZ96" i="3"/>
  <c r="AA31" i="39"/>
  <c r="S31" i="39"/>
  <c r="AA29" i="59"/>
  <c r="E30" i="59"/>
  <c r="E31" i="59" s="1"/>
  <c r="E32" i="59" s="1"/>
  <c r="U32" i="59" s="1"/>
  <c r="C39" i="59"/>
  <c r="D38" i="59"/>
  <c r="S72" i="59"/>
  <c r="B71" i="59"/>
  <c r="B70" i="59" s="1"/>
  <c r="E15" i="59"/>
  <c r="E14" i="59" s="1"/>
  <c r="E13" i="59" s="1"/>
  <c r="BL29" i="3"/>
  <c r="AZ29" i="3" s="1"/>
  <c r="BA46" i="3"/>
  <c r="G60" i="3"/>
  <c r="G72" i="3"/>
  <c r="BL79" i="3"/>
  <c r="AZ79" i="3" s="1"/>
  <c r="BA105" i="3"/>
  <c r="BA110" i="3"/>
  <c r="G1" i="77"/>
  <c r="N4" i="63"/>
  <c r="X9" i="59"/>
  <c r="AA11" i="59"/>
  <c r="Y26" i="59"/>
  <c r="Z26" i="59" s="1"/>
  <c r="AA32" i="59"/>
  <c r="AB23" i="59"/>
  <c r="Y18" i="59"/>
  <c r="Z18" i="59" s="1"/>
  <c r="E17" i="71"/>
  <c r="E17" i="72"/>
  <c r="C16" i="72" s="1"/>
  <c r="AA14" i="59"/>
  <c r="AA13" i="59"/>
  <c r="X10" i="59"/>
  <c r="L100" i="46"/>
  <c r="S27" i="40"/>
  <c r="D42" i="59"/>
  <c r="AA3" i="59"/>
  <c r="AA26" i="59"/>
  <c r="AB29" i="59"/>
  <c r="AB32" i="59"/>
  <c r="AA23" i="59"/>
  <c r="X19" i="59"/>
  <c r="Y17" i="59"/>
  <c r="Z17" i="59" s="1"/>
  <c r="AB15" i="59"/>
  <c r="AB13" i="59"/>
  <c r="F36" i="59"/>
  <c r="V36" i="59" s="1"/>
  <c r="AB26" i="59"/>
  <c r="AA33" i="59"/>
  <c r="Y23" i="59"/>
  <c r="Z23" i="59" s="1"/>
  <c r="Y19" i="59"/>
  <c r="Z19" i="59" s="1"/>
  <c r="AA18" i="59"/>
  <c r="AB14" i="59"/>
  <c r="X12" i="59"/>
  <c r="X27" i="59"/>
  <c r="Y30" i="59"/>
  <c r="Z30" i="59" s="1"/>
  <c r="AA10" i="46"/>
  <c r="X23" i="59"/>
  <c r="AA19" i="59"/>
  <c r="AA17" i="59"/>
  <c r="X16" i="59"/>
  <c r="Y12" i="59"/>
  <c r="Z12" i="59" s="1"/>
  <c r="AB9" i="59"/>
  <c r="X8" i="59"/>
  <c r="S18" i="35"/>
  <c r="C78" i="59"/>
  <c r="D78" i="59" s="1"/>
  <c r="C82" i="59"/>
  <c r="D82" i="59" s="1"/>
  <c r="C31" i="59"/>
  <c r="Y27" i="59"/>
  <c r="Z27" i="59" s="1"/>
  <c r="X29" i="59"/>
  <c r="AA30" i="59"/>
  <c r="AB33" i="59"/>
  <c r="X24" i="59"/>
  <c r="Y22" i="59"/>
  <c r="Z22" i="59" s="1"/>
  <c r="Y21" i="59"/>
  <c r="Z21" i="59" s="1"/>
  <c r="AB19" i="59"/>
  <c r="AB18" i="59"/>
  <c r="Y16" i="59"/>
  <c r="Z16" i="59" s="1"/>
  <c r="AA12" i="59"/>
  <c r="X11" i="59"/>
  <c r="X25" i="59"/>
  <c r="AA27" i="59"/>
  <c r="AB30" i="59"/>
  <c r="Y24" i="59"/>
  <c r="Z24" i="59" s="1"/>
  <c r="AB22" i="59"/>
  <c r="AA21" i="59"/>
  <c r="AB17" i="59"/>
  <c r="AA16" i="59"/>
  <c r="AB12" i="59"/>
  <c r="AB10" i="59"/>
  <c r="Y10" i="59"/>
  <c r="Z10" i="59" s="1"/>
  <c r="AB27" i="59"/>
  <c r="Y29" i="59"/>
  <c r="Z29" i="59" s="1"/>
  <c r="X31" i="59"/>
  <c r="Y34" i="59"/>
  <c r="Z34" i="59" s="1"/>
  <c r="AA24" i="59"/>
  <c r="T20" i="59"/>
  <c r="E24" i="59"/>
  <c r="AB21" i="59"/>
  <c r="AB16" i="59"/>
  <c r="AB11" i="59"/>
  <c r="Y9" i="59"/>
  <c r="Z9" i="59" s="1"/>
  <c r="Y25" i="59"/>
  <c r="Z25" i="59" s="1"/>
  <c r="X28" i="59"/>
  <c r="Y31" i="59"/>
  <c r="Z31" i="59" s="1"/>
  <c r="X33" i="59"/>
  <c r="AA34" i="59"/>
  <c r="AB24" i="59"/>
  <c r="X21" i="59"/>
  <c r="X15" i="59"/>
  <c r="AA25" i="59"/>
  <c r="Y28" i="59"/>
  <c r="Z28" i="59" s="1"/>
  <c r="AA31" i="59"/>
  <c r="AB34" i="59"/>
  <c r="C24" i="59"/>
  <c r="X20" i="59"/>
  <c r="X14" i="59"/>
  <c r="AA8" i="59"/>
  <c r="Y8" i="59"/>
  <c r="Z8" i="59" s="1"/>
  <c r="B84" i="71"/>
  <c r="B84" i="72"/>
  <c r="E58" i="46"/>
  <c r="B56" i="46" s="1"/>
  <c r="B85" i="71"/>
  <c r="B85" i="72"/>
  <c r="AA28" i="59"/>
  <c r="AB31" i="59"/>
  <c r="Y33" i="59"/>
  <c r="Z33" i="59" s="1"/>
  <c r="B24" i="59"/>
  <c r="Y20" i="59"/>
  <c r="Z20" i="59" s="1"/>
  <c r="Y15" i="59"/>
  <c r="Z15" i="59" s="1"/>
  <c r="AA10" i="59"/>
  <c r="Y11" i="59"/>
  <c r="Z11" i="59" s="1"/>
  <c r="D23" i="15"/>
  <c r="AB25" i="59"/>
  <c r="AB28" i="59"/>
  <c r="Y35" i="59"/>
  <c r="Z35" i="59" s="1"/>
  <c r="AA22" i="59"/>
  <c r="AA20" i="59"/>
  <c r="X18" i="59"/>
  <c r="Y14" i="59"/>
  <c r="Z14" i="59" s="1"/>
  <c r="X13" i="59"/>
  <c r="AA9" i="59"/>
  <c r="W46" i="34"/>
  <c r="S46" i="34"/>
  <c r="U46" i="34"/>
  <c r="W46" i="33"/>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S19" i="34"/>
  <c r="AA15" i="34"/>
  <c r="W35" i="34"/>
  <c r="W33" i="34"/>
  <c r="AC40" i="34"/>
  <c r="AB40" i="34"/>
  <c r="AC41" i="34"/>
  <c r="S43" i="34"/>
  <c r="AA44" i="34"/>
  <c r="F101" i="33"/>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AB11" i="33"/>
  <c r="AC11" i="33"/>
  <c r="S43" i="33"/>
  <c r="AB43" i="33"/>
  <c r="AA41" i="33"/>
  <c r="U41" i="33"/>
  <c r="U39" i="33"/>
  <c r="W41" i="33"/>
  <c r="S39" i="33"/>
  <c r="U37" i="33"/>
  <c r="S37" i="33"/>
  <c r="AC37" i="33"/>
  <c r="U35" i="33"/>
  <c r="S35" i="33"/>
  <c r="AC35" i="33"/>
  <c r="W34" i="33"/>
  <c r="AA34" i="33"/>
  <c r="W27" i="33"/>
  <c r="AC28" i="33"/>
  <c r="AC8" i="33"/>
  <c r="W9" i="33"/>
  <c r="AB9" i="33"/>
  <c r="S17" i="33"/>
  <c r="I20" i="72"/>
  <c r="BB5" i="3"/>
  <c r="E5" i="6" s="1"/>
  <c r="D12" i="11" s="1"/>
  <c r="C12" i="11" s="1"/>
  <c r="E69" i="46"/>
  <c r="B67" i="46" s="1"/>
  <c r="C24" i="46" s="1"/>
  <c r="H10" i="68"/>
  <c r="C10" i="68" s="1"/>
  <c r="F21" i="6"/>
  <c r="E21" i="6" s="1"/>
  <c r="D3" i="81" s="1"/>
  <c r="C10" i="12"/>
  <c r="C6" i="12" s="1"/>
  <c r="C24" i="12" s="1"/>
  <c r="E20" i="6"/>
  <c r="D3" i="79" s="1"/>
  <c r="W10" i="21"/>
  <c r="U9" i="21"/>
  <c r="AB10" i="21"/>
  <c r="W8" i="21"/>
  <c r="AP8" i="1"/>
  <c r="G8" i="1"/>
  <c r="G7" i="1"/>
  <c r="AP7" i="1"/>
  <c r="C42" i="1"/>
  <c r="C15" i="43" s="1"/>
  <c r="G19" i="72"/>
  <c r="G19" i="71"/>
  <c r="D96" i="9"/>
  <c r="B41" i="1"/>
  <c r="F72" i="9" s="1"/>
  <c r="G21" i="43"/>
  <c r="G27" i="12"/>
  <c r="G28" i="70"/>
  <c r="G26" i="70"/>
  <c r="G26" i="69"/>
  <c r="G27" i="70"/>
  <c r="G27" i="69"/>
  <c r="G28" i="69"/>
  <c r="C2" i="65"/>
  <c r="K1" i="69"/>
  <c r="K1" i="70"/>
  <c r="I4" i="6"/>
  <c r="F30" i="6"/>
  <c r="E20" i="72"/>
  <c r="E20" i="71"/>
  <c r="N16" i="4"/>
  <c r="K17" i="4" s="1"/>
  <c r="D70" i="39"/>
  <c r="C72" i="39"/>
  <c r="C67" i="40"/>
  <c r="D65" i="40"/>
  <c r="G17" i="46"/>
  <c r="C16" i="46" s="1"/>
  <c r="BL13" i="3"/>
  <c r="BL5" i="3" s="1"/>
  <c r="H12" i="48"/>
  <c r="G6" i="1"/>
  <c r="I20" i="46"/>
  <c r="L48" i="35"/>
  <c r="M48" i="35" s="1"/>
  <c r="N48" i="35" s="1"/>
  <c r="O48" i="35" s="1"/>
  <c r="I46" i="36"/>
  <c r="J46" i="36" s="1"/>
  <c r="K46" i="36" s="1"/>
  <c r="L46" i="36" s="1"/>
  <c r="M46" i="36" s="1"/>
  <c r="N46" i="36" s="1"/>
  <c r="O46" i="36" s="1"/>
  <c r="L52" i="37"/>
  <c r="M52" i="37" s="1"/>
  <c r="N52" i="37" s="1"/>
  <c r="O52" i="37" s="1"/>
  <c r="D58" i="33"/>
  <c r="D58" i="21"/>
  <c r="D59" i="34"/>
  <c r="A25" i="51"/>
  <c r="B18" i="63" s="1"/>
  <c r="H71" i="46"/>
  <c r="G71" i="46" s="1"/>
  <c r="H75" i="46"/>
  <c r="G75" i="46" s="1"/>
  <c r="H72" i="46"/>
  <c r="G72" i="46" s="1"/>
  <c r="H77" i="46"/>
  <c r="G77" i="46" s="1"/>
  <c r="H70" i="46"/>
  <c r="G70" i="46" s="1"/>
  <c r="H73" i="46"/>
  <c r="G73" i="46" s="1"/>
  <c r="H74" i="46"/>
  <c r="G74" i="46" s="1"/>
  <c r="H69" i="46"/>
  <c r="G69" i="46" s="1"/>
  <c r="H76" i="46"/>
  <c r="G76" i="46" s="1"/>
  <c r="F30" i="44"/>
  <c r="F70" i="9"/>
  <c r="F66" i="9"/>
  <c r="P72" i="9" s="1"/>
  <c r="O9" i="1"/>
  <c r="P9" i="1" s="1"/>
  <c r="O6" i="1"/>
  <c r="C5" i="46"/>
  <c r="C18" i="11"/>
  <c r="K77" i="9"/>
  <c r="K79" i="9" s="1"/>
  <c r="K81" i="9" s="1"/>
  <c r="E12" i="52"/>
  <c r="B15" i="52"/>
  <c r="E12" i="59"/>
  <c r="B12"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29" i="44"/>
  <c r="J1" i="65"/>
  <c r="F67" i="15"/>
  <c r="I1" i="65"/>
  <c r="M9" i="44"/>
  <c r="J8" i="44" s="1"/>
  <c r="L60" i="44"/>
  <c r="L59" i="44"/>
  <c r="I55" i="44"/>
  <c r="J54" i="44"/>
  <c r="L57" i="44"/>
  <c r="J58" i="44"/>
  <c r="J56" i="44" s="1"/>
  <c r="J59" i="44" s="1"/>
  <c r="Q52" i="44" s="1"/>
  <c r="J60" i="44"/>
  <c r="J61" i="44"/>
  <c r="Q50" i="44" s="1"/>
  <c r="C4" i="65"/>
  <c r="B39" i="1" s="1"/>
  <c r="F38" i="15"/>
  <c r="F8" i="44"/>
  <c r="E2" i="65"/>
  <c r="D21" i="69"/>
  <c r="M6" i="15"/>
  <c r="M22" i="15"/>
  <c r="I3" i="65"/>
  <c r="M28" i="15"/>
  <c r="D21" i="70"/>
  <c r="J7" i="65"/>
  <c r="J15" i="15"/>
  <c r="F9" i="15"/>
  <c r="D21" i="12"/>
  <c r="F26" i="15"/>
  <c r="C18" i="44"/>
  <c r="F33" i="12"/>
  <c r="F46" i="44"/>
  <c r="L47" i="15"/>
  <c r="M9" i="15"/>
  <c r="J36" i="15"/>
  <c r="M27" i="15"/>
  <c r="F16" i="15"/>
  <c r="E3" i="65"/>
  <c r="M26" i="15"/>
  <c r="M24" i="44"/>
  <c r="F40" i="44"/>
  <c r="J4" i="65"/>
  <c r="F37" i="15"/>
  <c r="F8" i="15"/>
  <c r="F36" i="15"/>
  <c r="M23" i="15"/>
  <c r="F42" i="15"/>
  <c r="M8" i="15"/>
  <c r="L48" i="15"/>
  <c r="M24" i="15"/>
  <c r="I7" i="65"/>
  <c r="U33" i="79" l="1"/>
  <c r="AB33" i="79"/>
  <c r="W33" i="79"/>
  <c r="AC33" i="79"/>
  <c r="H11" i="79"/>
  <c r="J11" i="79"/>
  <c r="F11" i="79"/>
  <c r="J34" i="81"/>
  <c r="H34" i="81"/>
  <c r="F34" i="81"/>
  <c r="S33" i="79"/>
  <c r="AA33" i="79"/>
  <c r="P28" i="83"/>
  <c r="N28" i="83"/>
  <c r="G20" i="83" s="1"/>
  <c r="M28" i="83"/>
  <c r="O28" i="83"/>
  <c r="F32" i="33"/>
  <c r="AA32" i="33" s="1"/>
  <c r="H7" i="36"/>
  <c r="F7" i="36"/>
  <c r="E10" i="6"/>
  <c r="F32" i="15"/>
  <c r="F59" i="15" s="1"/>
  <c r="M20" i="44"/>
  <c r="F28" i="15"/>
  <c r="C28" i="15" s="1"/>
  <c r="C95" i="9"/>
  <c r="C92" i="9" s="1"/>
  <c r="L19" i="6"/>
  <c r="L27" i="6" s="1"/>
  <c r="AA9" i="21"/>
  <c r="BA5" i="3"/>
  <c r="S9" i="33"/>
  <c r="AA27" i="33"/>
  <c r="AB26" i="33"/>
  <c r="W42" i="33"/>
  <c r="AZ46" i="3"/>
  <c r="AZ190" i="3"/>
  <c r="AZ99" i="3"/>
  <c r="AZ104" i="3"/>
  <c r="AZ74" i="3"/>
  <c r="D1" i="57"/>
  <c r="E10" i="57" s="1"/>
  <c r="AZ204" i="3"/>
  <c r="AZ177" i="3"/>
  <c r="AZ216" i="3"/>
  <c r="AZ187" i="3"/>
  <c r="AZ335" i="3"/>
  <c r="AZ186" i="3"/>
  <c r="AZ164" i="3"/>
  <c r="AZ137" i="3"/>
  <c r="AZ260" i="3"/>
  <c r="AZ273" i="3"/>
  <c r="AZ167" i="3"/>
  <c r="AZ293" i="3"/>
  <c r="AZ219" i="3"/>
  <c r="AZ462" i="3"/>
  <c r="AZ405" i="3"/>
  <c r="AZ207" i="3"/>
  <c r="AZ390" i="3"/>
  <c r="AZ426" i="3"/>
  <c r="W39" i="37"/>
  <c r="S12" i="33"/>
  <c r="AB38" i="39"/>
  <c r="O13" i="1"/>
  <c r="P13" i="1" s="1"/>
  <c r="AZ48" i="3"/>
  <c r="AZ27" i="3"/>
  <c r="AZ294" i="3"/>
  <c r="AZ256" i="3"/>
  <c r="AZ214" i="3"/>
  <c r="AZ209" i="3"/>
  <c r="AZ319" i="3"/>
  <c r="AZ480" i="3"/>
  <c r="AZ470" i="3"/>
  <c r="AZ398" i="3"/>
  <c r="AZ385" i="3"/>
  <c r="AZ369" i="3"/>
  <c r="AZ368" i="3"/>
  <c r="AZ475" i="3"/>
  <c r="AZ422" i="3"/>
  <c r="AZ421" i="3"/>
  <c r="AZ411" i="3"/>
  <c r="AZ406" i="3"/>
  <c r="AZ403" i="3"/>
  <c r="AA39" i="37"/>
  <c r="S39" i="37"/>
  <c r="S23" i="36"/>
  <c r="AA23" i="36"/>
  <c r="W23" i="36"/>
  <c r="AC23" i="36"/>
  <c r="AC13" i="35"/>
  <c r="W13" i="35"/>
  <c r="AA47" i="34"/>
  <c r="S47" i="34"/>
  <c r="U29" i="34"/>
  <c r="AB29" i="34"/>
  <c r="AB46" i="33"/>
  <c r="U46" i="33"/>
  <c r="U31" i="33"/>
  <c r="AB31" i="33"/>
  <c r="AA9" i="35"/>
  <c r="S9" i="35"/>
  <c r="AC9" i="35"/>
  <c r="W9" i="35"/>
  <c r="AC26" i="33"/>
  <c r="W26" i="33"/>
  <c r="W46" i="21"/>
  <c r="AC46" i="21"/>
  <c r="U44" i="21"/>
  <c r="AB44" i="21"/>
  <c r="W30" i="21"/>
  <c r="AC30" i="21"/>
  <c r="AB30" i="21"/>
  <c r="U30" i="21"/>
  <c r="AB28" i="21"/>
  <c r="U28" i="21"/>
  <c r="S12" i="21"/>
  <c r="AA12" i="21"/>
  <c r="AC14" i="33"/>
  <c r="W14" i="33"/>
  <c r="AB27" i="34"/>
  <c r="U27" i="34"/>
  <c r="AC15" i="40"/>
  <c r="W15" i="40"/>
  <c r="AC29" i="40"/>
  <c r="W29" i="40"/>
  <c r="AB32" i="36"/>
  <c r="U32" i="36"/>
  <c r="U12" i="36"/>
  <c r="AB12" i="36"/>
  <c r="AZ542" i="3"/>
  <c r="AA26" i="37"/>
  <c r="S26" i="37"/>
  <c r="AA14" i="37"/>
  <c r="S14" i="37"/>
  <c r="U9" i="37"/>
  <c r="AB9" i="37"/>
  <c r="S36" i="35"/>
  <c r="AA36" i="35"/>
  <c r="AC36" i="35"/>
  <c r="W36" i="35"/>
  <c r="S30" i="33"/>
  <c r="AA30" i="33"/>
  <c r="AB12" i="33"/>
  <c r="U12" i="33"/>
  <c r="C30" i="44"/>
  <c r="D51" i="59"/>
  <c r="C52" i="59"/>
  <c r="AZ32" i="3"/>
  <c r="AZ446" i="3"/>
  <c r="AB39" i="37"/>
  <c r="U39" i="37"/>
  <c r="U27" i="37"/>
  <c r="AB27" i="37"/>
  <c r="AB23" i="36"/>
  <c r="U23" i="36"/>
  <c r="AA9" i="36"/>
  <c r="S9" i="36"/>
  <c r="W25" i="35"/>
  <c r="AC25" i="35"/>
  <c r="S13" i="35"/>
  <c r="AA13" i="35"/>
  <c r="U47" i="34"/>
  <c r="AB47" i="34"/>
  <c r="W31" i="34"/>
  <c r="AC31" i="34"/>
  <c r="S29" i="34"/>
  <c r="AA29" i="34"/>
  <c r="AA31" i="33"/>
  <c r="S31" i="33"/>
  <c r="AB9" i="35"/>
  <c r="U9" i="35"/>
  <c r="AA46" i="21"/>
  <c r="S46" i="21"/>
  <c r="U46" i="21"/>
  <c r="AB46" i="21"/>
  <c r="S44" i="21"/>
  <c r="AA44" i="21"/>
  <c r="AA30" i="21"/>
  <c r="S30" i="21"/>
  <c r="AA28" i="21"/>
  <c r="S28" i="21"/>
  <c r="AC12" i="21"/>
  <c r="W12" i="21"/>
  <c r="U12" i="21"/>
  <c r="AB12" i="21"/>
  <c r="S12" i="36"/>
  <c r="AA12" i="36"/>
  <c r="W14" i="37"/>
  <c r="AC14" i="37"/>
  <c r="S9" i="37"/>
  <c r="AA9" i="37"/>
  <c r="W41" i="40"/>
  <c r="AC41" i="40"/>
  <c r="W32" i="36"/>
  <c r="AC32" i="36"/>
  <c r="S32" i="36"/>
  <c r="AA32" i="36"/>
  <c r="W12" i="36"/>
  <c r="AC12" i="36"/>
  <c r="W26" i="37"/>
  <c r="AC26" i="37"/>
  <c r="U14" i="37"/>
  <c r="AB14" i="37"/>
  <c r="AC9" i="37"/>
  <c r="W9" i="37"/>
  <c r="AB36" i="35"/>
  <c r="U36" i="35"/>
  <c r="W30" i="33"/>
  <c r="AC30" i="33"/>
  <c r="W12" i="33"/>
  <c r="AC12" i="33"/>
  <c r="U17" i="34"/>
  <c r="F50" i="15"/>
  <c r="F65" i="15"/>
  <c r="F33" i="44"/>
  <c r="C8" i="44"/>
  <c r="F63" i="15"/>
  <c r="Q72" i="15"/>
  <c r="L59" i="15"/>
  <c r="Q62" i="15" s="1"/>
  <c r="L58" i="15"/>
  <c r="Q74" i="15" s="1"/>
  <c r="C27" i="15"/>
  <c r="F64" i="15"/>
  <c r="J57" i="15"/>
  <c r="J55" i="15" s="1"/>
  <c r="J58" i="15" s="1"/>
  <c r="Q51" i="15" s="1"/>
  <c r="J53" i="15"/>
  <c r="F1" i="15" s="1"/>
  <c r="I54" i="15"/>
  <c r="L56" i="15"/>
  <c r="E28" i="6"/>
  <c r="K14" i="1" s="1"/>
  <c r="M14" i="1" s="1"/>
  <c r="O14" i="1" s="1"/>
  <c r="P14" i="1" s="1"/>
  <c r="G30" i="6"/>
  <c r="G31" i="6" s="1"/>
  <c r="S32" i="33"/>
  <c r="T48" i="59"/>
  <c r="D48" i="59"/>
  <c r="C60" i="59"/>
  <c r="D59" i="59"/>
  <c r="AZ433" i="3"/>
  <c r="E11" i="59"/>
  <c r="E10" i="59" s="1"/>
  <c r="E9" i="59" s="1"/>
  <c r="E8" i="59" s="1"/>
  <c r="U12" i="59"/>
  <c r="AZ13" i="3"/>
  <c r="AZ56" i="3"/>
  <c r="AZ136" i="3"/>
  <c r="AZ318" i="3"/>
  <c r="AZ451" i="3"/>
  <c r="AC47" i="34"/>
  <c r="W47" i="34"/>
  <c r="AZ47" i="3"/>
  <c r="V20" i="59"/>
  <c r="F19" i="59"/>
  <c r="F18" i="59" s="1"/>
  <c r="F17" i="59" s="1"/>
  <c r="F16" i="59" s="1"/>
  <c r="AZ156" i="3"/>
  <c r="AZ90" i="3"/>
  <c r="AZ246" i="3"/>
  <c r="G101" i="33"/>
  <c r="J32" i="33"/>
  <c r="C16" i="71"/>
  <c r="B32" i="1"/>
  <c r="E19" i="84" s="1"/>
  <c r="B11" i="59"/>
  <c r="B10" i="59" s="1"/>
  <c r="B9" i="59" s="1"/>
  <c r="B8" i="59" s="1"/>
  <c r="S12" i="59"/>
  <c r="C36" i="59"/>
  <c r="D35" i="59"/>
  <c r="W25" i="37"/>
  <c r="AC25" i="37"/>
  <c r="E8" i="6"/>
  <c r="E53" i="40" s="1"/>
  <c r="AA19" i="33"/>
  <c r="S24" i="59"/>
  <c r="B23" i="59"/>
  <c r="B22" i="59" s="1"/>
  <c r="AZ423" i="3"/>
  <c r="AZ413" i="3"/>
  <c r="AB28" i="34"/>
  <c r="U28" i="34"/>
  <c r="S25" i="37"/>
  <c r="AA25" i="37"/>
  <c r="E11" i="6"/>
  <c r="J7" i="36"/>
  <c r="W7" i="36" s="1"/>
  <c r="E15" i="6"/>
  <c r="AB42" i="33"/>
  <c r="S23" i="33"/>
  <c r="D24" i="59"/>
  <c r="T24" i="59"/>
  <c r="C23" i="59"/>
  <c r="AZ111" i="3"/>
  <c r="AZ83" i="3"/>
  <c r="C28" i="59"/>
  <c r="D27" i="59"/>
  <c r="AZ120" i="3"/>
  <c r="AZ221" i="3"/>
  <c r="AZ235" i="3"/>
  <c r="U25" i="37"/>
  <c r="AB25" i="37"/>
  <c r="F62" i="59"/>
  <c r="Q63" i="59"/>
  <c r="E12" i="6"/>
  <c r="AB27" i="33"/>
  <c r="AZ78" i="3"/>
  <c r="AZ128" i="3"/>
  <c r="AZ399" i="3"/>
  <c r="U12" i="35"/>
  <c r="AB12" i="35"/>
  <c r="W12" i="35"/>
  <c r="AC12" i="35"/>
  <c r="E14" i="6"/>
  <c r="E66" i="39" s="1"/>
  <c r="E23" i="59"/>
  <c r="E22" i="59" s="1"/>
  <c r="U24" i="59"/>
  <c r="U36" i="59"/>
  <c r="M19" i="46"/>
  <c r="AB23" i="33"/>
  <c r="C32" i="59"/>
  <c r="D31" i="59"/>
  <c r="D39" i="59"/>
  <c r="C40" i="59"/>
  <c r="P61" i="59"/>
  <c r="P62" i="59"/>
  <c r="AZ62" i="3"/>
  <c r="AZ133" i="3"/>
  <c r="AZ412" i="3"/>
  <c r="AZ395" i="3"/>
  <c r="AA45" i="21"/>
  <c r="S45" i="21"/>
  <c r="U34" i="36"/>
  <c r="AB34" i="36"/>
  <c r="E13" i="6"/>
  <c r="U25" i="33"/>
  <c r="AZ110" i="3"/>
  <c r="D55" i="59"/>
  <c r="C56" i="59"/>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E347" i="3"/>
  <c r="D5" i="72"/>
  <c r="C5" i="72"/>
  <c r="D4" i="68"/>
  <c r="D5" i="68" s="1"/>
  <c r="AZ38" i="3"/>
  <c r="AA25" i="35"/>
  <c r="S25" i="35"/>
  <c r="C14" i="59"/>
  <c r="D15" i="59"/>
  <c r="F7" i="35"/>
  <c r="AA7" i="35" s="1"/>
  <c r="R38" i="35" s="1"/>
  <c r="F28" i="77"/>
  <c r="C28" i="77" s="1"/>
  <c r="M18" i="77"/>
  <c r="F32" i="77"/>
  <c r="F59" i="77" s="1"/>
  <c r="AA25" i="34"/>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9" i="70"/>
  <c r="K7" i="1"/>
  <c r="C4" i="73"/>
  <c r="H7" i="35"/>
  <c r="AB7" i="35" s="1"/>
  <c r="T38" i="35" s="1"/>
  <c r="G38" i="35" s="1"/>
  <c r="C21" i="69"/>
  <c r="C21" i="70"/>
  <c r="C21" i="12"/>
  <c r="C34" i="12"/>
  <c r="D33" i="12" s="1"/>
  <c r="J7" i="35"/>
  <c r="P24" i="72"/>
  <c r="P25" i="72"/>
  <c r="P21" i="72"/>
  <c r="O19" i="72"/>
  <c r="F4" i="68" s="1"/>
  <c r="P23" i="72"/>
  <c r="P22" i="72"/>
  <c r="P22" i="71"/>
  <c r="P23" i="71"/>
  <c r="P25" i="71"/>
  <c r="P24" i="71"/>
  <c r="P21" i="71"/>
  <c r="O19" i="71"/>
  <c r="F3" i="68" s="1"/>
  <c r="D5" i="46"/>
  <c r="F34" i="44"/>
  <c r="F29" i="69"/>
  <c r="F29" i="70"/>
  <c r="F27" i="43"/>
  <c r="C27" i="43" s="1"/>
  <c r="D86" i="9"/>
  <c r="F71" i="9"/>
  <c r="F29" i="12"/>
  <c r="C29" i="12" s="1"/>
  <c r="F31" i="43"/>
  <c r="C31" i="43" s="1"/>
  <c r="M18" i="15"/>
  <c r="E58" i="39"/>
  <c r="F27" i="6"/>
  <c r="P28" i="72"/>
  <c r="N28" i="72"/>
  <c r="G20" i="72" s="1"/>
  <c r="O28" i="72"/>
  <c r="M28" i="72"/>
  <c r="O28" i="71"/>
  <c r="M28" i="71"/>
  <c r="G20" i="71" s="1"/>
  <c r="P28" i="71"/>
  <c r="N28" i="71"/>
  <c r="F7" i="37"/>
  <c r="AA7" i="37" s="1"/>
  <c r="R42" i="37" s="1"/>
  <c r="D67" i="40"/>
  <c r="E65" i="40"/>
  <c r="E70" i="39"/>
  <c r="D72" i="39"/>
  <c r="E67" i="39"/>
  <c r="E62" i="40"/>
  <c r="E58" i="40"/>
  <c r="E63" i="39"/>
  <c r="E59" i="40"/>
  <c r="J7" i="37"/>
  <c r="W7" i="37" s="1"/>
  <c r="H7" i="37"/>
  <c r="AB7" i="37" s="1"/>
  <c r="T42" i="37" s="1"/>
  <c r="G42" i="37" s="1"/>
  <c r="AB7" i="36"/>
  <c r="T36" i="36" s="1"/>
  <c r="G36" i="36" s="1"/>
  <c r="U7" i="36"/>
  <c r="S7" i="36"/>
  <c r="AA7" i="36"/>
  <c r="R36" i="36" s="1"/>
  <c r="AC7" i="35"/>
  <c r="V38" i="35" s="1"/>
  <c r="I38" i="35" s="1"/>
  <c r="W7" i="35"/>
  <c r="E59" i="34"/>
  <c r="E58" i="21"/>
  <c r="E58" i="33"/>
  <c r="AC7" i="36"/>
  <c r="V36" i="36" s="1"/>
  <c r="I36" i="36" s="1"/>
  <c r="E60" i="40"/>
  <c r="E65" i="39"/>
  <c r="P6" i="1"/>
  <c r="M19" i="44"/>
  <c r="C19" i="46"/>
  <c r="B40" i="1"/>
  <c r="F17" i="11"/>
  <c r="C17" i="11" s="1"/>
  <c r="C19" i="11" s="1"/>
  <c r="L47" i="44"/>
  <c r="M13" i="44"/>
  <c r="J12" i="44" s="1"/>
  <c r="J7" i="44" s="1"/>
  <c r="F11" i="15"/>
  <c r="M11" i="15"/>
  <c r="J10" i="15" s="1"/>
  <c r="F13" i="44"/>
  <c r="C12" i="44" s="1"/>
  <c r="Q75" i="44"/>
  <c r="Q62" i="44"/>
  <c r="M28" i="46"/>
  <c r="P28" i="46"/>
  <c r="O28" i="46"/>
  <c r="G20" i="46" s="1"/>
  <c r="N28" i="46"/>
  <c r="F1" i="44"/>
  <c r="Q54" i="44"/>
  <c r="J20" i="44"/>
  <c r="Q63" i="44"/>
  <c r="Q76" i="44"/>
  <c r="F43" i="77"/>
  <c r="M9" i="77"/>
  <c r="F37" i="77"/>
  <c r="L48" i="77"/>
  <c r="M27" i="77"/>
  <c r="M29" i="77"/>
  <c r="F13" i="77"/>
  <c r="AE7" i="1"/>
  <c r="F40" i="77"/>
  <c r="F33" i="70"/>
  <c r="F36" i="77"/>
  <c r="F38" i="77"/>
  <c r="J36" i="77"/>
  <c r="F33" i="69"/>
  <c r="M24" i="77"/>
  <c r="F7" i="15"/>
  <c r="F8" i="77"/>
  <c r="F26" i="77"/>
  <c r="F9" i="77"/>
  <c r="F16" i="77"/>
  <c r="M28" i="77"/>
  <c r="M29" i="15"/>
  <c r="M6" i="77"/>
  <c r="M8" i="77"/>
  <c r="M26" i="77"/>
  <c r="F7" i="77"/>
  <c r="M22" i="77"/>
  <c r="J15" i="77"/>
  <c r="M23" i="77"/>
  <c r="L47" i="77"/>
  <c r="F43" i="15"/>
  <c r="F42" i="77"/>
  <c r="C15" i="84"/>
  <c r="C33" i="33" l="1"/>
  <c r="C10" i="70"/>
  <c r="F24" i="77"/>
  <c r="C24" i="77" s="1"/>
  <c r="F26" i="84"/>
  <c r="C27" i="84" s="1"/>
  <c r="D26" i="84" s="1"/>
  <c r="C32" i="84" s="1"/>
  <c r="D30" i="84" s="1"/>
  <c r="AA34" i="81"/>
  <c r="R49" i="81" s="1"/>
  <c r="S34" i="81"/>
  <c r="AC34" i="81"/>
  <c r="V49" i="81" s="1"/>
  <c r="I49" i="81" s="1"/>
  <c r="W34" i="81"/>
  <c r="AC11" i="79"/>
  <c r="V48" i="79" s="1"/>
  <c r="I48" i="79" s="1"/>
  <c r="W11" i="79"/>
  <c r="AB34" i="81"/>
  <c r="T49" i="81" s="1"/>
  <c r="G49" i="81" s="1"/>
  <c r="U34" i="81"/>
  <c r="AA11" i="79"/>
  <c r="R48" i="79" s="1"/>
  <c r="S11" i="79"/>
  <c r="AB11" i="79"/>
  <c r="T48" i="79" s="1"/>
  <c r="G48" i="79" s="1"/>
  <c r="U11" i="79"/>
  <c r="E41" i="83"/>
  <c r="C41" i="83" s="1"/>
  <c r="C20" i="83"/>
  <c r="C34" i="44"/>
  <c r="E16" i="6"/>
  <c r="E388" i="3"/>
  <c r="E231" i="3"/>
  <c r="E345" i="3"/>
  <c r="E450" i="3"/>
  <c r="E465" i="3"/>
  <c r="T52" i="59"/>
  <c r="D52" i="59"/>
  <c r="E64" i="39"/>
  <c r="E30" i="6"/>
  <c r="E177" i="3"/>
  <c r="E212" i="3"/>
  <c r="E118" i="3"/>
  <c r="E55" i="3"/>
  <c r="E81" i="3"/>
  <c r="Q61" i="15"/>
  <c r="Q75" i="15"/>
  <c r="C7" i="44"/>
  <c r="C40" i="44" s="1"/>
  <c r="F64" i="77"/>
  <c r="L59" i="77"/>
  <c r="L58" i="77"/>
  <c r="F65" i="77"/>
  <c r="F50" i="77"/>
  <c r="F67" i="77"/>
  <c r="Q72" i="77"/>
  <c r="L56" i="77"/>
  <c r="J57" i="77"/>
  <c r="J55" i="77" s="1"/>
  <c r="J58" i="77" s="1"/>
  <c r="Q51" i="77" s="1"/>
  <c r="I54" i="77"/>
  <c r="J53" i="77"/>
  <c r="F63" i="77"/>
  <c r="C27" i="77"/>
  <c r="U7" i="35"/>
  <c r="E563" i="3"/>
  <c r="T56" i="59"/>
  <c r="D56" i="59"/>
  <c r="E46" i="3"/>
  <c r="E282" i="3"/>
  <c r="T28" i="59"/>
  <c r="D28" i="59"/>
  <c r="D23" i="59"/>
  <c r="C22" i="59"/>
  <c r="D22" i="59" s="1"/>
  <c r="F15" i="59"/>
  <c r="F14" i="59" s="1"/>
  <c r="F13" i="59" s="1"/>
  <c r="F12" i="59" s="1"/>
  <c r="V16" i="59"/>
  <c r="E255" i="3"/>
  <c r="Q62" i="59"/>
  <c r="Q61" i="59"/>
  <c r="M19" i="71"/>
  <c r="T36" i="59"/>
  <c r="D36" i="59"/>
  <c r="M19" i="72" s="1"/>
  <c r="C13" i="59"/>
  <c r="D14" i="59"/>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S8" i="59"/>
  <c r="E170" i="3"/>
  <c r="E61" i="40"/>
  <c r="T40" i="59"/>
  <c r="D40" i="59"/>
  <c r="E19" i="70"/>
  <c r="E19" i="69"/>
  <c r="E19" i="12"/>
  <c r="B31" i="1"/>
  <c r="U8" i="59"/>
  <c r="E305" i="3"/>
  <c r="E399" i="3"/>
  <c r="E263" i="3"/>
  <c r="D3" i="68"/>
  <c r="D5" i="71"/>
  <c r="C5" i="71"/>
  <c r="T32" i="59"/>
  <c r="D32" i="59"/>
  <c r="AC32" i="33"/>
  <c r="W32" i="33"/>
  <c r="E223" i="3"/>
  <c r="E209" i="3"/>
  <c r="S7" i="35"/>
  <c r="E72" i="3"/>
  <c r="E205" i="3"/>
  <c r="E287" i="3"/>
  <c r="E470" i="3"/>
  <c r="T60" i="59"/>
  <c r="D60" i="59"/>
  <c r="U7" i="37"/>
  <c r="S7" i="37"/>
  <c r="M7" i="15"/>
  <c r="F49" i="15"/>
  <c r="F70" i="15"/>
  <c r="M7" i="77"/>
  <c r="F49" i="77"/>
  <c r="F70" i="77"/>
  <c r="C34" i="34"/>
  <c r="J33" i="33"/>
  <c r="F33" i="33"/>
  <c r="H33" i="33"/>
  <c r="M8" i="1"/>
  <c r="AB32" i="33"/>
  <c r="U32" i="33"/>
  <c r="H111" i="33"/>
  <c r="I111" i="33" s="1"/>
  <c r="J111" i="33" s="1"/>
  <c r="K111" i="33" s="1"/>
  <c r="L111" i="33" s="1"/>
  <c r="M111" i="33" s="1"/>
  <c r="H36" i="33"/>
  <c r="F36" i="33"/>
  <c r="W36" i="33"/>
  <c r="AC36" i="33"/>
  <c r="W25" i="33"/>
  <c r="AC25" i="33"/>
  <c r="O8" i="1"/>
  <c r="P8" i="1" s="1"/>
  <c r="C52" i="77"/>
  <c r="C5" i="73"/>
  <c r="C9" i="73"/>
  <c r="C10" i="73" s="1"/>
  <c r="M7" i="1"/>
  <c r="Q16" i="1"/>
  <c r="F24" i="43" s="1"/>
  <c r="C26" i="43" s="1"/>
  <c r="D24" i="43" s="1"/>
  <c r="H16" i="1"/>
  <c r="K16" i="1"/>
  <c r="AP16" i="1"/>
  <c r="F22" i="11" s="1"/>
  <c r="G16" i="1"/>
  <c r="C34" i="69"/>
  <c r="D33" i="69" s="1"/>
  <c r="C34" i="70"/>
  <c r="D33" i="70" s="1"/>
  <c r="E41" i="72"/>
  <c r="C41" i="72" s="1"/>
  <c r="C39" i="72" s="1"/>
  <c r="C20" i="72"/>
  <c r="C36" i="72" s="1"/>
  <c r="E41" i="71"/>
  <c r="C41" i="71" s="1"/>
  <c r="C20" i="71"/>
  <c r="E27" i="6"/>
  <c r="F31" i="6"/>
  <c r="F26" i="69"/>
  <c r="C27" i="69" s="1"/>
  <c r="D26" i="69" s="1"/>
  <c r="C32" i="69" s="1"/>
  <c r="D30" i="69" s="1"/>
  <c r="F26" i="70"/>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J28" i="44"/>
  <c r="J31" i="44" s="1"/>
  <c r="J26" i="44"/>
  <c r="C52" i="15"/>
  <c r="C20" i="11"/>
  <c r="C21" i="11" s="1"/>
  <c r="F21" i="43"/>
  <c r="C23" i="43" s="1"/>
  <c r="D21" i="43" s="1"/>
  <c r="F24" i="15"/>
  <c r="C24" i="15" s="1"/>
  <c r="F26" i="12"/>
  <c r="F26" i="44"/>
  <c r="C26" i="44" s="1"/>
  <c r="C15" i="69"/>
  <c r="C15" i="70"/>
  <c r="C15" i="12"/>
  <c r="C16" i="15"/>
  <c r="F41" i="15"/>
  <c r="C16" i="77"/>
  <c r="G52" i="79" l="1"/>
  <c r="H52" i="79" s="1"/>
  <c r="G53" i="79"/>
  <c r="H53" i="79" s="1"/>
  <c r="E48" i="79"/>
  <c r="I53" i="79" s="1"/>
  <c r="J53" i="79" s="1"/>
  <c r="R49" i="79"/>
  <c r="G53" i="81"/>
  <c r="H53" i="81" s="1"/>
  <c r="G54" i="81"/>
  <c r="H54" i="81" s="1"/>
  <c r="I52" i="79"/>
  <c r="J52" i="79" s="1"/>
  <c r="I53" i="81"/>
  <c r="J53" i="81" s="1"/>
  <c r="E49" i="81"/>
  <c r="I54" i="81" s="1"/>
  <c r="J54" i="81" s="1"/>
  <c r="R50" i="81"/>
  <c r="T14" i="83"/>
  <c r="V14" i="83" s="1"/>
  <c r="T12" i="83"/>
  <c r="V12" i="83" s="1"/>
  <c r="T8" i="83"/>
  <c r="V8" i="83" s="1"/>
  <c r="T11" i="83"/>
  <c r="V11" i="83" s="1"/>
  <c r="C36" i="83"/>
  <c r="C34" i="83"/>
  <c r="T15" i="83"/>
  <c r="V15" i="83" s="1"/>
  <c r="T13" i="83"/>
  <c r="V13" i="83" s="1"/>
  <c r="T16" i="83"/>
  <c r="V16" i="83" s="1"/>
  <c r="T9" i="83"/>
  <c r="V9" i="83" s="1"/>
  <c r="T10" i="83"/>
  <c r="V10" i="83" s="1"/>
  <c r="C37" i="83"/>
  <c r="C35" i="83"/>
  <c r="C33" i="83"/>
  <c r="C38" i="83"/>
  <c r="C39" i="83"/>
  <c r="H7" i="21"/>
  <c r="U7" i="21" s="1"/>
  <c r="C38" i="71"/>
  <c r="E38" i="71" s="1"/>
  <c r="E3" i="6"/>
  <c r="AY6" i="3"/>
  <c r="F11" i="59"/>
  <c r="F10" i="59" s="1"/>
  <c r="F9" i="59" s="1"/>
  <c r="F8" i="59" s="1"/>
  <c r="V12" i="59"/>
  <c r="H6" i="3"/>
  <c r="Q53" i="77"/>
  <c r="F1" i="77"/>
  <c r="AC6" i="3"/>
  <c r="C12" i="59"/>
  <c r="D13" i="59"/>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C38" i="72"/>
  <c r="E38" i="72" s="1"/>
  <c r="F68" i="15"/>
  <c r="C22" i="11"/>
  <c r="C23" i="11" s="1"/>
  <c r="B2" i="11" s="1"/>
  <c r="O7" i="1"/>
  <c r="M16" i="1"/>
  <c r="H12" i="39"/>
  <c r="J12" i="40"/>
  <c r="H12" i="40"/>
  <c r="F12" i="39"/>
  <c r="F12" i="40"/>
  <c r="J12" i="39"/>
  <c r="J7" i="21"/>
  <c r="W7" i="21" s="1"/>
  <c r="J7" i="33"/>
  <c r="AC7" i="33" s="1"/>
  <c r="G47" i="37"/>
  <c r="H47" i="37" s="1"/>
  <c r="T13" i="72"/>
  <c r="V13" i="72" s="1"/>
  <c r="T13" i="71"/>
  <c r="V13" i="71" s="1"/>
  <c r="G3" i="68"/>
  <c r="C34" i="72"/>
  <c r="E34" i="72" s="1"/>
  <c r="G4" i="68"/>
  <c r="G5" i="68" s="1"/>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E39" i="72"/>
  <c r="G39" i="72"/>
  <c r="I39" i="72" s="1"/>
  <c r="G36" i="72"/>
  <c r="I36" i="72" s="1"/>
  <c r="E36" i="72"/>
  <c r="C34" i="46"/>
  <c r="E34" i="46" s="1"/>
  <c r="K24" i="6"/>
  <c r="M24" i="6" s="1"/>
  <c r="I24" i="6" s="1"/>
  <c r="S24" i="6" s="1"/>
  <c r="K21" i="6"/>
  <c r="K26" i="6"/>
  <c r="M26" i="6" s="1"/>
  <c r="I26" i="6" s="1"/>
  <c r="S26" i="6" s="1"/>
  <c r="K25" i="6"/>
  <c r="M25" i="6" s="1"/>
  <c r="I25" i="6" s="1"/>
  <c r="S25" i="6" s="1"/>
  <c r="K20" i="6"/>
  <c r="E31" i="6"/>
  <c r="K23" i="6"/>
  <c r="M23" i="6" s="1"/>
  <c r="I23" i="6" s="1"/>
  <c r="S23" i="6" s="1"/>
  <c r="K22" i="6"/>
  <c r="M22" i="6" s="1"/>
  <c r="I22" i="6" s="1"/>
  <c r="S22" i="6" s="1"/>
  <c r="K19" i="6"/>
  <c r="C27" i="70"/>
  <c r="D26" i="70" s="1"/>
  <c r="C32" i="70" s="1"/>
  <c r="D30" i="70" s="1"/>
  <c r="F67" i="40"/>
  <c r="G65" i="40"/>
  <c r="G70" i="39"/>
  <c r="F72" i="39"/>
  <c r="T10" i="46"/>
  <c r="V10" i="46" s="1"/>
  <c r="C33" i="46"/>
  <c r="E33" i="46" s="1"/>
  <c r="T14" i="46"/>
  <c r="V14" i="46" s="1"/>
  <c r="G38" i="46"/>
  <c r="I38" i="46" s="1"/>
  <c r="E38" i="46"/>
  <c r="E40" i="36"/>
  <c r="F40" i="36" s="1"/>
  <c r="E41" i="36"/>
  <c r="F41" i="36" s="1"/>
  <c r="AB7" i="21"/>
  <c r="T48" i="21" s="1"/>
  <c r="G48" i="21" s="1"/>
  <c r="H7" i="33"/>
  <c r="E47" i="37"/>
  <c r="F47" i="37" s="1"/>
  <c r="E46" i="37"/>
  <c r="F46" i="37" s="1"/>
  <c r="E43" i="35"/>
  <c r="F43" i="35" s="1"/>
  <c r="E42" i="35"/>
  <c r="F42" i="35" s="1"/>
  <c r="I47" i="37"/>
  <c r="J47" i="37" s="1"/>
  <c r="I41" i="36"/>
  <c r="J41" i="36" s="1"/>
  <c r="F7" i="21"/>
  <c r="C36" i="36"/>
  <c r="C37" i="36"/>
  <c r="B3" i="36" s="1"/>
  <c r="B2" i="36" s="1"/>
  <c r="W7" i="33"/>
  <c r="C43" i="37"/>
  <c r="B3" i="37" s="1"/>
  <c r="B2" i="37" s="1"/>
  <c r="C42" i="37"/>
  <c r="C39" i="35"/>
  <c r="B3" i="35" s="1"/>
  <c r="B2" i="35" s="1"/>
  <c r="C38" i="35"/>
  <c r="G59" i="34"/>
  <c r="H59" i="34" s="1"/>
  <c r="I59" i="34" s="1"/>
  <c r="J59" i="34" s="1"/>
  <c r="K59" i="34" s="1"/>
  <c r="L59" i="34" s="1"/>
  <c r="M59" i="34" s="1"/>
  <c r="N59" i="34" s="1"/>
  <c r="O59" i="34" s="1"/>
  <c r="F7" i="33"/>
  <c r="C27" i="12"/>
  <c r="D26" i="12" s="1"/>
  <c r="C32" i="12" s="1"/>
  <c r="D30" i="12" s="1"/>
  <c r="Q58" i="44"/>
  <c r="Q67" i="44"/>
  <c r="Q49" i="44"/>
  <c r="Q55" i="44" s="1"/>
  <c r="F7" i="67"/>
  <c r="AE8" i="1"/>
  <c r="C50" i="81" l="1"/>
  <c r="B3" i="81" s="1"/>
  <c r="C49" i="81"/>
  <c r="C8" i="69" s="1"/>
  <c r="C48" i="79"/>
  <c r="C49" i="79"/>
  <c r="B3" i="79" s="1"/>
  <c r="E53" i="81"/>
  <c r="F53" i="81" s="1"/>
  <c r="E54" i="81"/>
  <c r="F54" i="81" s="1"/>
  <c r="E52" i="79"/>
  <c r="F52" i="79" s="1"/>
  <c r="E53" i="79"/>
  <c r="F53" i="79" s="1"/>
  <c r="E38" i="83"/>
  <c r="G38" i="83"/>
  <c r="I38" i="83" s="1"/>
  <c r="E35" i="83"/>
  <c r="G35" i="83"/>
  <c r="I35" i="83" s="1"/>
  <c r="E34" i="83"/>
  <c r="G34" i="83"/>
  <c r="I34" i="83" s="1"/>
  <c r="E39" i="83"/>
  <c r="G39" i="83"/>
  <c r="I39" i="83" s="1"/>
  <c r="E33" i="83"/>
  <c r="G33" i="83"/>
  <c r="I33" i="83" s="1"/>
  <c r="E37" i="83"/>
  <c r="G37" i="83"/>
  <c r="I37" i="83" s="1"/>
  <c r="E36" i="83"/>
  <c r="G36" i="83"/>
  <c r="I36" i="83" s="1"/>
  <c r="AC7" i="21"/>
  <c r="V48" i="21" s="1"/>
  <c r="I48" i="21" s="1"/>
  <c r="I52" i="21" s="1"/>
  <c r="J52" i="21" s="1"/>
  <c r="V48" i="33"/>
  <c r="I48" i="33" s="1"/>
  <c r="E6" i="3"/>
  <c r="G38" i="71"/>
  <c r="I38" i="71" s="1"/>
  <c r="C65" i="15"/>
  <c r="G33" i="72"/>
  <c r="I33" i="72" s="1"/>
  <c r="C11" i="59"/>
  <c r="T12" i="59"/>
  <c r="D12" i="59"/>
  <c r="V8"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F1" i="83" s="1"/>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H23" i="6"/>
  <c r="S6" i="1"/>
  <c r="M19" i="6"/>
  <c r="K27" i="6"/>
  <c r="H65" i="40"/>
  <c r="G67" i="40"/>
  <c r="H70" i="39"/>
  <c r="G72" i="39"/>
  <c r="H7" i="34"/>
  <c r="U7" i="34" s="1"/>
  <c r="S7" i="21"/>
  <c r="AA7" i="21"/>
  <c r="R48" i="21" s="1"/>
  <c r="AA7" i="33"/>
  <c r="R48" i="33" s="1"/>
  <c r="S7" i="33"/>
  <c r="I52" i="33"/>
  <c r="J52" i="33" s="1"/>
  <c r="AB7" i="33"/>
  <c r="T48" i="33" s="1"/>
  <c r="G48" i="33" s="1"/>
  <c r="U7" i="33"/>
  <c r="G52" i="21"/>
  <c r="H52" i="21" s="1"/>
  <c r="J7" i="34"/>
  <c r="E4" i="67"/>
  <c r="D77" i="9"/>
  <c r="N75" i="9" s="1"/>
  <c r="F41" i="77"/>
  <c r="D22" i="12"/>
  <c r="D16" i="84"/>
  <c r="D16" i="12"/>
  <c r="D22" i="69"/>
  <c r="D22" i="84"/>
  <c r="C17" i="77"/>
  <c r="C17" i="15"/>
  <c r="B7" i="67"/>
  <c r="C19" i="44"/>
  <c r="D22" i="70"/>
  <c r="E7" i="67"/>
  <c r="D16" i="69"/>
  <c r="D16" i="70"/>
  <c r="B2" i="81" l="1"/>
  <c r="C22" i="84"/>
  <c r="C20" i="84" s="1"/>
  <c r="C16" i="84"/>
  <c r="D19" i="84"/>
  <c r="C19" i="84" s="1"/>
  <c r="B2" i="79"/>
  <c r="G53" i="21"/>
  <c r="H53" i="21" s="1"/>
  <c r="F68" i="77"/>
  <c r="C7" i="66"/>
  <c r="C6" i="66"/>
  <c r="C8" i="66"/>
  <c r="D11" i="59"/>
  <c r="C10" i="59"/>
  <c r="D14" i="6"/>
  <c r="E63" i="40"/>
  <c r="F44" i="9"/>
  <c r="D28" i="6"/>
  <c r="D9" i="6"/>
  <c r="D26" i="6"/>
  <c r="E45" i="9"/>
  <c r="D15" i="6"/>
  <c r="E46" i="9"/>
  <c r="D20" i="6"/>
  <c r="D25" i="6"/>
  <c r="D24" i="6"/>
  <c r="H24" i="6"/>
  <c r="D8" i="6"/>
  <c r="F45" i="9"/>
  <c r="D11" i="6"/>
  <c r="E68" i="39"/>
  <c r="D23" i="6"/>
  <c r="R23" i="6" s="1"/>
  <c r="D12" i="6"/>
  <c r="H26" i="6"/>
  <c r="D6" i="6"/>
  <c r="G3" i="83"/>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9" i="70" s="1"/>
  <c r="C22" i="70"/>
  <c r="C20" i="70" s="1"/>
  <c r="C16" i="69"/>
  <c r="D19" i="69"/>
  <c r="C19" i="69" s="1"/>
  <c r="C22" i="69"/>
  <c r="C20" i="69" s="1"/>
  <c r="P16" i="1"/>
  <c r="C14" i="43"/>
  <c r="C17" i="43"/>
  <c r="AB7" i="34"/>
  <c r="T49" i="34" s="1"/>
  <c r="G49" i="34" s="1"/>
  <c r="G53" i="34" s="1"/>
  <c r="H53" i="34" s="1"/>
  <c r="S20" i="6"/>
  <c r="H20" i="6"/>
  <c r="S21" i="6"/>
  <c r="H21" i="6"/>
  <c r="S16" i="1"/>
  <c r="T6" i="1" s="1"/>
  <c r="I19" i="6"/>
  <c r="M27" i="6"/>
  <c r="I70" i="39"/>
  <c r="H72" i="39"/>
  <c r="H67" i="40"/>
  <c r="I65" i="40"/>
  <c r="G52" i="33"/>
  <c r="H52" i="33" s="1"/>
  <c r="G53" i="33"/>
  <c r="H53" i="33" s="1"/>
  <c r="R49" i="33"/>
  <c r="E48" i="33"/>
  <c r="R49" i="21"/>
  <c r="E48" i="21"/>
  <c r="W7" i="34"/>
  <c r="AC7" i="34"/>
  <c r="V49" i="34" s="1"/>
  <c r="I49" i="34" s="1"/>
  <c r="E3" i="67"/>
  <c r="B2" i="67"/>
  <c r="F37" i="44"/>
  <c r="C13" i="84"/>
  <c r="M23" i="44"/>
  <c r="C13" i="12"/>
  <c r="R21" i="6" l="1"/>
  <c r="R8" i="1" s="1"/>
  <c r="R20" i="6"/>
  <c r="R7" i="1" s="1"/>
  <c r="C10" i="69"/>
  <c r="C14" i="84"/>
  <c r="C17" i="84"/>
  <c r="H101" i="83"/>
  <c r="H22" i="83"/>
  <c r="AI11" i="83"/>
  <c r="AI13" i="83" s="1"/>
  <c r="AE11" i="83"/>
  <c r="AE13" i="83" s="1"/>
  <c r="AA11" i="83"/>
  <c r="AA13" i="83" s="1"/>
  <c r="S6" i="83"/>
  <c r="T6" i="83" s="1"/>
  <c r="V6" i="83" s="1"/>
  <c r="S3" i="83"/>
  <c r="T3" i="83" s="1"/>
  <c r="V3" i="83" s="1"/>
  <c r="AG11" i="83"/>
  <c r="AG13" i="83" s="1"/>
  <c r="AC11" i="83"/>
  <c r="AC13" i="83" s="1"/>
  <c r="Y11" i="83"/>
  <c r="Y13" i="83" s="1"/>
  <c r="S5" i="83"/>
  <c r="T5" i="83" s="1"/>
  <c r="V5" i="83" s="1"/>
  <c r="J101" i="83"/>
  <c r="G22" i="83"/>
  <c r="Z7" i="83"/>
  <c r="AD11" i="83"/>
  <c r="AD13" i="83" s="1"/>
  <c r="F22" i="83"/>
  <c r="L101" i="83"/>
  <c r="S2" i="83"/>
  <c r="T2" i="83" s="1"/>
  <c r="V2" i="83" s="1"/>
  <c r="M101" i="83"/>
  <c r="I101" i="83"/>
  <c r="E101" i="83"/>
  <c r="N101" i="83"/>
  <c r="F101" i="83"/>
  <c r="J22" i="83"/>
  <c r="E22" i="83"/>
  <c r="S7" i="83"/>
  <c r="T7" i="83" s="1"/>
  <c r="V7" i="83" s="1"/>
  <c r="AB11" i="83"/>
  <c r="AB13" i="83" s="1"/>
  <c r="AF11" i="83"/>
  <c r="AF13" i="83" s="1"/>
  <c r="AJ11" i="83"/>
  <c r="AJ13" i="83" s="1"/>
  <c r="D101" i="83"/>
  <c r="B113" i="83"/>
  <c r="K101" i="83"/>
  <c r="G101" i="83"/>
  <c r="C101" i="83"/>
  <c r="C23" i="83"/>
  <c r="S4" i="83"/>
  <c r="T4" i="83" s="1"/>
  <c r="V4" i="83" s="1"/>
  <c r="Z11" i="83"/>
  <c r="Z13" i="83" s="1"/>
  <c r="AH11" i="83"/>
  <c r="AH13" i="83" s="1"/>
  <c r="R24" i="6"/>
  <c r="R26" i="6"/>
  <c r="D30" i="6"/>
  <c r="D16" i="6"/>
  <c r="D7" i="66"/>
  <c r="D6" i="66"/>
  <c r="D8" i="66"/>
  <c r="D10" i="59"/>
  <c r="C9" i="59"/>
  <c r="R22" i="6"/>
  <c r="R25" i="6"/>
  <c r="G3" i="71"/>
  <c r="G3" i="46"/>
  <c r="G3" i="72"/>
  <c r="A6" i="64"/>
  <c r="A20" i="51"/>
  <c r="B15" i="63" s="1"/>
  <c r="N5" i="54"/>
  <c r="B43" i="63" s="1"/>
  <c r="A20" i="64"/>
  <c r="A6" i="51"/>
  <c r="B7" i="63" s="1"/>
  <c r="D27" i="6"/>
  <c r="C34" i="77"/>
  <c r="F62" i="77"/>
  <c r="C61" i="77" s="1"/>
  <c r="R50" i="34"/>
  <c r="C49" i="34" s="1"/>
  <c r="U8" i="1" s="1"/>
  <c r="C18" i="43"/>
  <c r="C19" i="43" s="1"/>
  <c r="C14" i="12"/>
  <c r="C17" i="12"/>
  <c r="I27" i="6"/>
  <c r="H19" i="6"/>
  <c r="S19" i="6"/>
  <c r="S27" i="6" s="1"/>
  <c r="T8" i="1"/>
  <c r="T11" i="1"/>
  <c r="T7" i="1"/>
  <c r="T12" i="1"/>
  <c r="T9" i="1"/>
  <c r="T13" i="1"/>
  <c r="T10" i="1"/>
  <c r="J65" i="40"/>
  <c r="I67" i="40"/>
  <c r="J70" i="39"/>
  <c r="I72" i="39"/>
  <c r="J22" i="44"/>
  <c r="C36" i="44"/>
  <c r="C34" i="15"/>
  <c r="F62" i="15"/>
  <c r="C61" i="15" s="1"/>
  <c r="I53" i="34"/>
  <c r="J53" i="34" s="1"/>
  <c r="I54" i="34"/>
  <c r="J54" i="34" s="1"/>
  <c r="E53" i="21"/>
  <c r="F53" i="21" s="1"/>
  <c r="E52" i="21"/>
  <c r="F52" i="21" s="1"/>
  <c r="I53" i="21"/>
  <c r="J53" i="21" s="1"/>
  <c r="G54" i="34"/>
  <c r="H54" i="34" s="1"/>
  <c r="C48" i="21"/>
  <c r="C49" i="21"/>
  <c r="B3" i="21" s="1"/>
  <c r="E52" i="33"/>
  <c r="F52" i="33" s="1"/>
  <c r="E53" i="33"/>
  <c r="F53" i="33" s="1"/>
  <c r="I53" i="33"/>
  <c r="J53" i="33" s="1"/>
  <c r="E54" i="34"/>
  <c r="F54" i="34" s="1"/>
  <c r="E53" i="34"/>
  <c r="F53" i="34" s="1"/>
  <c r="C49" i="33"/>
  <c r="B3" i="33" s="1"/>
  <c r="B2" i="33" s="1"/>
  <c r="C48" i="33"/>
  <c r="U7" i="1" s="1"/>
  <c r="B3" i="67"/>
  <c r="B4" i="67"/>
  <c r="M21" i="77"/>
  <c r="M21" i="15"/>
  <c r="C14" i="15"/>
  <c r="C16" i="44"/>
  <c r="C13" i="70"/>
  <c r="F6" i="15"/>
  <c r="C13" i="69"/>
  <c r="C14" i="77"/>
  <c r="F6" i="77"/>
  <c r="J20" i="15" l="1"/>
  <c r="J20" i="77"/>
  <c r="B2" i="21"/>
  <c r="C18" i="84"/>
  <c r="C23" i="84" s="1"/>
  <c r="C107" i="83"/>
  <c r="C103" i="83"/>
  <c r="C106" i="83"/>
  <c r="C104" i="83"/>
  <c r="C102" i="83"/>
  <c r="C109" i="83"/>
  <c r="C105" i="83"/>
  <c r="K107" i="83"/>
  <c r="K106" i="83"/>
  <c r="K104" i="83"/>
  <c r="K102" i="83"/>
  <c r="K109" i="83"/>
  <c r="K105" i="83"/>
  <c r="K103" i="83"/>
  <c r="D109" i="83"/>
  <c r="D107" i="83"/>
  <c r="D103" i="83"/>
  <c r="D105" i="83"/>
  <c r="D106" i="83"/>
  <c r="D102" i="83"/>
  <c r="D104" i="83"/>
  <c r="N109" i="83"/>
  <c r="N107" i="83"/>
  <c r="N106" i="83"/>
  <c r="N104" i="83"/>
  <c r="N102" i="83"/>
  <c r="N105" i="83"/>
  <c r="N103" i="83"/>
  <c r="I105" i="83"/>
  <c r="I109" i="83"/>
  <c r="I106" i="83"/>
  <c r="I104" i="83"/>
  <c r="I102" i="83"/>
  <c r="I107" i="83"/>
  <c r="I103" i="83"/>
  <c r="J107" i="83"/>
  <c r="J103" i="83"/>
  <c r="J109" i="83"/>
  <c r="J106" i="83"/>
  <c r="J104" i="83"/>
  <c r="J102" i="83"/>
  <c r="J105" i="83"/>
  <c r="G105" i="83"/>
  <c r="G106" i="83"/>
  <c r="G104" i="83"/>
  <c r="G102" i="83"/>
  <c r="G107" i="83"/>
  <c r="G103" i="83"/>
  <c r="G109" i="83"/>
  <c r="D118" i="83"/>
  <c r="E118" i="83" s="1"/>
  <c r="F118" i="83" s="1"/>
  <c r="D115" i="83"/>
  <c r="E115" i="83" s="1"/>
  <c r="F115" i="83" s="1"/>
  <c r="G115" i="83" s="1"/>
  <c r="H115" i="83" s="1"/>
  <c r="I116" i="83"/>
  <c r="J116" i="83" s="1"/>
  <c r="K116" i="83" s="1"/>
  <c r="L116" i="83" s="1"/>
  <c r="M116" i="83" s="1"/>
  <c r="B118" i="83"/>
  <c r="C118" i="83" s="1"/>
  <c r="B117" i="83"/>
  <c r="C117" i="83" s="1"/>
  <c r="B116" i="83"/>
  <c r="C116" i="83" s="1"/>
  <c r="B115" i="83"/>
  <c r="C115" i="83" s="1"/>
  <c r="I118" i="83"/>
  <c r="J118" i="83" s="1"/>
  <c r="K118" i="83" s="1"/>
  <c r="L118" i="83" s="1"/>
  <c r="M118" i="83" s="1"/>
  <c r="I117" i="83"/>
  <c r="J117" i="83" s="1"/>
  <c r="K117" i="83" s="1"/>
  <c r="L117" i="83" s="1"/>
  <c r="M117" i="83" s="1"/>
  <c r="D117" i="83"/>
  <c r="E117" i="83" s="1"/>
  <c r="F117" i="83" s="1"/>
  <c r="G117" i="83" s="1"/>
  <c r="H117" i="83" s="1"/>
  <c r="D116" i="83"/>
  <c r="E116" i="83" s="1"/>
  <c r="F116" i="83" s="1"/>
  <c r="G116" i="83" s="1"/>
  <c r="H116" i="83" s="1"/>
  <c r="G118" i="83"/>
  <c r="H118" i="83" s="1"/>
  <c r="I115" i="83"/>
  <c r="J115" i="83" s="1"/>
  <c r="K115" i="83" s="1"/>
  <c r="L115" i="83" s="1"/>
  <c r="M115" i="83" s="1"/>
  <c r="D22" i="83"/>
  <c r="C21" i="83" s="1"/>
  <c r="C29" i="83" s="1"/>
  <c r="F109" i="83"/>
  <c r="F106" i="83"/>
  <c r="F104" i="83"/>
  <c r="F102" i="83"/>
  <c r="F107" i="83"/>
  <c r="F105" i="83"/>
  <c r="F103" i="83"/>
  <c r="E109" i="83"/>
  <c r="E107" i="83"/>
  <c r="E103" i="83"/>
  <c r="E106" i="83"/>
  <c r="E104" i="83"/>
  <c r="E102" i="83"/>
  <c r="E105" i="83"/>
  <c r="M109" i="83"/>
  <c r="M105" i="83"/>
  <c r="M106" i="83"/>
  <c r="M104" i="83"/>
  <c r="M102" i="83"/>
  <c r="M107" i="83"/>
  <c r="M103" i="83"/>
  <c r="L107" i="83"/>
  <c r="L103" i="83"/>
  <c r="L104" i="83"/>
  <c r="L105" i="83"/>
  <c r="L106" i="83"/>
  <c r="L102" i="83"/>
  <c r="L109" i="83"/>
  <c r="H106" i="83"/>
  <c r="H109" i="83"/>
  <c r="H104" i="83"/>
  <c r="H103" i="83"/>
  <c r="H107" i="83"/>
  <c r="H102" i="83"/>
  <c r="H105" i="83"/>
  <c r="D31" i="6"/>
  <c r="H22" i="72"/>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D9" i="59"/>
  <c r="C8" i="59"/>
  <c r="S2" i="46"/>
  <c r="T2" i="46" s="1"/>
  <c r="V2" i="46" s="1"/>
  <c r="S5" i="46"/>
  <c r="T5" i="46" s="1"/>
  <c r="V5" i="46" s="1"/>
  <c r="C23" i="46"/>
  <c r="S7" i="46"/>
  <c r="T7" i="46" s="1"/>
  <c r="V7" i="46" s="1"/>
  <c r="S3" i="46"/>
  <c r="T3" i="46" s="1"/>
  <c r="V3" i="46" s="1"/>
  <c r="S6" i="46"/>
  <c r="T6" i="46" s="1"/>
  <c r="V6" i="46" s="1"/>
  <c r="S4" i="46"/>
  <c r="T4" i="46" s="1"/>
  <c r="V4" i="46" s="1"/>
  <c r="S7" i="72"/>
  <c r="T7" i="72" s="1"/>
  <c r="V7" i="72" s="1"/>
  <c r="S4" i="72"/>
  <c r="T4" i="72" s="1"/>
  <c r="V4" i="72" s="1"/>
  <c r="S3" i="72"/>
  <c r="T3" i="72" s="1"/>
  <c r="V3" i="72" s="1"/>
  <c r="S5" i="72"/>
  <c r="T5" i="72" s="1"/>
  <c r="V5" i="72" s="1"/>
  <c r="S6" i="72"/>
  <c r="T6" i="72" s="1"/>
  <c r="V6" i="72" s="1"/>
  <c r="C23" i="72"/>
  <c r="S2" i="72"/>
  <c r="T2" i="72" s="1"/>
  <c r="V2" i="72" s="1"/>
  <c r="S7" i="71"/>
  <c r="T7" i="71" s="1"/>
  <c r="V7" i="71" s="1"/>
  <c r="S3" i="71"/>
  <c r="T3" i="71" s="1"/>
  <c r="V3" i="71" s="1"/>
  <c r="C23" i="71"/>
  <c r="S6" i="71"/>
  <c r="T6" i="71" s="1"/>
  <c r="V6" i="71" s="1"/>
  <c r="S2" i="71"/>
  <c r="T2" i="71" s="1"/>
  <c r="V2" i="71" s="1"/>
  <c r="S4" i="71"/>
  <c r="T4" i="71" s="1"/>
  <c r="V4" i="71" s="1"/>
  <c r="S5" i="71"/>
  <c r="T5" i="71" s="1"/>
  <c r="V5" i="71" s="1"/>
  <c r="C50" i="34"/>
  <c r="B3" i="34" s="1"/>
  <c r="B2" i="34" s="1"/>
  <c r="C18" i="77"/>
  <c r="C15" i="77"/>
  <c r="C6" i="77"/>
  <c r="C10" i="77" s="1"/>
  <c r="F31" i="77"/>
  <c r="F31" i="15"/>
  <c r="C6" i="15"/>
  <c r="C10" i="15" s="1"/>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D113" i="83" l="1"/>
  <c r="J5" i="68"/>
  <c r="B14" i="68" s="1"/>
  <c r="C30" i="83"/>
  <c r="E30" i="83" s="1"/>
  <c r="C27" i="83" s="1"/>
  <c r="E29" i="83"/>
  <c r="C26" i="83" s="1"/>
  <c r="B2" i="83" s="1"/>
  <c r="I6" i="6"/>
  <c r="I5" i="6"/>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T8" i="59"/>
  <c r="D8" i="59"/>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C32" i="77"/>
  <c r="C5" i="77"/>
  <c r="C38" i="77" s="1"/>
  <c r="C32" i="15"/>
  <c r="C5" i="15"/>
  <c r="C38" i="15" s="1"/>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B4" i="83" l="1"/>
  <c r="B3" i="83"/>
  <c r="D4" i="83"/>
  <c r="D113" i="71"/>
  <c r="J22" i="71" s="1"/>
  <c r="C21" i="71" s="1"/>
  <c r="H3" i="68" s="1"/>
  <c r="J3" i="68" s="1"/>
  <c r="K3" i="68" s="1"/>
  <c r="D113" i="72"/>
  <c r="J22" i="72" s="1"/>
  <c r="C21" i="72" s="1"/>
  <c r="M20" i="46"/>
  <c r="M20" i="72"/>
  <c r="M20" i="71"/>
  <c r="C115" i="46"/>
  <c r="D113" i="46" s="1"/>
  <c r="J22" i="46" s="1"/>
  <c r="C21" i="46" s="1"/>
  <c r="C29" i="46" s="1"/>
  <c r="C23" i="77"/>
  <c r="C29" i="77" s="1"/>
  <c r="C37" i="12"/>
  <c r="B2" i="12"/>
  <c r="B4" i="43"/>
  <c r="B5" i="43"/>
  <c r="B3" i="43"/>
  <c r="R16" i="1"/>
  <c r="C25" i="44"/>
  <c r="C31" i="44" s="1"/>
  <c r="Q51" i="44" s="1"/>
  <c r="C26" i="15"/>
  <c r="C29" i="15" s="1"/>
  <c r="Q50" i="15" s="1"/>
  <c r="M65" i="40"/>
  <c r="L67" i="40"/>
  <c r="L72" i="39"/>
  <c r="M70" i="39"/>
  <c r="B4" i="12"/>
  <c r="B3" i="12"/>
  <c r="B12" i="68" l="1"/>
  <c r="C29" i="71"/>
  <c r="E29" i="71" s="1"/>
  <c r="C26" i="71" s="1"/>
  <c r="B2" i="71" s="1"/>
  <c r="B4" i="71" s="1"/>
  <c r="E29" i="46"/>
  <c r="C26" i="46" s="1"/>
  <c r="B2" i="46" s="1"/>
  <c r="C30" i="46"/>
  <c r="E30" i="46" s="1"/>
  <c r="C27" i="46" s="1"/>
  <c r="H4" i="68"/>
  <c r="C29" i="72"/>
  <c r="J59" i="77"/>
  <c r="J60" i="77" s="1"/>
  <c r="J19" i="77"/>
  <c r="J17" i="77" s="1"/>
  <c r="C36" i="77"/>
  <c r="C33" i="77"/>
  <c r="C31" i="77" s="1"/>
  <c r="C56" i="77"/>
  <c r="C13" i="77"/>
  <c r="J14" i="77"/>
  <c r="Q50" i="77"/>
  <c r="J16" i="44"/>
  <c r="J24" i="44" s="1"/>
  <c r="C15" i="44"/>
  <c r="Q72" i="44" s="1"/>
  <c r="C38" i="44"/>
  <c r="J21" i="44"/>
  <c r="J19" i="44" s="1"/>
  <c r="C35" i="44"/>
  <c r="C33" i="44" s="1"/>
  <c r="J19" i="15"/>
  <c r="J17" i="15" s="1"/>
  <c r="J59" i="15"/>
  <c r="J60" i="15" s="1"/>
  <c r="C36" i="15"/>
  <c r="C33" i="15"/>
  <c r="C31" i="15" s="1"/>
  <c r="C56" i="15"/>
  <c r="C60" i="15" s="1"/>
  <c r="C58" i="15" s="1"/>
  <c r="J14" i="15"/>
  <c r="J13" i="15" s="1"/>
  <c r="J23" i="15" s="1"/>
  <c r="C13" i="15"/>
  <c r="Q71" i="15" s="1"/>
  <c r="M67" i="40"/>
  <c r="H9" i="40" s="1"/>
  <c r="N65" i="40"/>
  <c r="N67" i="40" s="1"/>
  <c r="F9" i="40" s="1"/>
  <c r="M72" i="39"/>
  <c r="N70" i="39"/>
  <c r="N72" i="39" s="1"/>
  <c r="J9" i="39" s="1"/>
  <c r="B5" i="12"/>
  <c r="J4" i="68" l="1"/>
  <c r="K4" i="68" s="1"/>
  <c r="H5" i="68"/>
  <c r="B3" i="71"/>
  <c r="D4" i="71"/>
  <c r="C30" i="71"/>
  <c r="E30" i="71" s="1"/>
  <c r="C27" i="71" s="1"/>
  <c r="C30" i="72"/>
  <c r="E30" i="72" s="1"/>
  <c r="C27" i="72" s="1"/>
  <c r="E29" i="72"/>
  <c r="C26" i="72" s="1"/>
  <c r="B2" i="72" s="1"/>
  <c r="B3" i="46"/>
  <c r="D4" i="46"/>
  <c r="B4" i="46"/>
  <c r="Q71" i="77"/>
  <c r="C55" i="77"/>
  <c r="C64" i="77" s="1"/>
  <c r="C37" i="77"/>
  <c r="C30" i="77" s="1"/>
  <c r="C39" i="77" s="1"/>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30" i="15" s="1"/>
  <c r="C39" i="15" s="1"/>
  <c r="C40" i="15" s="1"/>
  <c r="C63" i="15"/>
  <c r="C55" i="15"/>
  <c r="C64" i="15" s="1"/>
  <c r="W9" i="39"/>
  <c r="AC9" i="39"/>
  <c r="V49" i="39" s="1"/>
  <c r="I49" i="39" s="1"/>
  <c r="AA9" i="40"/>
  <c r="R44" i="40" s="1"/>
  <c r="S9" i="40"/>
  <c r="F9" i="39"/>
  <c r="H9" i="39"/>
  <c r="U9" i="40"/>
  <c r="AB9" i="40"/>
  <c r="T44" i="40" s="1"/>
  <c r="G44" i="40" s="1"/>
  <c r="G48" i="40" s="1"/>
  <c r="H48" i="40" s="1"/>
  <c r="J9" i="40"/>
  <c r="C19" i="9"/>
  <c r="L51" i="77"/>
  <c r="C6" i="84" l="1"/>
  <c r="B13" i="68"/>
  <c r="L43" i="9"/>
  <c r="B3" i="72"/>
  <c r="D4" i="72"/>
  <c r="B4" i="72"/>
  <c r="C57" i="77"/>
  <c r="C66" i="77" s="1"/>
  <c r="C67" i="77" s="1"/>
  <c r="C70" i="77" s="1"/>
  <c r="J16" i="77"/>
  <c r="J25" i="77" s="1"/>
  <c r="Q68" i="77"/>
  <c r="J39" i="77"/>
  <c r="J40" i="77" s="1"/>
  <c r="Q70" i="77"/>
  <c r="Q69" i="77" s="1"/>
  <c r="C40" i="77"/>
  <c r="C6" i="70" s="1"/>
  <c r="C24" i="70" s="1"/>
  <c r="C44" i="44"/>
  <c r="C45" i="44" s="1"/>
  <c r="B2" i="44" s="1"/>
  <c r="Q70" i="15"/>
  <c r="Q69" i="15" s="1"/>
  <c r="J39" i="15"/>
  <c r="J40" i="15" s="1"/>
  <c r="C57" i="15"/>
  <c r="C66" i="15" s="1"/>
  <c r="C67" i="15" s="1"/>
  <c r="C70" i="15" s="1"/>
  <c r="Q57" i="15"/>
  <c r="Q66" i="15"/>
  <c r="J42" i="15"/>
  <c r="J43" i="15" s="1"/>
  <c r="C43" i="15"/>
  <c r="Q48" i="15"/>
  <c r="Q54" i="15" s="1"/>
  <c r="W9" i="40"/>
  <c r="AC9" i="40"/>
  <c r="V44" i="40" s="1"/>
  <c r="I44" i="40" s="1"/>
  <c r="AB9" i="39"/>
  <c r="T49" i="39" s="1"/>
  <c r="G49" i="39" s="1"/>
  <c r="U9" i="39"/>
  <c r="I53" i="39"/>
  <c r="J53" i="39" s="1"/>
  <c r="AA9" i="39"/>
  <c r="R49" i="39" s="1"/>
  <c r="S9" i="39"/>
  <c r="E44" i="40"/>
  <c r="R45" i="40"/>
  <c r="C20" i="9"/>
  <c r="C21" i="9"/>
  <c r="L51" i="15"/>
  <c r="C29" i="70" l="1"/>
  <c r="C29" i="84"/>
  <c r="C24" i="84"/>
  <c r="B9" i="68"/>
  <c r="I9" i="68" s="1"/>
  <c r="C6" i="69"/>
  <c r="C43" i="77"/>
  <c r="B10" i="68" s="1"/>
  <c r="I10" i="68" s="1"/>
  <c r="Q48" i="77"/>
  <c r="Q54" i="77" s="1"/>
  <c r="Q57" i="77"/>
  <c r="Q63" i="77" s="1"/>
  <c r="Q66" i="77"/>
  <c r="Q76" i="77" s="1"/>
  <c r="J42" i="77"/>
  <c r="J43" i="77" s="1"/>
  <c r="B2" i="77"/>
  <c r="B3" i="77" s="1"/>
  <c r="C46" i="77"/>
  <c r="C35" i="70"/>
  <c r="C33" i="70" s="1"/>
  <c r="C28" i="70"/>
  <c r="C26" i="70" s="1"/>
  <c r="Q68" i="15"/>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C31" i="70" l="1"/>
  <c r="C30" i="70" s="1"/>
  <c r="C36" i="70" s="1"/>
  <c r="C28" i="84"/>
  <c r="C26" i="84" s="1"/>
  <c r="C31" i="84" s="1"/>
  <c r="C30" i="84" s="1"/>
  <c r="C35" i="84"/>
  <c r="C33" i="84" s="1"/>
  <c r="C29" i="69"/>
  <c r="C24" i="69"/>
  <c r="Q67" i="15"/>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C36" i="84" l="1"/>
  <c r="C37" i="84" s="1"/>
  <c r="C35" i="69"/>
  <c r="C33" i="69" s="1"/>
  <c r="C28" i="69"/>
  <c r="C26" i="69" s="1"/>
  <c r="C31" i="69" s="1"/>
  <c r="C30" i="69" s="1"/>
  <c r="B2" i="70"/>
  <c r="C37" i="70"/>
  <c r="J9" i="68" s="1"/>
  <c r="Q59" i="44"/>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B3" i="70"/>
  <c r="B5" i="70"/>
  <c r="B2" i="84" l="1"/>
  <c r="C36" i="69"/>
  <c r="C37" i="69" s="1"/>
  <c r="J10" i="68" s="1"/>
  <c r="D12" i="68"/>
  <c r="J12" i="68" s="1"/>
  <c r="K9" i="68"/>
  <c r="B5" i="39"/>
  <c r="B4" i="39"/>
  <c r="B3" i="39"/>
  <c r="B4" i="84"/>
  <c r="B5" i="84"/>
  <c r="B4" i="70"/>
  <c r="B3" i="84"/>
  <c r="D14" i="68" l="1"/>
  <c r="J14" i="68" s="1"/>
  <c r="B2" i="69"/>
  <c r="K10" i="68"/>
  <c r="D13" i="68"/>
  <c r="J13" i="68" s="1"/>
  <c r="B3" i="73"/>
  <c r="B8" i="73" s="1"/>
  <c r="K12" i="68"/>
  <c r="B3" i="69"/>
  <c r="D19" i="9"/>
  <c r="I14" i="68" l="1"/>
  <c r="K14" i="68"/>
  <c r="L44" i="9"/>
  <c r="D22" i="9"/>
  <c r="G19" i="9"/>
  <c r="K13" i="68"/>
  <c r="I13" i="68"/>
  <c r="I15" i="68" s="1"/>
  <c r="B4" i="73"/>
  <c r="B5" i="69"/>
  <c r="B4" i="69"/>
  <c r="D20" i="9"/>
  <c r="L13" i="68" l="1"/>
  <c r="I22" i="68" s="1"/>
  <c r="I16" i="68"/>
  <c r="I18" i="68" s="1"/>
  <c r="G20" i="9"/>
  <c r="C32" i="9"/>
  <c r="G22" i="9"/>
  <c r="N43" i="9"/>
  <c r="B9" i="73"/>
  <c r="D9" i="73" s="1"/>
  <c r="D10" i="73" s="1"/>
  <c r="D4" i="73"/>
  <c r="D5" i="73" s="1"/>
  <c r="D21" i="9"/>
  <c r="G21" i="9" l="1"/>
  <c r="C42" i="9"/>
  <c r="O43" i="9"/>
  <c r="C34" i="9"/>
  <c r="C33" i="9"/>
  <c r="O38" i="9"/>
  <c r="C35" i="9"/>
  <c r="F42" i="9" s="1"/>
  <c r="N38" i="9" l="1"/>
  <c r="K28" i="9" s="1"/>
  <c r="D42" i="9"/>
  <c r="Q5" i="54" s="1"/>
  <c r="B47" i="63" s="1"/>
  <c r="K25" i="9"/>
  <c r="K26" i="9"/>
  <c r="E42" i="9"/>
  <c r="P5" i="54" s="1"/>
  <c r="B46" i="63" s="1"/>
  <c r="M38" i="9"/>
  <c r="K27" i="9" s="1"/>
  <c r="R5" i="54"/>
  <c r="B48" i="63" s="1"/>
  <c r="D14" i="66"/>
  <c r="D63" i="9"/>
  <c r="N68" i="9"/>
  <c r="B5" i="66" l="1"/>
  <c r="E14" i="66"/>
  <c r="F14" i="66"/>
  <c r="D73" i="9"/>
  <c r="N73" i="9" s="1"/>
  <c r="C103" i="9"/>
  <c r="C111" i="9"/>
  <c r="C104" i="9" s="1"/>
  <c r="D70" i="9"/>
  <c r="C96" i="9"/>
  <c r="C91" i="9" s="1"/>
  <c r="C90" i="9"/>
  <c r="C82" i="9"/>
  <c r="C81" i="9" s="1"/>
  <c r="C85" i="9" s="1"/>
  <c r="C86" i="9" s="1"/>
  <c r="D72" i="9" s="1"/>
  <c r="D71" i="9"/>
  <c r="D66" i="9" s="1"/>
  <c r="N72" i="9" s="1"/>
  <c r="C97" i="9" l="1"/>
  <c r="C113" i="9"/>
  <c r="C5" i="66"/>
  <c r="D5" i="66"/>
  <c r="C114" i="9" l="1"/>
  <c r="E114" i="9" s="1"/>
  <c r="E115" i="9" s="1"/>
  <c r="C98" i="9"/>
  <c r="E98" i="9" s="1"/>
  <c r="E99"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<sst xmlns="http://schemas.openxmlformats.org/spreadsheetml/2006/main" count="9695" uniqueCount="3241">
  <si>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</si>
  <si>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</si>
  <si>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</si>
  <si>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</si>
  <si>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</si>
  <si>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</si>
  <si>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</si>
  <si>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</si>
  <si>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</si>
  <si>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</si>
  <si>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</si>
  <si>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</si>
  <si>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</si>
  <si>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</si>
  <si>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</si>
  <si>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</si>
  <si>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</si>
  <si>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</si>
  <si>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</si>
  <si>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</si>
  <si>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</si>
  <si>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</si>
  <si>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</si>
  <si>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</si>
  <si>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</si>
  <si>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</si>
  <si>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</si>
  <si>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</si>
  <si>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</si>
  <si>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</si>
  <si>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</si>
  <si>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</si>
  <si>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</si>
  <si>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</si>
  <si>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</si>
  <si>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</si>
  <si>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</si>
  <si>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</si>
  <si>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</si>
  <si>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</si>
  <si>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</si>
  <si>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</si>
  <si>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</si>
  <si>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</si>
  <si>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</si>
  <si>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</si>
  <si>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</si>
  <si>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</si>
  <si>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</si>
  <si>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</si>
  <si>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</si>
  <si>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</si>
  <si>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</si>
  <si>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</si>
  <si>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</si>
  <si>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</si>
  <si>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</si>
  <si>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</si>
  <si>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</si>
  <si>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</si>
  <si>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</si>
  <si>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</si>
  <si>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</si>
  <si>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</si>
  <si>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</si>
  <si>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</si>
  <si>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</si>
  <si>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</si>
  <si>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</si>
  <si>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</si>
  <si>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</si>
  <si>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</si>
  <si>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</si>
  <si>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</si>
  <si>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</si>
  <si>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</si>
  <si>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</si>
  <si>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</si>
  <si>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</si>
  <si>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</si>
  <si>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</si>
  <si>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</si>
  <si>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</si>
  <si>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</si>
  <si>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</si>
  <si>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</si>
  <si>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</si>
  <si>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</si>
  <si>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</si>
  <si>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</si>
  <si>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</si>
  <si>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</si>
  <si>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</si>
  <si>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</si>
  <si>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</si>
  <si>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</si>
  <si>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</si>
  <si>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</si>
  <si>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</si>
  <si>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</si>
  <si>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</si>
  <si>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</si>
  <si>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</si>
  <si>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</si>
  <si>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</si>
  <si>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</si>
  <si>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</si>
  <si>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</si>
  <si>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</si>
  <si>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</si>
  <si>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</si>
  <si>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</si>
  <si>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</si>
  <si>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</si>
  <si>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</si>
  <si>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</si>
  <si>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</si>
  <si>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</si>
  <si>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</si>
  <si>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</si>
  <si>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</si>
  <si>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</si>
  <si>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</si>
  <si>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</si>
  <si>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</si>
  <si>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</si>
  <si>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</si>
  <si>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</si>
  <si>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</si>
  <si>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</si>
  <si>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</si>
  <si>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</si>
  <si>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</si>
  <si>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</si>
  <si>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</si>
  <si>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</si>
  <si>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</si>
  <si>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</si>
  <si>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</si>
  <si>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</si>
  <si>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</si>
  <si>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</si>
  <si>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</si>
  <si>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</si>
  <si>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</si>
  <si>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</si>
  <si>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</si>
  <si>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</si>
  <si>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</si>
  <si>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</si>
  <si>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</si>
  <si>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</si>
  <si>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</si>
  <si>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</si>
  <si>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</si>
  <si>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</si>
  <si>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</si>
  <si>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</si>
  <si>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</si>
  <si>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</si>
  <si>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</si>
  <si>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</si>
  <si>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</si>
  <si>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</si>
  <si>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</si>
  <si>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</si>
  <si>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</si>
  <si>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</si>
  <si>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</si>
  <si>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</si>
  <si>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</si>
  <si>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</si>
  <si>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</si>
  <si>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</si>
  <si>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</si>
  <si>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</si>
  <si>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</si>
  <si>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</si>
  <si>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</si>
  <si>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</si>
  <si>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</si>
  <si>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</si>
  <si>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</si>
  <si>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</si>
  <si>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</si>
  <si>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</si>
  <si>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</si>
  <si>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</si>
  <si>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</si>
  <si>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</si>
  <si>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</si>
  <si>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</si>
  <si>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</si>
  <si>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</si>
  <si>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</si>
  <si>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</si>
  <si>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</si>
  <si>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</si>
  <si>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</si>
  <si>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</si>
  <si>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</si>
  <si>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</si>
  <si>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</si>
  <si>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</si>
  <si>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</si>
  <si>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</si>
  <si>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</si>
  <si>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</si>
  <si>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</si>
  <si>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</si>
  <si>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</si>
  <si>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</si>
  <si>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</si>
  <si>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</si>
  <si>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</si>
  <si>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</si>
  <si>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</si>
  <si>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</si>
  <si>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</si>
  <si>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</si>
  <si>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</si>
  <si>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</si>
  <si>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</si>
  <si>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</si>
  <si>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</si>
  <si>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</si>
  <si>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</si>
  <si>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</si>
  <si>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</si>
  <si>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</si>
  <si>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</si>
  <si>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</si>
  <si>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</si>
  <si>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</si>
  <si>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</si>
  <si>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</si>
  <si>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</si>
  <si>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</si>
  <si>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</si>
  <si>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</si>
  <si>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</si>
  <si>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</si>
  <si>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</si>
  <si>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</si>
  <si>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</si>
  <si>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</si>
  <si>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</si>
  <si>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</si>
  <si>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</si>
  <si>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</si>
  <si>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</si>
  <si>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</si>
  <si>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</si>
  <si>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</si>
  <si>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</si>
  <si>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</si>
  <si>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</si>
  <si>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</si>
  <si>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</si>
  <si>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</si>
  <si>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</si>
  <si>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</si>
  <si>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</si>
  <si>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</si>
  <si>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</si>
  <si>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</si>
  <si>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</si>
  <si>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</si>
  <si>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</si>
  <si>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</si>
  <si>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</si>
  <si>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</si>
  <si>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</si>
  <si>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</si>
  <si>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</si>
  <si>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</si>
  <si>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</si>
  <si>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</si>
  <si>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</si>
  <si>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</si>
  <si>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</si>
  <si>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</si>
  <si>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</si>
  <si>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</si>
  <si>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</si>
  <si>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</si>
  <si>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</si>
  <si>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</si>
  <si>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</si>
  <si>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</si>
  <si>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</si>
  <si>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</si>
  <si>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</si>
  <si>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</si>
  <si>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</si>
  <si>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</si>
  <si>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</si>
  <si>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</si>
  <si>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</si>
  <si>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</si>
  <si>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</si>
  <si>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</si>
  <si>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</si>
  <si>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</si>
  <si>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</si>
  <si>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</si>
  <si>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</si>
  <si>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</si>
  <si>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</si>
  <si>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</si>
  <si>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</si>
  <si>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</si>
  <si>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</si>
  <si>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</si>
  <si>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</si>
  <si>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</si>
  <si>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</si>
  <si>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</si>
  <si>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</si>
  <si>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</si>
  <si>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</si>
  <si>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</si>
  <si>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</si>
  <si>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</si>
  <si>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</si>
  <si>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</si>
  <si>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</si>
  <si>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</si>
  <si>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</si>
  <si>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</si>
  <si>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</si>
  <si>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</si>
  <si>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</si>
  <si>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</si>
  <si>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</si>
  <si>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</si>
  <si>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</si>
  <si>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</si>
  <si>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</si>
  <si>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</si>
  <si>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</si>
  <si>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</si>
  <si>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</si>
  <si>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</si>
  <si>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</si>
  <si>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</si>
  <si>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</si>
  <si>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</si>
  <si>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</si>
  <si>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</si>
  <si>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</si>
  <si>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</si>
  <si>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</si>
  <si>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</si>
  <si>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</si>
  <si>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</si>
  <si>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</si>
  <si>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</si>
  <si>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</si>
  <si>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</si>
  <si>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</si>
  <si>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</si>
  <si>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</si>
  <si>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</si>
  <si>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</si>
  <si>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</si>
  <si>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</si>
  <si>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</si>
  <si>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</si>
  <si>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</si>
  <si>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</si>
  <si>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</si>
  <si>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</si>
  <si>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</si>
  <si>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</si>
  <si>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</si>
  <si>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</si>
  <si>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</si>
  <si>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</si>
  <si>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</si>
  <si>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</si>
  <si>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</si>
  <si>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</si>
  <si>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</si>
  <si>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</si>
  <si>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</si>
  <si>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</si>
  <si>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</si>
  <si>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</si>
  <si>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</si>
  <si>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</si>
  <si>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</si>
  <si>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</si>
  <si>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</si>
  <si>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</si>
  <si>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</si>
  <si>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</si>
  <si>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</si>
  <si>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</si>
  <si>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</si>
  <si>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</si>
  <si>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</si>
  <si>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</si>
  <si>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</si>
  <si>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</si>
  <si>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</si>
  <si>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</si>
  <si>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</si>
  <si>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</si>
  <si>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</si>
  <si>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</si>
  <si>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</si>
  <si>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</si>
  <si>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</si>
  <si>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</si>
  <si>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</si>
  <si>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</si>
  <si>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</si>
  <si>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</si>
  <si>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</si>
  <si>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</si>
  <si>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</si>
  <si>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</si>
  <si>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</si>
  <si>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</si>
  <si>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</si>
  <si>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</si>
  <si>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</si>
  <si>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</si>
  <si>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</si>
  <si>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</si>
  <si>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</si>
  <si>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</si>
  <si>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</si>
  <si>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</si>
  <si>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</si>
  <si>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</si>
  <si>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</si>
  <si>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</si>
  <si>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</si>
  <si>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</si>
  <si>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</si>
  <si>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</si>
  <si>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</si>
  <si>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</si>
  <si>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</si>
  <si>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</si>
  <si>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</si>
  <si>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</si>
  <si>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</si>
  <si>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</si>
  <si>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</si>
  <si>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</si>
  <si>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</si>
  <si>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</si>
  <si>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</si>
  <si>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</si>
  <si>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</si>
  <si>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</si>
  <si>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</si>
  <si>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</si>
  <si>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</si>
  <si>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</si>
  <si>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</si>
  <si>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</si>
  <si>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</si>
  <si>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</si>
  <si>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</si>
  <si>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</si>
  <si>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</si>
  <si>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</si>
  <si>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</si>
  <si>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</si>
  <si>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</si>
  <si>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</si>
  <si>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</si>
  <si>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</si>
  <si>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</si>
  <si>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</si>
  <si>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</si>
  <si>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</si>
  <si>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</si>
  <si>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</si>
  <si>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</si>
  <si>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</si>
  <si>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</si>
  <si>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</si>
  <si>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</si>
  <si>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</si>
  <si>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</si>
  <si>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</si>
  <si>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</si>
  <si>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</si>
  <si>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</si>
  <si>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</si>
  <si>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</si>
  <si>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</si>
  <si>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</si>
  <si>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</si>
  <si>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</si>
  <si>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</si>
  <si>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</si>
  <si>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</si>
  <si>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</si>
  <si>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</si>
  <si>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</si>
  <si>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</si>
  <si>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</si>
  <si>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</si>
  <si>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</si>
  <si>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</si>
  <si>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</si>
  <si>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</si>
  <si>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</si>
  <si>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</si>
  <si>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</si>
  <si>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</si>
  <si>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</si>
  <si>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</si>
  <si>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</si>
  <si>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</si>
  <si>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</si>
  <si>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</si>
  <si>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</si>
  <si>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</si>
  <si>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</si>
  <si>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</si>
  <si>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</si>
  <si>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</si>
  <si>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</si>
  <si>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</si>
  <si>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</si>
  <si>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</si>
  <si>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</si>
  <si>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</si>
  <si>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</si>
  <si>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</si>
  <si>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</si>
  <si>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</si>
  <si>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</si>
  <si>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</si>
  <si>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</si>
  <si>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</si>
  <si>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</si>
  <si>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</si>
  <si>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</si>
  <si>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</si>
  <si>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</si>
  <si>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</si>
  <si>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</si>
  <si>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</si>
  <si>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</si>
  <si>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</si>
  <si>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</si>
  <si>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</si>
  <si>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</si>
  <si>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</si>
  <si>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</si>
  <si>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</si>
  <si>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</si>
  <si>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</si>
  <si>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</si>
  <si>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</si>
  <si>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</si>
  <si>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</si>
  <si>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</si>
  <si>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</si>
  <si>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</si>
  <si>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</si>
  <si>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</si>
  <si>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</si>
  <si>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</si>
  <si>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</si>
  <si>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</si>
  <si>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</si>
  <si>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</si>
  <si>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</si>
  <si>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</si>
  <si>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</si>
  <si>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</si>
  <si>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</si>
  <si>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</si>
  <si>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</si>
  <si>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</si>
  <si>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</si>
  <si>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</si>
  <si>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</si>
  <si>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</si>
  <si>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</si>
  <si>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</si>
  <si>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</si>
  <si>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</si>
  <si>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</si>
  <si>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</si>
  <si>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</si>
  <si>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</si>
  <si>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</si>
  <si>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</si>
  <si>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</si>
  <si>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</si>
  <si>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</si>
  <si>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</si>
  <si>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</si>
  <si>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</si>
  <si>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</si>
  <si>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</si>
  <si>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</si>
  <si>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</si>
  <si>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</si>
  <si>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</si>
  <si>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</si>
  <si>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</si>
  <si>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</si>
  <si>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</si>
  <si>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</si>
  <si>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</si>
  <si>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</si>
  <si>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</si>
  <si>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</si>
  <si>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</si>
  <si>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</si>
  <si>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</si>
  <si>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</si>
  <si>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</si>
  <si>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</si>
  <si>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</si>
  <si>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</si>
  <si>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</si>
  <si>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</si>
  <si>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</si>
  <si>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</si>
  <si>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</si>
  <si>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</si>
  <si>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</si>
  <si>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</si>
  <si>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</si>
  <si>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</si>
  <si>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</si>
  <si>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</si>
  <si>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</si>
  <si>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</si>
  <si>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</si>
  <si>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</si>
  <si>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</si>
  <si>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</si>
  <si>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</si>
  <si>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</si>
  <si>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</si>
  <si>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</si>
  <si>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</si>
  <si>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</si>
  <si>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</si>
  <si>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</si>
  <si>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</si>
  <si>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</si>
  <si>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</si>
  <si>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</si>
  <si>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</si>
  <si>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</si>
  <si>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</si>
  <si>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</si>
  <si>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</si>
  <si>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</si>
  <si>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</si>
  <si>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</si>
  <si>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</si>
  <si>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</si>
  <si>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</si>
  <si>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</si>
  <si>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</si>
  <si>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</si>
  <si>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</si>
  <si>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</si>
  <si>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</si>
  <si>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</si>
  <si>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</si>
  <si>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</si>
  <si>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</si>
  <si>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</si>
  <si>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</si>
  <si>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</si>
  <si>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</si>
  <si>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</si>
  <si>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</si>
  <si>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</si>
  <si>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</si>
  <si>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</si>
  <si>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</si>
  <si>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</si>
  <si>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</si>
  <si>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</si>
  <si>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</si>
  <si>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</si>
  <si>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</si>
  <si>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</si>
  <si>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</si>
  <si>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</si>
  <si>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</si>
  <si>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</si>
  <si>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</si>
  <si>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</si>
  <si>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</si>
  <si>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</si>
  <si>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</si>
  <si>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</si>
  <si>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</si>
  <si>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</si>
  <si>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</si>
  <si>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</si>
  <si>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</si>
  <si>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</si>
  <si>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</si>
  <si>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</si>
  <si>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</si>
  <si>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</si>
  <si>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</si>
  <si>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</si>
  <si>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</si>
  <si>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</si>
  <si>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</si>
  <si>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</si>
  <si>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</si>
  <si>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</si>
  <si>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</si>
  <si>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</si>
  <si>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</si>
  <si>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</si>
  <si>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</si>
  <si>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</si>
  <si>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</si>
  <si>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</si>
  <si>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</si>
  <si>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</si>
  <si>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</si>
  <si>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</si>
  <si>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</si>
  <si>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</si>
  <si>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</si>
  <si>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</si>
  <si>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</si>
  <si>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</si>
  <si>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</si>
  <si>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</si>
  <si>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</si>
  <si>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</si>
  <si>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</si>
  <si>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</si>
  <si>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</si>
  <si>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</si>
  <si>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</si>
  <si>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</si>
  <si>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</si>
  <si>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</si>
  <si>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</si>
  <si>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</si>
  <si>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</si>
  <si>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</si>
  <si>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</si>
  <si>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</si>
  <si>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</si>
  <si>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</si>
  <si>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</si>
  <si>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</si>
  <si>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</si>
  <si>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</si>
  <si>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</si>
  <si>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</si>
  <si>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</si>
  <si>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</si>
  <si>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</si>
  <si>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</si>
  <si>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</si>
  <si>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</si>
  <si>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</si>
  <si>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</si>
  <si>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</si>
  <si>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</si>
  <si>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</si>
  <si>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</si>
  <si>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</si>
  <si>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</si>
  <si>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</si>
  <si>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</si>
  <si>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</si>
  <si>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</si>
  <si>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</si>
  <si>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</si>
  <si>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</si>
  <si>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</si>
  <si>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</si>
  <si>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</si>
  <si>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</si>
  <si>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</si>
  <si>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</si>
  <si>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</si>
  <si>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</si>
  <si>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</si>
  <si>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</si>
  <si>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</si>
  <si>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</si>
  <si>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</si>
  <si>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</si>
  <si>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</si>
  <si>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</si>
  <si>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</si>
  <si>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</si>
  <si>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</si>
  <si>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</si>
  <si>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</si>
  <si>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</si>
  <si>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</si>
  <si>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</si>
  <si>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</si>
  <si>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</si>
  <si>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</si>
  <si>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</si>
  <si>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</si>
  <si>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</si>
  <si>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</si>
  <si>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</si>
  <si>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</si>
  <si>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</si>
  <si>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</si>
  <si>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</si>
  <si>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</si>
  <si>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</si>
  <si>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</si>
  <si>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</si>
  <si>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</si>
  <si>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</si>
  <si>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</si>
  <si>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</si>
  <si>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</si>
  <si>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</si>
  <si>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</si>
  <si>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</si>
  <si>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</si>
  <si>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</si>
  <si>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</si>
  <si>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</si>
  <si>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</si>
  <si>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</si>
  <si>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</si>
  <si>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</si>
  <si>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</si>
  <si>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</si>
  <si>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</si>
  <si>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</si>
  <si>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</si>
  <si>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</si>
  <si>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</si>
  <si>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</si>
  <si>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</si>
  <si>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</si>
  <si>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</si>
  <si>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</si>
  <si>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</si>
  <si>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</si>
  <si>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</si>
  <si>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</si>
  <si>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</si>
  <si>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</si>
  <si>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</si>
  <si>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</si>
  <si>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</si>
  <si>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</si>
  <si>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</si>
  <si>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</si>
  <si>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</si>
  <si>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</si>
  <si>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</si>
  <si>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</si>
  <si>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</si>
  <si>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</si>
  <si>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</si>
  <si>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</si>
  <si>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</si>
  <si>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</si>
  <si>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</si>
  <si>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</si>
  <si>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</si>
  <si>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</si>
  <si>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</si>
  <si>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</si>
  <si>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</si>
  <si>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</si>
  <si>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</si>
  <si>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</si>
  <si>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</si>
  <si>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</si>
  <si>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</si>
  <si>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</si>
  <si>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</si>
  <si>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</si>
  <si>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</si>
  <si>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</si>
  <si>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</si>
  <si>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</si>
  <si>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</si>
  <si>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</si>
  <si>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</si>
  <si>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</si>
  <si>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</si>
  <si>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</si>
  <si>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</si>
  <si>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</si>
  <si>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</si>
  <si>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</si>
  <si>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</si>
  <si>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</si>
  <si>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</si>
  <si>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</si>
  <si>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</si>
  <si>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</si>
  <si>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</si>
  <si>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</si>
  <si>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</si>
  <si>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</si>
  <si>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</si>
  <si>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</si>
  <si>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</si>
  <si>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</si>
  <si>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</si>
  <si>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</si>
  <si>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</si>
  <si>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</si>
  <si>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</si>
  <si>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</si>
  <si>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</si>
  <si>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</si>
  <si>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</si>
  <si>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</si>
  <si>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</si>
  <si>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</si>
  <si>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</si>
  <si>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</si>
  <si>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</si>
  <si>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</si>
  <si>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</si>
  <si>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</si>
  <si>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</si>
  <si>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</si>
  <si>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</si>
  <si>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</si>
  <si>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</si>
  <si>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</si>
  <si>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</si>
  <si>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</si>
  <si>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</si>
  <si>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</si>
  <si>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</si>
  <si>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</si>
  <si>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</si>
  <si>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</si>
  <si>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</si>
  <si>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</si>
  <si>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</si>
  <si>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</si>
  <si>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</si>
  <si>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</si>
  <si>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</si>
  <si>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</si>
  <si>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</si>
  <si>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</si>
  <si>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</si>
  <si>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</si>
  <si>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</si>
  <si>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</si>
  <si>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</si>
  <si>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</si>
  <si>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</si>
  <si>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</si>
  <si>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</si>
  <si>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</si>
  <si>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</si>
  <si>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</si>
  <si>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</si>
  <si>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</si>
  <si>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</si>
  <si>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</si>
  <si>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</si>
  <si>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</si>
  <si>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</si>
  <si>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</si>
  <si>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</si>
  <si>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</si>
  <si>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</si>
  <si>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</si>
  <si>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</si>
  <si>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</si>
  <si>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</si>
  <si>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</si>
  <si>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</si>
  <si>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</si>
  <si>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</si>
  <si>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</si>
  <si>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</si>
  <si>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</si>
  <si>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</si>
  <si>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</si>
  <si>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</si>
  <si>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</si>
  <si>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</si>
  <si>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</si>
  <si>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</si>
  <si>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</si>
  <si>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</si>
  <si>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</si>
  <si>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</si>
  <si>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</si>
  <si>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</si>
  <si>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</si>
  <si>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</si>
  <si>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</si>
  <si>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</si>
  <si>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</si>
  <si>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</si>
  <si>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</si>
  <si>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</si>
  <si>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</si>
  <si>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</si>
  <si>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</si>
  <si>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</si>
  <si>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</si>
  <si>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</si>
  <si>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</si>
  <si>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</si>
  <si>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</si>
  <si>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</si>
  <si>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</si>
  <si>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</si>
  <si>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</si>
  <si>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</si>
  <si>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</si>
  <si>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</si>
  <si>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</si>
  <si>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</si>
  <si>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</si>
  <si>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</si>
  <si>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</si>
  <si>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</si>
  <si>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</si>
  <si>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</si>
  <si>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</si>
  <si>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</si>
  <si>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</si>
  <si>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</si>
  <si>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</si>
  <si>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</si>
  <si>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</si>
  <si>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</si>
  <si>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</si>
  <si>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</si>
  <si>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</si>
  <si>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</si>
  <si>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</si>
  <si>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</si>
  <si>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</si>
  <si>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</si>
  <si>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</si>
  <si>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</si>
  <si>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</si>
  <si>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</si>
  <si>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</si>
  <si>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</si>
  <si>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</si>
  <si>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</si>
  <si>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</si>
  <si>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</si>
  <si>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</si>
  <si>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</si>
  <si>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</si>
  <si>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</si>
  <si>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</si>
  <si>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</si>
  <si>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</si>
  <si>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</si>
  <si>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</si>
  <si>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</si>
  <si>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</si>
  <si>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</si>
  <si>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</si>
  <si>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</si>
  <si>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</si>
  <si>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</si>
  <si>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</si>
  <si>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</si>
  <si>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</si>
  <si>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</si>
  <si>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</si>
  <si>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</si>
  <si>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</si>
  <si>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</si>
  <si>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</si>
  <si>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</si>
  <si>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</si>
  <si>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</si>
  <si>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</si>
  <si>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</si>
  <si>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</si>
  <si>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</si>
  <si>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</si>
  <si>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</si>
  <si>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</si>
  <si>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</si>
  <si>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</si>
  <si>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</si>
  <si>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</si>
  <si>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</si>
  <si>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</si>
  <si>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</si>
  <si>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</si>
  <si>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</si>
  <si>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</si>
  <si>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</si>
  <si>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</si>
  <si>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</si>
  <si>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</si>
  <si>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</si>
  <si>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</si>
  <si>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</si>
  <si>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</si>
  <si>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</si>
  <si>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</si>
  <si>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</si>
  <si>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</si>
  <si>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</si>
  <si>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</si>
  <si>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</si>
  <si>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</si>
  <si>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</si>
  <si>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</si>
  <si>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</si>
  <si>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</si>
  <si>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</si>
  <si>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</si>
  <si>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</si>
  <si>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</si>
  <si>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</si>
  <si>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</si>
  <si>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</si>
  <si>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</si>
  <si>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</si>
  <si>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</si>
  <si>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</si>
  <si>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</si>
  <si>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</si>
  <si>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</si>
  <si>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</si>
  <si>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</si>
  <si>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</si>
  <si>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</si>
  <si>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</si>
  <si>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</si>
  <si>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</si>
  <si>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</si>
  <si>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</si>
  <si>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</si>
  <si>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</si>
  <si>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</si>
  <si>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</si>
  <si>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</si>
  <si>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</si>
  <si>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</si>
  <si>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</si>
  <si>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</si>
  <si>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</si>
  <si>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</si>
  <si>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</si>
  <si>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</si>
  <si>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</si>
  <si>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</si>
  <si>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</si>
  <si>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</si>
  <si>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</si>
  <si>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</si>
  <si>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</si>
  <si>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</si>
  <si>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</si>
  <si>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</si>
  <si>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</si>
  <si>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</si>
  <si>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</si>
  <si>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</si>
  <si>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</si>
  <si>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</si>
  <si>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</si>
  <si>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</si>
  <si>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</si>
  <si>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</si>
  <si>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</si>
  <si>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</si>
  <si>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</si>
  <si>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</si>
  <si>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</si>
  <si>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</si>
  <si>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</si>
  <si>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</si>
  <si>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</si>
  <si>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</si>
  <si>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</si>
  <si>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</si>
  <si>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</si>
  <si>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</si>
  <si>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</si>
  <si>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</si>
  <si>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</si>
  <si>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</si>
  <si>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</si>
  <si>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</si>
  <si>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</si>
  <si>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</si>
  <si>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</si>
  <si>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</si>
  <si>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</si>
  <si>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</si>
  <si>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</si>
  <si>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</si>
  <si>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</si>
  <si>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</si>
  <si>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</si>
  <si>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</si>
  <si>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</si>
  <si>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</si>
  <si>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</si>
  <si>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</si>
  <si>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</si>
  <si>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</si>
  <si>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</si>
  <si>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</si>
  <si>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</si>
  <si>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</si>
  <si>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</si>
  <si>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</si>
  <si>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</si>
  <si>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</si>
  <si>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</si>
  <si>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</si>
  <si>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</si>
  <si>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</si>
  <si>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</si>
  <si>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</si>
  <si>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</si>
  <si>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</si>
  <si>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</si>
  <si>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</si>
  <si>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</si>
  <si>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</si>
  <si>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</si>
  <si>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</si>
  <si>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</si>
  <si>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</si>
  <si>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</si>
  <si>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</si>
  <si>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</si>
  <si>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</si>
  <si>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</si>
  <si>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</si>
  <si>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</si>
  <si>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</si>
  <si>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</si>
  <si>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</si>
  <si>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</si>
  <si>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</si>
  <si>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</si>
  <si>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</si>
  <si>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</si>
  <si>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</si>
  <si>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</si>
  <si>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</si>
  <si>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</si>
  <si>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</si>
  <si>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</si>
  <si>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</si>
  <si>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</si>
  <si>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</si>
  <si>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</si>
  <si>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</si>
  <si>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</si>
  <si>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</si>
  <si>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</si>
  <si>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</si>
  <si>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</si>
  <si>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</si>
  <si>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</si>
  <si>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</si>
  <si>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</si>
  <si>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</si>
  <si>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</si>
  <si>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</si>
  <si>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</si>
  <si>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</si>
  <si>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</si>
  <si>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</si>
  <si>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</si>
  <si>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</si>
  <si>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</si>
  <si>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</si>
  <si>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</si>
  <si>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</si>
  <si>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</si>
  <si>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</si>
  <si>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</si>
  <si>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</si>
  <si>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</si>
  <si>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</si>
  <si>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</si>
  <si>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</si>
  <si>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</si>
  <si>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</si>
  <si>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</si>
  <si>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</si>
  <si>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</si>
  <si>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</si>
  <si>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</si>
  <si>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</si>
  <si>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</si>
  <si>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</si>
  <si>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</si>
  <si>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</si>
  <si>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</si>
  <si>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</si>
  <si>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</si>
  <si>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</si>
  <si>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</si>
  <si>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</si>
  <si>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</si>
  <si>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</si>
  <si>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</si>
  <si>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</si>
  <si>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</si>
  <si>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</si>
  <si>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</si>
  <si>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</si>
  <si>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</si>
  <si>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</si>
  <si>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</si>
  <si>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</si>
  <si>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</si>
  <si>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</si>
  <si>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</si>
  <si>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</si>
  <si>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</si>
  <si>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</si>
  <si>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</si>
  <si>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</si>
  <si>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</si>
  <si>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</si>
  <si>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</si>
  <si>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</si>
  <si>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</si>
  <si>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</si>
  <si>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</si>
  <si>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</si>
  <si>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</si>
  <si>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</si>
  <si>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</si>
  <si>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</si>
  <si>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</si>
  <si>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</si>
  <si>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</si>
  <si>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</si>
  <si>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</si>
  <si>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</si>
  <si>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</si>
  <si>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</si>
  <si>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</si>
  <si>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</si>
  <si>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</si>
  <si>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</si>
  <si>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</si>
  <si>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</si>
  <si>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</si>
  <si>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</si>
  <si>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</si>
  <si>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</si>
  <si>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</si>
  <si>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</si>
  <si>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</si>
  <si>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</si>
  <si>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</si>
  <si>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</si>
  <si>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</si>
  <si>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</si>
  <si>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</si>
  <si>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</si>
  <si>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</si>
  <si>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</si>
  <si>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</si>
  <si>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</si>
  <si>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</si>
  <si>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</si>
  <si>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</si>
  <si>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</si>
  <si>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</si>
  <si>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</si>
  <si>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</si>
  <si>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</si>
  <si>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</si>
  <si>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</si>
  <si>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</si>
  <si>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</si>
  <si>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</si>
  <si>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</si>
  <si>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</si>
  <si>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</si>
  <si>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</si>
  <si>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</si>
  <si>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</si>
  <si>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</si>
  <si>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</si>
  <si>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</si>
  <si>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</si>
  <si>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</si>
  <si>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</si>
  <si>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</si>
  <si>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</si>
  <si>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</si>
  <si>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</si>
  <si>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</si>
  <si>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</si>
  <si>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</si>
  <si>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</si>
  <si>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</si>
  <si>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</si>
  <si>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</si>
  <si>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</si>
  <si>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</si>
  <si>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</si>
  <si>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</si>
  <si>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</si>
  <si>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</si>
  <si>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</si>
  <si>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</si>
  <si>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</si>
  <si>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</si>
  <si>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</si>
  <si>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</si>
  <si>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</si>
  <si>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</si>
  <si>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</si>
  <si>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</si>
  <si>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</si>
  <si>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</si>
  <si>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</si>
  <si>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</si>
  <si>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</si>
  <si>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</si>
  <si>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</si>
  <si>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</si>
  <si>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</si>
  <si>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</si>
  <si>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</si>
  <si>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</si>
  <si>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</si>
  <si>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</si>
  <si>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</si>
  <si>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</si>
  <si>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</si>
  <si>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</si>
  <si>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</si>
  <si>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</si>
  <si>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</si>
  <si>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</si>
  <si>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</si>
  <si>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</si>
  <si>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</si>
  <si>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</si>
  <si>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</si>
  <si>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</si>
  <si>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</si>
  <si>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</si>
  <si>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</si>
  <si>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</si>
  <si>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</si>
  <si>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</si>
  <si>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</si>
  <si>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</si>
  <si>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</si>
  <si>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</si>
  <si>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</si>
  <si>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</si>
  <si>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</si>
  <si>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</si>
  <si>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</si>
  <si>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</si>
  <si>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</si>
  <si>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</si>
  <si>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</si>
  <si>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</si>
  <si>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</si>
  <si>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</si>
  <si>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</si>
  <si>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</si>
  <si>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</si>
  <si>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</si>
  <si>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</si>
  <si>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</si>
  <si>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</si>
  <si>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</si>
  <si>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</si>
  <si>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</si>
  <si>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</si>
  <si>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</si>
  <si>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</si>
  <si>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</si>
  <si>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</si>
  <si>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</si>
  <si>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</si>
  <si>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</si>
  <si>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</si>
  <si>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</si>
  <si>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</si>
  <si>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</si>
  <si>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</si>
  <si>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</si>
  <si>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</si>
  <si>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</si>
  <si>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</si>
  <si>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</si>
  <si>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</si>
  <si>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</si>
  <si>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</si>
  <si>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</si>
  <si>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</si>
  <si>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</si>
  <si>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</si>
  <si>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</si>
  <si>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</si>
  <si>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</si>
  <si>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</si>
  <si>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</si>
  <si>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</si>
  <si>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</si>
  <si>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</si>
  <si>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</si>
  <si>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</si>
  <si>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</si>
  <si>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</si>
  <si>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</si>
  <si>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</si>
  <si>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</si>
  <si>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</si>
  <si>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</si>
  <si>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</si>
  <si>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</si>
  <si>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</si>
  <si>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</si>
  <si>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</si>
  <si>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</si>
  <si>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</si>
  <si>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</si>
  <si>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</si>
  <si>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</si>
  <si>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</si>
  <si>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</si>
  <si>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</si>
  <si>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</si>
  <si>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</si>
  <si>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</si>
  <si>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</si>
  <si>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</si>
  <si>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</si>
  <si>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</si>
  <si>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</si>
  <si>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</si>
  <si>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</si>
  <si>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</si>
  <si>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</si>
  <si>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</si>
  <si>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</si>
  <si>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</si>
  <si>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</si>
  <si>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</si>
  <si>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</si>
  <si>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</si>
  <si>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</si>
  <si>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</si>
  <si>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</si>
  <si>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</si>
  <si>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</si>
  <si>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</si>
  <si>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</si>
  <si>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</si>
  <si>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</si>
  <si>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</si>
  <si>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</si>
  <si>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</si>
  <si>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</si>
  <si>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</si>
  <si>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</si>
  <si>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</si>
  <si>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</si>
  <si>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</si>
  <si>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</si>
  <si>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</si>
  <si>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</si>
  <si>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</si>
  <si>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</si>
  <si>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</si>
  <si>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</si>
  <si>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</si>
  <si>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</si>
  <si>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</si>
  <si>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</si>
  <si>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</si>
  <si>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</si>
  <si>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</si>
  <si>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</si>
  <si>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</si>
  <si>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</si>
  <si>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</si>
  <si>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</si>
  <si>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</si>
  <si>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</si>
  <si>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</si>
  <si>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</si>
  <si>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</si>
  <si>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</si>
  <si>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</si>
  <si>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</si>
  <si>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</si>
  <si>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</si>
  <si>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</si>
  <si>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</si>
  <si>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</si>
  <si>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</si>
  <si>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</si>
  <si>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</si>
  <si>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</si>
  <si>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</si>
  <si>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</si>
  <si>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</si>
  <si>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</si>
  <si>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</si>
  <si>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</si>
  <si>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</si>
  <si>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</si>
  <si>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</si>
  <si>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</si>
  <si>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</si>
  <si>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</si>
  <si>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</si>
  <si>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</si>
  <si>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</si>
  <si>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</si>
  <si>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</si>
  <si>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</si>
  <si>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</si>
  <si>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</si>
  <si>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</si>
  <si>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</si>
  <si>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</si>
  <si>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</si>
  <si>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</si>
  <si>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</si>
  <si>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</si>
  <si>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</si>
  <si>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</si>
  <si>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</si>
  <si>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</si>
  <si>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</si>
  <si>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</si>
  <si>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</si>
  <si>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</si>
  <si>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</si>
  <si>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</si>
  <si>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</si>
  <si>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</si>
  <si>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</si>
  <si>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</si>
  <si>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</si>
  <si>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</si>
  <si>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</si>
  <si>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</si>
  <si>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</si>
  <si>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</si>
  <si>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</si>
  <si>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</si>
  <si>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</si>
  <si>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</si>
  <si>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</si>
  <si>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</si>
  <si>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</si>
  <si>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</si>
  <si>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</si>
  <si>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</si>
  <si>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</si>
  <si>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</si>
  <si>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</si>
  <si>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</si>
  <si>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</si>
  <si>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</si>
  <si>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</si>
  <si>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</si>
  <si>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</si>
  <si>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</si>
  <si>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</si>
  <si>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</si>
  <si>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</si>
  <si>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</si>
  <si>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</si>
  <si>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</si>
  <si>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</si>
  <si>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</si>
  <si>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</si>
  <si>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</si>
  <si>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</si>
  <si>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</si>
  <si>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</si>
  <si>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</si>
  <si>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</si>
  <si>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</si>
  <si>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</si>
  <si>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</si>
  <si>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</si>
  <si>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</si>
  <si>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</si>
  <si>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</si>
  <si>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</si>
  <si>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</si>
  <si>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</si>
  <si>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</si>
  <si>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</si>
  <si>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</si>
  <si>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</si>
  <si>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</si>
  <si>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</si>
  <si>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</si>
  <si>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</si>
  <si>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</si>
  <si>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</si>
  <si>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</si>
  <si>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</si>
  <si>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</si>
  <si>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</si>
  <si>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</si>
  <si>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</si>
  <si>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</si>
  <si>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</si>
  <si>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</si>
  <si>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</si>
  <si>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</si>
  <si>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</si>
  <si>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</si>
  <si>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</si>
  <si>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</si>
  <si>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</si>
  <si>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</si>
  <si>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</si>
  <si>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</si>
  <si>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</si>
  <si>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</si>
  <si>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</si>
  <si>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</si>
  <si>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</si>
  <si>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</si>
  <si>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</si>
  <si>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</si>
  <si>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</si>
  <si>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</si>
  <si>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</si>
  <si>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</si>
  <si>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</si>
  <si>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</si>
  <si>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</si>
  <si>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</si>
  <si>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</si>
  <si>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</si>
  <si>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</si>
  <si>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</si>
  <si>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</si>
  <si>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</si>
  <si>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</si>
  <si>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</si>
  <si>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</si>
  <si>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</si>
  <si>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</si>
  <si>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</si>
  <si>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</si>
  <si>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</si>
  <si>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</si>
  <si>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</si>
  <si>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</si>
  <si>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</si>
  <si>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</si>
  <si>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</si>
  <si>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</si>
  <si>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</si>
  <si>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</si>
  <si>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</si>
  <si>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</si>
  <si>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</si>
  <si>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</si>
  <si>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</si>
  <si>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</si>
  <si>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</si>
  <si>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</si>
  <si>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</si>
  <si>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</si>
  <si>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</si>
  <si>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</si>
  <si>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</si>
  <si>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</si>
  <si>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</si>
  <si>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</si>
  <si>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</si>
  <si>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</si>
  <si>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</si>
  <si>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</si>
  <si>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</si>
  <si>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</si>
  <si>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</si>
  <si>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</si>
  <si>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</si>
  <si>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</si>
  <si>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</si>
  <si>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</si>
  <si>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</si>
  <si>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</si>
  <si>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</si>
  <si>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</si>
  <si>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</si>
  <si>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</si>
  <si>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</si>
  <si>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</si>
  <si>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</si>
  <si>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</si>
  <si>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</si>
  <si>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</si>
  <si>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</si>
  <si>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</si>
  <si>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</si>
  <si>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</si>
  <si>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</si>
  <si>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</si>
  <si>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</si>
  <si>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</si>
  <si>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</si>
  <si>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</si>
  <si>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</si>
  <si>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</si>
  <si>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</si>
  <si>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</si>
  <si>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</si>
  <si>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</si>
  <si>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</si>
  <si>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</si>
  <si>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</si>
  <si>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</si>
  <si>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</si>
  <si>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</si>
  <si>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</si>
  <si>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</si>
  <si>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</si>
  <si>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</si>
  <si>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</si>
  <si>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</si>
  <si>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</si>
  <si>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</si>
  <si>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</si>
  <si>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</si>
  <si>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</si>
  <si>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</si>
  <si>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</si>
  <si>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</si>
  <si>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</si>
  <si>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</si>
  <si>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</si>
  <si>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</si>
  <si>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</si>
  <si>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</si>
  <si>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</si>
  <si>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</si>
  <si>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</si>
  <si>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</si>
  <si>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</si>
  <si>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</si>
  <si>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</si>
  <si>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</si>
  <si>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</si>
  <si>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</si>
  <si>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</si>
  <si>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</si>
  <si>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</si>
  <si>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</si>
  <si>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</si>
  <si>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</si>
  <si>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</si>
  <si>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</si>
  <si>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</si>
  <si>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</si>
  <si>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</si>
  <si>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</si>
  <si>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</si>
  <si>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</si>
  <si>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</si>
  <si>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</si>
  <si>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</si>
  <si>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</si>
  <si>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</si>
  <si>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</si>
  <si>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</si>
  <si>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</si>
  <si>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</si>
  <si>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</si>
  <si>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</si>
  <si>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</si>
  <si>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</si>
  <si>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</si>
  <si>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</si>
  <si>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</si>
  <si>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</si>
  <si>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</si>
  <si>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</si>
  <si>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</si>
  <si>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</si>
  <si>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</si>
  <si>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</si>
  <si>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</si>
  <si>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</si>
  <si>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</si>
  <si>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</si>
  <si>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</si>
  <si>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</si>
  <si>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</si>
  <si>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</si>
  <si>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</si>
  <si>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</si>
  <si>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</si>
  <si>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</si>
  <si>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</si>
  <si>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</si>
  <si>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</si>
  <si>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</si>
  <si>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</si>
  <si>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</si>
  <si>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</si>
  <si>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</si>
  <si>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</si>
  <si>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</si>
  <si>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</si>
  <si>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</si>
  <si>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</si>
  <si>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</si>
  <si>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</si>
  <si>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</si>
  <si>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</si>
  <si>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</si>
  <si>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</si>
  <si>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</si>
  <si>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</si>
  <si>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</si>
  <si>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</si>
  <si>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</si>
  <si>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</si>
  <si>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</si>
  <si>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</si>
  <si>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</si>
  <si>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</si>
  <si>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</si>
  <si>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</si>
  <si>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</si>
  <si>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</si>
  <si>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</si>
  <si>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</si>
  <si>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</si>
  <si>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</si>
  <si>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</si>
  <si>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</si>
  <si>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</si>
  <si>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</si>
  <si>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</si>
  <si>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</si>
  <si>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</si>
  <si>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</si>
  <si>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</si>
  <si>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</si>
  <si>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</si>
  <si>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</si>
  <si>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</si>
  <si>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</si>
  <si>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</si>
  <si>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</si>
  <si>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</si>
  <si>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</si>
  <si>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</si>
  <si>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</si>
  <si>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</si>
  <si>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</si>
  <si>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</si>
  <si>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</si>
  <si>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</si>
  <si>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</si>
  <si>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</si>
  <si>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</si>
  <si>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</si>
  <si>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</si>
  <si>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</si>
  <si>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</si>
  <si>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</si>
  <si>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</si>
  <si>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</si>
  <si>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</si>
  <si>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</si>
  <si>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</si>
  <si>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</si>
  <si>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</si>
  <si>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</si>
  <si>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</si>
  <si>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</si>
  <si>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</si>
  <si>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</si>
  <si>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</si>
  <si>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</si>
  <si>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</si>
  <si>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</si>
  <si>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</si>
  <si>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</si>
  <si>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</si>
  <si>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</si>
  <si>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</si>
  <si>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</si>
  <si>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</si>
  <si>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</si>
  <si>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</si>
  <si>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</si>
  <si>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</si>
  <si>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</si>
  <si>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</si>
  <si>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</si>
  <si>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</si>
  <si>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</si>
  <si>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</si>
  <si>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</si>
  <si>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</si>
  <si>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</si>
  <si>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</si>
  <si>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</si>
  <si>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</si>
  <si>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</si>
  <si>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</si>
  <si>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</si>
  <si>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</si>
  <si>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</si>
  <si>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</si>
  <si>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</si>
  <si>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</si>
  <si>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</si>
  <si>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</si>
  <si>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</si>
  <si>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</si>
  <si>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</si>
  <si>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</si>
  <si>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</si>
  <si>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</si>
  <si>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</si>
  <si>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</si>
  <si>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</si>
  <si>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</si>
  <si>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</si>
  <si>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</si>
  <si>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</si>
  <si>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</si>
  <si>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</si>
  <si>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</si>
  <si>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</si>
  <si>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</si>
  <si>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</si>
  <si>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</si>
  <si>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</si>
  <si>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</si>
  <si>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</si>
  <si>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</si>
  <si>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</si>
  <si>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</si>
  <si>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</si>
  <si>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</si>
  <si>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</si>
  <si>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</si>
  <si>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</si>
  <si>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</si>
  <si>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</si>
  <si>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</si>
  <si>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</si>
  <si>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</si>
  <si>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</si>
  <si>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</si>
  <si>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</si>
  <si>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</si>
  <si>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</si>
  <si>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</si>
  <si>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</si>
  <si>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</si>
  <si>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</si>
  <si>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</si>
  <si>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</si>
  <si>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</si>
  <si>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</si>
  <si>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</si>
  <si>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</si>
  <si>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</si>
  <si>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</si>
  <si>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</si>
  <si>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</si>
  <si>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</si>
  <si>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</si>
  <si>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</si>
  <si>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</si>
  <si>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</si>
  <si>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</si>
  <si>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</si>
  <si>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</si>
  <si>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</si>
  <si>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</si>
  <si>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</si>
  <si>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</si>
  <si>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</si>
  <si>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</si>
  <si>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</si>
  <si>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</si>
  <si>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</si>
  <si>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</si>
  <si>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</si>
  <si>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</si>
  <si>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</si>
  <si>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</si>
  <si>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</si>
  <si>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</si>
  <si>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</si>
  <si>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</si>
  <si>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</si>
  <si>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</si>
  <si>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</si>
  <si>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</si>
  <si>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</si>
  <si>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</si>
  <si>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</si>
  <si>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</si>
  <si>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</si>
  <si>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</si>
  <si>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</si>
  <si>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</si>
  <si>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</si>
  <si>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</si>
  <si>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</si>
  <si>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</si>
  <si>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</si>
  <si>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</si>
  <si>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</si>
  <si>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</si>
  <si>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</si>
  <si>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</si>
  <si>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</si>
  <si>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</si>
  <si>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</si>
  <si>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</si>
  <si>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</si>
  <si>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</si>
  <si>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</si>
  <si>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</si>
  <si>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</si>
  <si>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</si>
  <si>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</si>
  <si>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</si>
  <si>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</si>
  <si>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</si>
  <si>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</si>
  <si>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</si>
  <si>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</si>
  <si>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</si>
  <si>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</si>
  <si>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</si>
  <si>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</si>
  <si>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</si>
  <si>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</si>
  <si>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</si>
  <si>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</si>
  <si>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</si>
  <si>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</si>
  <si>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</si>
  <si>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</si>
  <si>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</si>
  <si>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</si>
  <si>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</si>
  <si>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</si>
  <si>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</si>
  <si>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</si>
  <si>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</si>
  <si>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</si>
  <si>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</si>
  <si>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</si>
  <si>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</si>
  <si>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</si>
  <si>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</si>
  <si>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</si>
  <si>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</si>
  <si>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</si>
  <si>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</si>
  <si>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</si>
  <si>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</si>
  <si>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</si>
  <si>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</si>
  <si>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</si>
  <si>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</si>
  <si>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</si>
  <si>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</si>
  <si>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</si>
  <si>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</si>
  <si>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</si>
  <si>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</si>
  <si>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</si>
  <si>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</si>
  <si>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</si>
  <si>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</si>
  <si>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</si>
  <si>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</si>
  <si>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</si>
  <si>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</si>
  <si>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</si>
  <si>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</si>
  <si>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</si>
  <si>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</si>
  <si>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</si>
  <si>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</si>
  <si>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</si>
  <si>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</si>
  <si>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</si>
  <si>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</si>
  <si>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</si>
  <si>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</si>
  <si>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</si>
  <si>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</si>
  <si>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</si>
  <si>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</si>
  <si>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</si>
  <si>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</si>
  <si>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</si>
  <si>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</si>
  <si>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</si>
  <si>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</si>
  <si>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</si>
  <si>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</si>
  <si>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</si>
  <si>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</si>
  <si>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</si>
  <si>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</si>
  <si>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</si>
  <si>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</si>
  <si>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</si>
  <si>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</si>
  <si>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</si>
  <si>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</si>
  <si>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</si>
  <si>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</si>
  <si>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</si>
  <si>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</si>
  <si>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</si>
  <si>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</si>
  <si>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</si>
  <si>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</si>
  <si>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</si>
  <si>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</si>
  <si>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</si>
  <si>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</si>
  <si>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</si>
  <si>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</si>
  <si>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</si>
  <si>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</si>
  <si>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</si>
  <si>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</si>
  <si>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</si>
  <si>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</si>
  <si>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</si>
  <si>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</si>
  <si>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</si>
  <si>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</si>
  <si>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</si>
  <si>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</si>
  <si>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</si>
  <si>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</si>
  <si>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</si>
  <si>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</si>
  <si>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</si>
  <si>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</si>
  <si>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</si>
  <si>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</si>
  <si>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</si>
  <si>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</si>
  <si>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</si>
  <si>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</si>
  <si>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</si>
  <si>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</si>
  <si>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</si>
  <si>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</si>
  <si>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</si>
  <si>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</si>
  <si>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</si>
  <si>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</si>
  <si>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</si>
  <si>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</si>
  <si>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</si>
  <si>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</si>
  <si>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</si>
  <si>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</si>
  <si>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</si>
  <si>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</si>
  <si>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</si>
  <si>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</si>
  <si>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</si>
  <si>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</si>
  <si>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</si>
  <si>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</si>
  <si>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</si>
  <si>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</si>
  <si>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</si>
  <si>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</si>
  <si>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</si>
  <si>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</si>
  <si>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</si>
  <si>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</si>
  <si>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</si>
  <si>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</si>
  <si>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</si>
  <si>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</si>
  <si>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</si>
  <si>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</si>
  <si>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</si>
  <si>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</si>
  <si>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</si>
  <si>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</si>
  <si>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</si>
  <si>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</si>
  <si>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</si>
  <si>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</si>
  <si>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</si>
  <si>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</si>
  <si>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</si>
  <si>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</si>
  <si>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</si>
  <si>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</si>
  <si>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</si>
  <si>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</si>
  <si>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</si>
  <si>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</si>
  <si>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</si>
  <si>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</si>
  <si>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</si>
  <si>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</si>
  <si>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</si>
  <si>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</si>
  <si>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</si>
  <si>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</si>
  <si>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</si>
  <si>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</si>
  <si>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</si>
  <si>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</si>
  <si>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</si>
  <si>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</si>
  <si>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</si>
  <si>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</si>
  <si>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</si>
  <si>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</si>
  <si>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</si>
  <si>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</si>
  <si>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</si>
  <si>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</si>
  <si>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</si>
  <si>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</si>
  <si>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</si>
  <si>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</si>
  <si>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</si>
  <si>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</si>
  <si>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</si>
  <si>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</si>
  <si>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</si>
  <si>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</si>
  <si>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</si>
  <si>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</si>
  <si>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</si>
  <si>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</si>
  <si>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</si>
  <si>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</si>
  <si>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</si>
  <si>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</si>
  <si>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</si>
  <si>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</si>
  <si>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</si>
  <si>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</si>
  <si>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</si>
  <si>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</si>
  <si>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</si>
  <si>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</si>
  <si>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</si>
  <si>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</si>
  <si>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</si>
  <si>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</si>
  <si>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</si>
  <si>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</si>
  <si>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</si>
  <si>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</si>
  <si>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</si>
  <si>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</si>
  <si>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</si>
  <si>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</si>
  <si>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</si>
  <si>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</si>
  <si>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</si>
  <si>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</si>
  <si>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</si>
  <si>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</si>
  <si>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</si>
  <si>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</si>
  <si>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</si>
  <si>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</si>
  <si>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</si>
  <si>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</si>
  <si>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</si>
  <si>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</si>
  <si>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</si>
  <si>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</si>
  <si>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</si>
  <si>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</si>
  <si>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</si>
  <si>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</si>
  <si>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</si>
  <si>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</si>
  <si>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</si>
  <si>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</si>
  <si>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</si>
  <si>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</si>
  <si>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</si>
  <si>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</si>
  <si>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</si>
  <si>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</si>
  <si>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</si>
  <si>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</si>
  <si>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</si>
  <si>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</si>
  <si>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</si>
  <si>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</si>
  <si>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</si>
  <si>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</si>
  <si>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</si>
  <si>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</si>
  <si>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</si>
  <si>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</si>
  <si>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</si>
  <si>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</si>
  <si>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</si>
  <si>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</si>
  <si>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</si>
  <si>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</si>
  <si>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</si>
  <si>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</si>
  <si>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</si>
  <si>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</si>
  <si>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</si>
  <si>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</si>
  <si>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</si>
  <si>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</si>
  <si>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</si>
  <si>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</si>
  <si>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</si>
  <si>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</si>
  <si>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</si>
  <si>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</si>
  <si>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</si>
  <si>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</si>
  <si>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</si>
  <si>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</si>
  <si>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</si>
  <si>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</si>
  <si>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</si>
  <si>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</si>
  <si>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</si>
  <si>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</si>
  <si>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</si>
  <si>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</si>
  <si>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</si>
  <si>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</si>
  <si>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</si>
  <si>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</si>
  <si>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</si>
  <si>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</si>
  <si>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</si>
  <si>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</si>
  <si>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</si>
  <si>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</si>
  <si>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</si>
  <si>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</si>
  <si>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</si>
  <si>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</si>
  <si>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</si>
  <si>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</si>
  <si>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</si>
  <si>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</si>
  <si>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</si>
  <si>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</si>
  <si>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</si>
  <si>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</si>
  <si>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</si>
  <si>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</si>
  <si>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</si>
  <si>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</si>
  <si>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</si>
  <si>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</si>
  <si>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</si>
  <si>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</si>
  <si>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</si>
  <si>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</si>
  <si>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</si>
  <si>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</si>
  <si>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</si>
  <si>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</si>
  <si>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</si>
  <si>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</si>
  <si>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</si>
  <si>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</si>
  <si>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</si>
  <si>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</si>
  <si>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</si>
  <si>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</si>
  <si>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</si>
  <si>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</si>
  <si>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</si>
  <si>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</si>
  <si>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</si>
  <si>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</si>
  <si>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</si>
  <si>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</si>
  <si>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</si>
  <si>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</si>
  <si>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</si>
  <si>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</si>
  <si>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</si>
  <si>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</si>
  <si>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</si>
  <si>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</si>
  <si>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</si>
  <si>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</si>
  <si>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</si>
  <si>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</si>
  <si>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</si>
  <si>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</si>
  <si>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</si>
  <si>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</si>
  <si>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</si>
  <si>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</si>
  <si>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</si>
  <si>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</si>
  <si>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</si>
  <si>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</si>
  <si>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</si>
  <si>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</si>
  <si>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</si>
  <si>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</si>
  <si>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</si>
  <si>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</si>
  <si>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</si>
  <si>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</si>
  <si>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</si>
  <si>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</si>
  <si>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</si>
  <si>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</si>
  <si>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</si>
  <si>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</si>
  <si>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</si>
  <si>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</si>
  <si>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</si>
  <si>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</si>
  <si>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</si>
  <si>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</si>
  <si>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</si>
  <si>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</si>
  <si>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</si>
  <si>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</si>
  <si>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</si>
  <si>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</si>
  <si>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</si>
  <si>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</si>
  <si>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</si>
  <si>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</si>
  <si>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</si>
  <si>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</si>
  <si>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</si>
  <si>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</si>
  <si>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</si>
  <si>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</si>
  <si>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</si>
  <si>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</si>
  <si>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</si>
  <si>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</si>
  <si>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</si>
  <si>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</si>
  <si>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</si>
  <si>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</si>
  <si>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</si>
  <si>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</si>
  <si>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</si>
  <si>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</si>
  <si>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</si>
  <si>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</si>
  <si>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</si>
  <si>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</si>
  <si>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</si>
  <si>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</si>
  <si>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</si>
  <si>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</si>
  <si>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</si>
  <si>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</si>
  <si>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</si>
  <si>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</si>
  <si>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</si>
  <si>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</si>
  <si>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</si>
  <si>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</si>
  <si>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</si>
  <si>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</si>
  <si>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</si>
  <si>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</si>
  <si>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</si>
  <si>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</si>
  <si>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</si>
  <si>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</si>
  <si>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</si>
  <si>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</si>
  <si>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</si>
  <si>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</si>
  <si>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</si>
  <si>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</si>
  <si>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</si>
  <si>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</si>
  <si>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</si>
  <si>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</si>
  <si>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</si>
  <si>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</si>
  <si>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</si>
  <si>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</si>
  <si>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</si>
  <si>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</si>
  <si>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</si>
  <si>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</si>
  <si>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</si>
  <si>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</si>
  <si>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</si>
  <si>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</si>
  <si>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</si>
  <si>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</si>
  <si>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</si>
  <si>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</si>
  <si>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</si>
  <si>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</si>
  <si>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</si>
  <si>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</si>
  <si>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</si>
  <si>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</si>
  <si>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</si>
  <si>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</si>
  <si>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</si>
  <si>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</si>
  <si>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</si>
  <si>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</si>
  <si>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</si>
  <si>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</si>
  <si>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</si>
  <si>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</si>
  <si>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</si>
  <si>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</si>
  <si>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</si>
  <si>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</si>
  <si>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</si>
  <si>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</si>
  <si>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</si>
  <si>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</si>
  <si>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</si>
  <si>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</si>
  <si>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</si>
  <si>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</si>
  <si>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</si>
  <si>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</si>
  <si>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</si>
  <si>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</si>
  <si>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</si>
  <si>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</si>
  <si>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</si>
  <si>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</si>
  <si>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</si>
  <si>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</si>
  <si>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</si>
  <si>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</si>
  <si>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</si>
  <si>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</si>
  <si>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</si>
  <si>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</si>
  <si>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</si>
  <si>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</si>
  <si>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</si>
  <si>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</si>
  <si>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</si>
  <si>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</si>
  <si>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</si>
  <si>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</si>
  <si>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</si>
  <si>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</si>
  <si>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</si>
  <si>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</si>
  <si>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</si>
  <si>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</si>
  <si>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</si>
  <si>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</si>
  <si>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</si>
  <si>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</si>
  <si>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</si>
  <si>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</si>
  <si>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</si>
  <si>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</si>
  <si>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</si>
  <si>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</si>
  <si>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</si>
  <si>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</si>
  <si>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</si>
  <si>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</si>
  <si>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</si>
  <si>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</si>
  <si>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</si>
  <si>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</si>
  <si>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</si>
  <si>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</si>
  <si>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</si>
  <si>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</si>
  <si>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</si>
  <si>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</si>
  <si>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</si>
  <si>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</si>
  <si>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</si>
  <si>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</si>
  <si>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</si>
  <si>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</si>
  <si>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</si>
  <si>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</si>
  <si>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</si>
  <si>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</si>
  <si>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</si>
  <si>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</si>
  <si>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</si>
  <si>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</si>
  <si>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</si>
  <si>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</si>
  <si>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</si>
  <si>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</si>
  <si>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</si>
  <si>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</si>
  <si>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</si>
  <si>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</si>
  <si>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</si>
  <si>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</si>
  <si>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</si>
  <si>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</si>
  <si>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</si>
  <si>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</si>
  <si>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</si>
  <si>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</si>
  <si>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</si>
  <si>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</si>
  <si>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</si>
  <si>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</si>
  <si>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</si>
  <si>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</si>
  <si>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</si>
  <si>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</si>
  <si>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</si>
  <si>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</si>
  <si>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</si>
  <si>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</si>
  <si>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</si>
  <si>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</si>
  <si>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</si>
  <si>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</si>
  <si>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</si>
  <si>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</si>
  <si>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</si>
  <si>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</si>
  <si>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</si>
  <si>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</si>
  <si>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</si>
  <si>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</si>
  <si>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</si>
  <si>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</si>
  <si>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</si>
  <si>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</si>
  <si>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</si>
  <si>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</si>
  <si>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</si>
  <si>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</si>
  <si>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</si>
  <si>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</si>
  <si>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</si>
  <si>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</si>
  <si>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</si>
  <si>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</si>
  <si>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</si>
  <si>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</si>
  <si>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</si>
  <si>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</si>
  <si>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</si>
  <si>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</si>
  <si>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</si>
  <si>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</si>
  <si>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</si>
  <si>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</si>
  <si>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</si>
  <si>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</si>
  <si>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</si>
  <si>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</si>
  <si>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</si>
  <si>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</si>
  <si>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</si>
  <si>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</si>
  <si>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</si>
  <si>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</si>
  <si>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</si>
  <si>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</si>
  <si>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</si>
  <si>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</si>
  <si>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</si>
  <si>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</si>
  <si>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</si>
  <si>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</si>
  <si>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</si>
  <si>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</si>
  <si>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</si>
  <si>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</si>
  <si>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</si>
  <si>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</si>
  <si>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</si>
  <si>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</si>
  <si>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</si>
  <si>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</si>
  <si>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</si>
  <si>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</si>
  <si>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</si>
  <si>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</si>
  <si>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</si>
  <si>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</si>
  <si>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</si>
  <si>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</si>
  <si>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</si>
  <si>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</si>
  <si>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</si>
  <si>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</si>
  <si>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</si>
  <si>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</si>
  <si>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</si>
  <si>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</si>
  <si>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</si>
  <si>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</si>
  <si>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</si>
  <si>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</si>
  <si>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</si>
  <si>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</si>
  <si>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</si>
  <si>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</si>
  <si>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</si>
  <si>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</si>
  <si>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</si>
  <si>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</si>
  <si>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</si>
  <si>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</si>
  <si>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</si>
  <si>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</si>
  <si>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</si>
  <si>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</si>
  <si>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</si>
  <si>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</si>
  <si>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</si>
  <si>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</si>
  <si>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</si>
  <si>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</si>
  <si>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</si>
  <si>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</si>
  <si>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</si>
  <si>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</si>
  <si>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</si>
  <si>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</si>
  <si>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</si>
  <si>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</si>
  <si>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</si>
  <si>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</si>
  <si>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</si>
  <si>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</si>
  <si>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</si>
  <si>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</si>
  <si>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</si>
  <si>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</si>
  <si>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</si>
  <si>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</si>
  <si>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</si>
  <si>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</si>
  <si>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</si>
  <si>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</si>
  <si>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</si>
  <si>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</si>
  <si>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</si>
  <si>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</si>
  <si>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</si>
  <si>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</si>
  <si>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</si>
  <si>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</si>
  <si>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</si>
  <si>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</si>
  <si>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</si>
  <si>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</si>
  <si>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</si>
  <si>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</si>
  <si>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</si>
  <si>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</si>
  <si>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</si>
  <si>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</si>
  <si>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</si>
  <si>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</si>
  <si>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</si>
  <si>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</si>
  <si>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</si>
  <si>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</si>
  <si>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</si>
  <si>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</si>
  <si>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</si>
  <si>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</si>
  <si>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</si>
  <si>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</si>
  <si>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</si>
  <si>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</si>
  <si>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</si>
  <si>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</si>
  <si>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</si>
  <si>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</si>
  <si>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</si>
  <si>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</si>
  <si>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</si>
  <si>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</si>
  <si>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</si>
  <si>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</si>
  <si>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</si>
  <si>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</si>
  <si>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</si>
  <si>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</si>
  <si>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</si>
  <si>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</si>
  <si>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</si>
  <si>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</si>
  <si>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</si>
  <si>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</si>
  <si>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</si>
  <si>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</si>
  <si>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</si>
  <si>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</si>
  <si>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</si>
  <si>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</si>
  <si>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</si>
  <si>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</si>
  <si>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</si>
  <si>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</si>
  <si>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</si>
  <si>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</si>
  <si>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</si>
  <si>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</si>
  <si>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</si>
  <si>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</si>
  <si>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</si>
  <si>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</si>
  <si>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</si>
  <si>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</si>
  <si>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</si>
  <si>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</si>
  <si>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</si>
  <si>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</si>
  <si>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</si>
  <si>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</si>
  <si>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</si>
  <si>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</si>
  <si>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</si>
  <si>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</si>
  <si>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</si>
  <si>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</si>
  <si>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</si>
  <si>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</si>
  <si>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</si>
  <si>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</si>
  <si>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</si>
  <si>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</si>
  <si>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</si>
  <si>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</si>
  <si>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</si>
  <si>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</si>
  <si>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</si>
  <si>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</si>
  <si>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</si>
  <si>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</si>
  <si>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</si>
  <si>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</si>
  <si>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</si>
  <si>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</si>
  <si>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</si>
  <si>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</si>
  <si>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</si>
  <si>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</si>
  <si>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</si>
  <si>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</si>
  <si>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</si>
  <si>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</si>
  <si>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</si>
  <si>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</si>
  <si>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</si>
  <si>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</si>
  <si>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</si>
  <si>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</si>
  <si>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</si>
  <si>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</si>
  <si>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</si>
  <si>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</si>
  <si>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</si>
  <si>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</si>
  <si>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</si>
  <si>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</si>
  <si>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</si>
  <si>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</si>
  <si>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</si>
  <si>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</si>
  <si>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</si>
  <si>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</si>
  <si>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</si>
  <si>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</si>
  <si>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</si>
  <si>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</si>
  <si>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</si>
  <si>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</si>
  <si>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</si>
  <si>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</si>
  <si>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</si>
  <si>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</si>
  <si>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</si>
  <si>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</si>
  <si>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</si>
  <si>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</si>
  <si>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</si>
  <si>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</si>
  <si>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</si>
  <si>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</si>
  <si>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</si>
  <si>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</si>
  <si>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</si>
  <si>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</si>
  <si>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</si>
  <si>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</si>
  <si>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底商</t>
  </si>
  <si>
    <t>办公楼</t>
  </si>
  <si>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</si>
  <si>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</si>
  <si>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</si>
  <si>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</si>
  <si>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</si>
  <si>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</si>
  <si>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</si>
  <si>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</si>
  <si>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</si>
  <si>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</si>
  <si>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</si>
  <si>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</si>
  <si>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</si>
  <si>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</si>
  <si>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</si>
  <si>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</si>
  <si>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</si>
  <si>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</si>
  <si>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</si>
  <si>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</si>
  <si>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</si>
  <si>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</si>
  <si>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</si>
  <si>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</si>
  <si>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</si>
  <si>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</si>
  <si>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</si>
  <si>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</si>
  <si>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</si>
  <si>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</si>
  <si>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</si>
  <si>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</si>
  <si>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</si>
  <si>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</si>
  <si>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</si>
  <si>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</si>
  <si>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</si>
  <si>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</si>
  <si>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</si>
  <si>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</si>
  <si>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</si>
  <si>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</si>
  <si>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</si>
  <si>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</si>
  <si>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</si>
  <si>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</si>
  <si>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</si>
  <si>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</si>
  <si>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</si>
  <si>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</si>
  <si>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</si>
  <si>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</si>
  <si>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</si>
  <si>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</si>
  <si>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</si>
  <si>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</si>
  <si>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</si>
  <si>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</si>
  <si>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</si>
  <si>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</si>
  <si>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</si>
  <si>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</si>
  <si>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</si>
  <si>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</si>
  <si>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</si>
  <si>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</si>
  <si>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</si>
  <si>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</si>
  <si>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</si>
  <si>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</si>
  <si>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</si>
  <si>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</si>
  <si>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</si>
  <si>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</si>
  <si>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</si>
  <si>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</si>
  <si>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</si>
  <si>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</si>
  <si>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</si>
  <si>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</si>
  <si>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</si>
  <si>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</si>
  <si>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</si>
  <si>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</si>
  <si>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</si>
  <si>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</si>
  <si>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</si>
  <si>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</si>
  <si>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</si>
  <si>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</si>
  <si>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</si>
  <si>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</si>
  <si>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</si>
  <si>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</si>
  <si>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</si>
  <si>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写字楼配套</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</si>
  <si>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</si>
  <si>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</si>
  <si>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</si>
  <si>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</si>
  <si>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</si>
  <si>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</si>
  <si>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</si>
  <si>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</si>
  <si>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</si>
  <si>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</si>
  <si>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</si>
  <si>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</si>
  <si>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燃气</t>
  </si>
  <si>
    <t>1、北京市通州区北京城市副中心FZX-0101-0902地块F3其他类多功能用地(住商办六级VI-通3)</t>
    <phoneticPr fontId="282" type="noConversion"/>
  </si>
  <si>
    <t>通下水</t>
  </si>
  <si>
    <t>通热</t>
  </si>
  <si>
    <t>保利大都汇</t>
    <phoneticPr fontId="228" type="noConversion"/>
  </si>
  <si>
    <t>储备</t>
  </si>
  <si>
    <t>简单装修</t>
  </si>
  <si>
    <t>复兴里</t>
    <phoneticPr fontId="228"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</si>
  <si>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</si>
  <si>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</si>
  <si>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</si>
  <si>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</si>
  <si>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</si>
  <si>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</si>
  <si>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</si>
  <si>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基础设施水平</t>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</si>
  <si>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</si>
  <si>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r>
      <rPr>
        <sz val="11"/>
        <color indexed="8"/>
        <rFont val="仿宋_GB2312"/>
        <family val="3"/>
        <charset val="134"/>
      </rPr>
      <t>人流量</t>
    </r>
    <phoneticPr fontId="3" type="noConversion"/>
  </si>
  <si>
    <t xml:space="preserve">临街 </t>
    <phoneticPr fontId="3" type="noConversion"/>
  </si>
  <si>
    <t>单面临街</t>
    <phoneticPr fontId="3" type="noConversion"/>
  </si>
  <si>
    <t>个别因素</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</si>
  <si>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</si>
  <si>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</si>
  <si>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</si>
  <si>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</si>
  <si>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</si>
  <si>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</si>
  <si>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</si>
  <si>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</si>
  <si>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城市主干道</t>
    <phoneticPr fontId="3" type="noConversion"/>
  </si>
  <si>
    <t>城市次干道</t>
    <phoneticPr fontId="3" type="noConversion"/>
  </si>
  <si>
    <t>一般</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</si>
  <si>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</si>
  <si>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</si>
  <si>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商业街</t>
    <phoneticPr fontId="3" type="noConversion"/>
  </si>
  <si>
    <t>住宅配套</t>
    <phoneticPr fontId="3" type="noConversion"/>
  </si>
  <si>
    <t>通瑞新天地</t>
    <phoneticPr fontId="228" type="noConversion"/>
  </si>
  <si>
    <t>潞河名苑</t>
    <phoneticPr fontId="228" type="noConversion"/>
  </si>
  <si>
    <t>珠江东都国际</t>
    <phoneticPr fontId="228" type="noConversion"/>
  </si>
  <si>
    <r>
      <rPr>
        <b/>
        <sz val="16"/>
        <rFont val="仿宋_GB2312"/>
        <family val="3"/>
        <charset val="134"/>
      </rPr>
      <t>办公</t>
    </r>
    <phoneticPr fontId="3" type="noConversion"/>
  </si>
  <si>
    <t>北京惠通中心</t>
    <phoneticPr fontId="3" type="noConversion"/>
  </si>
  <si>
    <t>挂牌</t>
  </si>
  <si>
    <r>
      <rPr>
        <sz val="11"/>
        <rFont val="宋体"/>
        <family val="3"/>
        <charset val="134"/>
      </rPr>
      <t>城市次干道</t>
    </r>
    <r>
      <rPr>
        <sz val="11"/>
        <rFont val="Arial"/>
        <family val="2"/>
      </rPr>
      <t>-</t>
    </r>
    <r>
      <rPr>
        <sz val="11"/>
        <rFont val="宋体"/>
        <family val="3"/>
        <charset val="134"/>
      </rPr>
      <t>现状规划路</t>
    </r>
    <phoneticPr fontId="3" type="noConversion"/>
  </si>
  <si>
    <r>
      <rPr>
        <sz val="11"/>
        <rFont val="宋体"/>
        <family val="3"/>
        <charset val="134"/>
      </rPr>
      <t>城市次干道</t>
    </r>
    <r>
      <rPr>
        <sz val="11"/>
        <rFont val="Arial"/>
        <family val="2"/>
      </rPr>
      <t>-</t>
    </r>
    <r>
      <rPr>
        <sz val="11"/>
        <rFont val="宋体"/>
        <family val="3"/>
        <charset val="134"/>
      </rPr>
      <t>滨榆西路</t>
    </r>
    <phoneticPr fontId="3" type="noConversion"/>
  </si>
  <si>
    <r>
      <rPr>
        <sz val="11"/>
        <rFont val="宋体"/>
        <family val="3"/>
        <charset val="134"/>
      </rPr>
      <t>城市主干道</t>
    </r>
    <r>
      <rPr>
        <sz val="11"/>
        <rFont val="Arial"/>
        <family val="2"/>
      </rPr>
      <t>-</t>
    </r>
    <r>
      <rPr>
        <sz val="11"/>
        <rFont val="宋体"/>
        <family val="3"/>
        <charset val="134"/>
      </rPr>
      <t>通惠南路</t>
    </r>
    <phoneticPr fontId="3" type="noConversion"/>
  </si>
  <si>
    <r>
      <rPr>
        <sz val="11"/>
        <rFont val="宋体"/>
        <family val="3"/>
        <charset val="134"/>
      </rPr>
      <t>城市主干道</t>
    </r>
    <r>
      <rPr>
        <sz val="11"/>
        <rFont val="Arial"/>
        <family val="2"/>
      </rPr>
      <t>-</t>
    </r>
    <r>
      <rPr>
        <sz val="11"/>
        <rFont val="宋体"/>
        <family val="3"/>
        <charset val="134"/>
      </rPr>
      <t>新华西街</t>
    </r>
    <phoneticPr fontId="3" type="noConversion"/>
  </si>
  <si>
    <t>整栋</t>
  </si>
  <si>
    <t>高层</t>
  </si>
  <si>
    <t>挂牌</t>
    <phoneticPr fontId="3" type="noConversion"/>
  </si>
  <si>
    <t>中层</t>
    <phoneticPr fontId="3" type="noConversion"/>
  </si>
  <si>
    <t>整栋</t>
    <phoneticPr fontId="3" type="noConversion"/>
  </si>
  <si>
    <t>低层</t>
    <phoneticPr fontId="3" type="noConversion"/>
  </si>
  <si>
    <t>金融街园中园</t>
    <phoneticPr fontId="228" type="noConversion"/>
  </si>
  <si>
    <t>北京惠通中心</t>
    <phoneticPr fontId="228" type="noConversion"/>
  </si>
  <si>
    <t>万方大厦</t>
    <phoneticPr fontId="228" type="noConversion"/>
  </si>
  <si>
    <t>较大</t>
    <phoneticPr fontId="3" type="noConversion"/>
  </si>
  <si>
    <t>较小</t>
    <phoneticPr fontId="3" type="noConversion"/>
  </si>
  <si>
    <t>商业街</t>
    <phoneticPr fontId="228" type="noConversion"/>
  </si>
  <si>
    <t>售价</t>
  </si>
  <si>
    <t>2021-4</t>
    <phoneticPr fontId="3" type="noConversion"/>
  </si>
  <si>
    <t>2021-3</t>
    <phoneticPr fontId="3" type="noConversion"/>
  </si>
  <si>
    <t>商业</t>
    <phoneticPr fontId="228" type="noConversion"/>
  </si>
  <si>
    <t>商务公寓</t>
    <phoneticPr fontId="228" type="noConversion"/>
  </si>
  <si>
    <t>公寓</t>
  </si>
  <si>
    <t>公寓</t>
    <phoneticPr fontId="7" type="noConversion"/>
  </si>
  <si>
    <r>
      <rPr>
        <sz val="11"/>
        <color theme="1"/>
        <rFont val="宋体"/>
        <family val="3"/>
        <charset val="134"/>
      </rPr>
      <t>商业</t>
    </r>
    <r>
      <rPr>
        <sz val="11"/>
        <color theme="1"/>
        <rFont val="Arial"/>
        <family val="2"/>
      </rPr>
      <t>-</t>
    </r>
    <r>
      <rPr>
        <sz val="11"/>
        <color theme="1"/>
        <rFont val="宋体"/>
        <family val="3"/>
        <charset val="134"/>
      </rPr>
      <t>自持</t>
    </r>
    <phoneticPr fontId="14" type="noConversion"/>
  </si>
  <si>
    <r>
      <rPr>
        <sz val="11"/>
        <color theme="1"/>
        <rFont val="宋体"/>
        <family val="3"/>
        <charset val="134"/>
      </rPr>
      <t>办公</t>
    </r>
    <r>
      <rPr>
        <sz val="11"/>
        <color theme="1"/>
        <rFont val="Arial"/>
        <family val="2"/>
      </rPr>
      <t>-</t>
    </r>
    <r>
      <rPr>
        <sz val="11"/>
        <color theme="1"/>
        <rFont val="宋体"/>
        <family val="3"/>
        <charset val="134"/>
      </rPr>
      <t>自持</t>
    </r>
    <phoneticPr fontId="14" type="noConversion"/>
  </si>
  <si>
    <t>复地时代中心</t>
    <phoneticPr fontId="228" type="noConversion"/>
  </si>
  <si>
    <t>通州富力中心</t>
    <phoneticPr fontId="228" type="noConversion"/>
  </si>
  <si>
    <t>合景中心</t>
    <phoneticPr fontId="228" type="noConversion"/>
  </si>
  <si>
    <t>城市支路</t>
  </si>
  <si>
    <r>
      <rPr>
        <sz val="11"/>
        <rFont val="宋体"/>
        <family val="3"/>
        <charset val="134"/>
      </rPr>
      <t>城市支路</t>
    </r>
    <r>
      <rPr>
        <sz val="11"/>
        <rFont val="Arial"/>
        <family val="2"/>
      </rPr>
      <t>-</t>
    </r>
    <r>
      <rPr>
        <sz val="11"/>
        <rFont val="宋体"/>
        <family val="3"/>
        <charset val="134"/>
      </rPr>
      <t>滨榆西路</t>
    </r>
    <phoneticPr fontId="3" type="noConversion"/>
  </si>
  <si>
    <t>城市支路</t>
    <phoneticPr fontId="228" type="noConversion"/>
  </si>
  <si>
    <t>距北运河距离</t>
    <phoneticPr fontId="228" type="noConversion"/>
  </si>
  <si>
    <r>
      <rPr>
        <sz val="11"/>
        <color indexed="8"/>
        <rFont val="宋体"/>
        <family val="3"/>
        <charset val="134"/>
      </rPr>
      <t>小于</t>
    </r>
    <r>
      <rPr>
        <sz val="11"/>
        <color indexed="8"/>
        <rFont val="Arial"/>
        <family val="2"/>
      </rPr>
      <t>500</t>
    </r>
    <r>
      <rPr>
        <sz val="11"/>
        <color indexed="8"/>
        <rFont val="宋体"/>
        <family val="3"/>
        <charset val="134"/>
      </rPr>
      <t>米</t>
    </r>
    <phoneticPr fontId="228" type="noConversion"/>
  </si>
  <si>
    <r>
      <t>500-1000</t>
    </r>
    <r>
      <rPr>
        <sz val="11"/>
        <color indexed="8"/>
        <rFont val="宋体"/>
        <family val="3"/>
        <charset val="134"/>
      </rPr>
      <t>米</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</si>
</sst>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
      <sz val="11"/>
      <color theme="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415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0" fontId="158" fillId="6" borderId="0" xfId="13"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286" fillId="0" borderId="2" xfId="16" applyFont="1" applyFill="1" applyBorder="1" applyAlignment="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51" fillId="5" borderId="4" xfId="1" applyFont="1" applyFill="1" applyBorder="1">
      <alignment vertical="center"/>
    </xf>
    <xf numFmtId="0" fontId="101" fillId="5" borderId="14" xfId="1" applyFont="1" applyFill="1" applyBorder="1" applyAlignment="1">
      <alignment horizontal="right" vertical="center"/>
    </xf>
    <xf numFmtId="0" fontId="101" fillId="5" borderId="0" xfId="1" applyFont="1" applyFill="1" applyAlignment="1">
      <alignment horizontal="center" vertical="center"/>
    </xf>
    <xf numFmtId="0" fontId="212" fillId="2" borderId="14" xfId="1" applyFont="1" applyFill="1" applyBorder="1" applyProtection="1">
      <alignment vertical="center"/>
      <protection locked="0"/>
    </xf>
    <xf numFmtId="0" fontId="101" fillId="5" borderId="14" xfId="1" applyFont="1" applyFill="1" applyBorder="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lignment vertical="center"/>
    </xf>
    <xf numFmtId="188" fontId="101" fillId="5" borderId="14" xfId="1" applyNumberFormat="1" applyFont="1" applyFill="1" applyBorder="1" applyAlignment="1">
      <alignment horizontal="center" vertical="center"/>
    </xf>
    <xf numFmtId="182" fontId="101" fillId="5" borderId="14" xfId="1" applyNumberFormat="1" applyFont="1" applyFill="1" applyBorder="1" applyProtection="1">
      <alignment vertical="center"/>
      <protection locked="0"/>
    </xf>
    <xf numFmtId="0" fontId="101" fillId="5" borderId="14" xfId="1" applyFont="1" applyFill="1" applyBorder="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8" fillId="0" borderId="0" xfId="1" applyFont="1" applyAlignment="1">
      <alignment horizontal="center" vertical="center"/>
    </xf>
    <xf numFmtId="0" fontId="97" fillId="5" borderId="2" xfId="2" applyFont="1" applyFill="1" applyBorder="1">
      <alignment vertical="center"/>
    </xf>
    <xf numFmtId="0" fontId="97" fillId="5" borderId="2" xfId="1" applyFont="1" applyFill="1" applyBorder="1" applyAlignment="1">
      <alignment horizontal="right" vertical="center"/>
    </xf>
    <xf numFmtId="0" fontId="97" fillId="5" borderId="0" xfId="1" applyFont="1" applyFill="1" applyProtection="1">
      <alignment vertical="center"/>
      <protection locked="0"/>
    </xf>
    <xf numFmtId="0" fontId="102" fillId="5" borderId="0" xfId="1" applyFont="1" applyFill="1" applyProtection="1">
      <alignment vertical="center"/>
      <protection locked="0"/>
    </xf>
    <xf numFmtId="0" fontId="101" fillId="5" borderId="0" xfId="1" applyFont="1" applyFill="1" applyProtection="1">
      <alignment vertical="center"/>
      <protection locked="0"/>
    </xf>
    <xf numFmtId="182" fontId="101" fillId="5" borderId="0" xfId="1" applyNumberFormat="1" applyFont="1" applyFill="1" applyProtection="1">
      <alignment vertical="center"/>
      <protection locked="0"/>
    </xf>
    <xf numFmtId="0" fontId="97" fillId="5" borderId="10" xfId="2" applyFont="1" applyFill="1" applyBorder="1">
      <alignment vertical="center"/>
    </xf>
    <xf numFmtId="185" fontId="97" fillId="5" borderId="10" xfId="1" applyNumberFormat="1" applyFont="1" applyFill="1" applyBorder="1" applyAlignment="1">
      <alignment horizontal="right" vertical="center"/>
    </xf>
    <xf numFmtId="0" fontId="97" fillId="5" borderId="10" xfId="1" applyFont="1" applyFill="1" applyBorder="1" applyAlignment="1">
      <alignment horizontal="center" vertical="center"/>
    </xf>
    <xf numFmtId="0" fontId="97" fillId="5" borderId="10" xfId="1" applyFont="1" applyFill="1" applyBorder="1" applyAlignment="1">
      <alignment horizontal="right" vertical="center"/>
    </xf>
    <xf numFmtId="188" fontId="101" fillId="5" borderId="0" xfId="1" applyNumberFormat="1" applyFont="1" applyFill="1" applyAlignment="1" applyProtection="1">
      <alignment horizontal="center" vertical="center"/>
      <protection locked="0"/>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8" fontId="71" fillId="5" borderId="9" xfId="1" applyNumberFormat="1" applyFont="1" applyFill="1" applyBorder="1" applyAlignment="1">
      <alignment horizontal="center"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lignment horizontal="center" vertical="center"/>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59" xfId="1" applyFont="1" applyFill="1" applyBorder="1" applyAlignment="1">
      <alignment vertical="center" wrapText="1"/>
    </xf>
    <xf numFmtId="0" fontId="75" fillId="5" borderId="57" xfId="1" applyFont="1" applyFill="1" applyBorder="1" applyAlignment="1">
      <alignment horizontal="lef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0" fontId="71" fillId="5" borderId="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lignment horizontal="center" vertical="center"/>
    </xf>
    <xf numFmtId="0" fontId="75" fillId="5" borderId="64" xfId="1" applyFont="1" applyFill="1" applyBorder="1" applyAlignment="1">
      <alignment vertical="center" wrapText="1"/>
    </xf>
    <xf numFmtId="0" fontId="75" fillId="5" borderId="16" xfId="1" applyFont="1" applyFill="1" applyBorder="1" applyAlignment="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lignment vertical="center" wrapText="1"/>
    </xf>
    <xf numFmtId="0" fontId="75" fillId="5" borderId="63" xfId="1" applyFont="1" applyFill="1" applyBorder="1" applyAlignment="1">
      <alignment horizontal="left" vertical="center" wrapText="1"/>
    </xf>
    <xf numFmtId="0" fontId="71" fillId="0" borderId="59" xfId="1" applyFont="1" applyBorder="1" applyAlignment="1" applyProtection="1">
      <alignment horizontal="center" vertical="center" wrapText="1"/>
      <protection locked="0"/>
    </xf>
    <xf numFmtId="0" fontId="71" fillId="5" borderId="7" xfId="1" applyFont="1" applyFill="1" applyBorder="1" applyAlignment="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lignment horizontal="center" vertical="center" wrapText="1"/>
    </xf>
    <xf numFmtId="0" fontId="103" fillId="5" borderId="64" xfId="1" applyFont="1" applyFill="1" applyBorder="1" applyAlignment="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Alignment="1">
      <alignment horizontal="center" vertical="center"/>
    </xf>
    <xf numFmtId="0" fontId="83" fillId="5" borderId="6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lignment vertical="center" wrapText="1"/>
    </xf>
    <xf numFmtId="0" fontId="75" fillId="8" borderId="63" xfId="1" applyFont="1" applyFill="1" applyBorder="1" applyAlignment="1" applyProtection="1">
      <alignment horizontal="left" vertical="center" wrapText="1"/>
      <protection locked="0"/>
    </xf>
    <xf numFmtId="0" fontId="71" fillId="0" borderId="50" xfId="1" applyFont="1" applyBorder="1" applyAlignment="1" applyProtection="1">
      <alignment horizontal="center" vertical="center" wrapText="1"/>
      <protection locked="0"/>
    </xf>
    <xf numFmtId="0" fontId="71" fillId="5" borderId="63" xfId="1" applyFont="1" applyFill="1" applyBorder="1" applyAlignment="1">
      <alignment horizontal="center" vertical="center" wrapText="1"/>
    </xf>
    <xf numFmtId="0" fontId="84" fillId="0" borderId="64" xfId="1" applyFont="1" applyBorder="1" applyAlignment="1" applyProtection="1">
      <alignment horizontal="center" vertical="center" wrapText="1"/>
      <protection locked="0"/>
    </xf>
    <xf numFmtId="0" fontId="84" fillId="0" borderId="8" xfId="1" applyFont="1" applyBorder="1" applyAlignment="1" applyProtection="1">
      <alignment horizontal="center" vertical="center" wrapText="1"/>
      <protection locked="0"/>
    </xf>
    <xf numFmtId="0" fontId="106" fillId="5" borderId="9" xfId="1" applyFont="1" applyFill="1" applyBorder="1" applyAlignment="1">
      <alignment horizontal="center" vertical="center" wrapText="1"/>
    </xf>
    <xf numFmtId="0" fontId="84" fillId="5" borderId="12" xfId="1" applyFont="1" applyFill="1" applyBorder="1" applyAlignment="1">
      <alignment horizontal="center" vertical="center" wrapText="1"/>
    </xf>
    <xf numFmtId="182" fontId="105" fillId="5" borderId="0" xfId="1" applyNumberFormat="1" applyFont="1" applyFill="1" applyAlignment="1" applyProtection="1">
      <alignment horizontal="center" vertical="center" wrapText="1"/>
      <protection locked="0"/>
    </xf>
    <xf numFmtId="0" fontId="83" fillId="8" borderId="54" xfId="1" applyFont="1" applyFill="1" applyBorder="1" applyAlignment="1">
      <alignment vertical="center" wrapText="1"/>
    </xf>
    <xf numFmtId="0" fontId="75" fillId="8" borderId="66" xfId="1" applyFont="1" applyFill="1" applyBorder="1" applyAlignment="1" applyProtection="1">
      <alignment horizontal="left"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247" fillId="5" borderId="24"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40"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22" xfId="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3" fillId="5" borderId="24" xfId="1" applyFont="1" applyFill="1" applyBorder="1" applyAlignment="1">
      <alignment vertical="center" wrapText="1"/>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2" xfId="1" applyFont="1" applyFill="1" applyBorder="1" applyAlignment="1">
      <alignment horizontal="center" vertical="center" wrapText="1"/>
    </xf>
    <xf numFmtId="0" fontId="106" fillId="5" borderId="50" xfId="1" applyFont="1" applyFill="1" applyBorder="1" applyAlignment="1">
      <alignment horizontal="center" vertical="center" wrapText="1"/>
    </xf>
    <xf numFmtId="0" fontId="71" fillId="5" borderId="4" xfId="1" applyFont="1" applyFill="1" applyBorder="1" applyAlignment="1">
      <alignment horizontal="center" vertical="center" wrapText="1"/>
    </xf>
    <xf numFmtId="0" fontId="84" fillId="5" borderId="22"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13"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lignment horizontal="center" vertical="center" wrapText="1"/>
    </xf>
    <xf numFmtId="49" fontId="84" fillId="0" borderId="32" xfId="1" applyNumberFormat="1" applyFont="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49" fontId="84" fillId="0" borderId="22" xfId="1" applyNumberFormat="1" applyFont="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52" fillId="5" borderId="13"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106" fillId="5" borderId="24" xfId="1" applyFont="1" applyFill="1" applyBorder="1" applyAlignment="1">
      <alignment horizontal="center" vertical="center" wrapText="1"/>
    </xf>
    <xf numFmtId="49" fontId="84" fillId="5" borderId="22" xfId="1" applyNumberFormat="1" applyFont="1" applyFill="1" applyBorder="1" applyAlignment="1">
      <alignment horizontal="center" vertical="center" wrapText="1"/>
    </xf>
    <xf numFmtId="0" fontId="71" fillId="5" borderId="5" xfId="1" applyFont="1" applyFill="1" applyBorder="1" applyAlignment="1">
      <alignment horizontal="center" vertical="center" wrapText="1"/>
    </xf>
    <xf numFmtId="0" fontId="84" fillId="2" borderId="64"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5" xfId="1" applyFont="1" applyBorder="1" applyAlignment="1" applyProtection="1">
      <alignment horizontal="center" vertical="center" wrapText="1"/>
      <protection locked="0"/>
    </xf>
    <xf numFmtId="0" fontId="75" fillId="5" borderId="24" xfId="1" applyFont="1" applyFill="1" applyBorder="1" applyAlignment="1">
      <alignment vertical="center" wrapText="1"/>
    </xf>
    <xf numFmtId="0" fontId="71" fillId="2" borderId="50" xfId="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1" fillId="0" borderId="5" xfId="1" applyFont="1" applyBorder="1" applyAlignment="1" applyProtection="1">
      <alignment horizontal="center" vertical="center" wrapText="1"/>
      <protection locked="0"/>
    </xf>
    <xf numFmtId="0" fontId="144"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wrapText="1"/>
    </xf>
    <xf numFmtId="0" fontId="84" fillId="5" borderId="45" xfId="1" applyFont="1" applyFill="1" applyBorder="1" applyAlignment="1">
      <alignment horizontal="center" vertical="center" wrapText="1"/>
    </xf>
    <xf numFmtId="0" fontId="247"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Font="1" applyFill="1" applyBorder="1" applyAlignment="1">
      <alignment horizontal="center" vertical="center" wrapText="1"/>
    </xf>
    <xf numFmtId="0" fontId="100" fillId="5" borderId="24" xfId="1" applyFont="1" applyFill="1" applyBorder="1" applyAlignment="1">
      <alignment vertical="center" textRotation="255" wrapText="1"/>
    </xf>
    <xf numFmtId="0" fontId="71" fillId="0" borderId="64"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lignment horizontal="center" vertical="center"/>
    </xf>
    <xf numFmtId="0" fontId="83" fillId="5" borderId="24" xfId="1" applyFont="1" applyFill="1" applyBorder="1" applyAlignment="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52" fillId="5" borderId="5" xfId="1" applyFont="1" applyFill="1" applyBorder="1" applyAlignment="1">
      <alignment horizontal="center" vertical="center" wrapText="1"/>
    </xf>
    <xf numFmtId="17" fontId="80" fillId="0" borderId="64" xfId="1" applyNumberFormat="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0" fontId="71" fillId="0" borderId="45" xfId="1" applyFont="1" applyBorder="1" applyAlignment="1" applyProtection="1">
      <alignment horizontal="center" vertical="center" wrapText="1"/>
      <protection locked="0"/>
    </xf>
    <xf numFmtId="49" fontId="83" fillId="5" borderId="59" xfId="1" applyNumberFormat="1" applyFont="1" applyFill="1" applyBorder="1">
      <alignment vertical="center"/>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8" fontId="84" fillId="5" borderId="9" xfId="1" applyNumberFormat="1" applyFont="1" applyFill="1" applyBorder="1" applyAlignment="1">
      <alignment horizontal="center" vertical="center"/>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0" fontId="95" fillId="17" borderId="48" xfId="1" applyFont="1" applyFill="1" applyBorder="1" applyAlignment="1" applyProtection="1">
      <alignment horizontal="left" vertical="center" wrapText="1"/>
      <protection locked="0"/>
    </xf>
    <xf numFmtId="0" fontId="83" fillId="5" borderId="56" xfId="1" applyFont="1" applyFill="1" applyBorder="1" applyAlignment="1">
      <alignment vertical="center" wrapText="1"/>
    </xf>
    <xf numFmtId="182" fontId="83" fillId="17" borderId="48" xfId="1" applyNumberFormat="1" applyFont="1" applyFill="1" applyBorder="1" applyAlignment="1" applyProtection="1">
      <alignment horizontal="left" vertical="center" wrapText="1"/>
      <protection locked="0"/>
    </xf>
    <xf numFmtId="177" fontId="84" fillId="17" borderId="16" xfId="1" applyNumberFormat="1" applyFont="1" applyFill="1" applyBorder="1" applyAlignment="1">
      <alignment horizontal="lef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188" fontId="84" fillId="5" borderId="2" xfId="1" applyNumberFormat="1" applyFont="1" applyFill="1" applyBorder="1" applyAlignment="1">
      <alignment horizontal="center" vertical="center" wrapText="1"/>
    </xf>
    <xf numFmtId="0" fontId="84" fillId="13" borderId="0" xfId="1" applyFont="1" applyFill="1" applyAlignment="1" applyProtection="1">
      <alignment horizontal="center" vertical="center"/>
      <protection locked="0"/>
    </xf>
    <xf numFmtId="9" fontId="84" fillId="13" borderId="0" xfId="1" applyNumberFormat="1" applyFont="1" applyFill="1" applyAlignment="1" applyProtection="1">
      <alignment horizontal="center" vertical="center"/>
      <protection locked="0"/>
    </xf>
    <xf numFmtId="188" fontId="84" fillId="13"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13" borderId="0" xfId="1" applyFont="1" applyFill="1" applyAlignment="1" applyProtection="1">
      <alignment horizontal="center" vertical="center"/>
      <protection locked="0"/>
    </xf>
    <xf numFmtId="188" fontId="105" fillId="13"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188" fontId="84" fillId="5" borderId="0" xfId="1" applyNumberFormat="1" applyFont="1" applyFill="1" applyAlignment="1">
      <alignment horizontal="center"/>
    </xf>
    <xf numFmtId="182" fontId="84" fillId="5" borderId="0" xfId="1" applyNumberFormat="1" applyFont="1" applyFill="1" applyAlignment="1"/>
    <xf numFmtId="0" fontId="84" fillId="5" borderId="0" xfId="1" applyFont="1" applyFill="1" applyAlignment="1" applyProtection="1">
      <protection locked="0"/>
    </xf>
    <xf numFmtId="9" fontId="71" fillId="5" borderId="0" xfId="1" applyNumberFormat="1" applyFont="1" applyFill="1" applyAlignment="1" applyProtection="1">
      <alignment horizontal="center" vertical="center" wrapText="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42"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5" borderId="0" xfId="1" applyNumberFormat="1" applyFont="1" applyFill="1" applyAlignment="1" applyProtection="1">
      <alignment horizontal="center" vertical="center"/>
      <protection locked="0"/>
    </xf>
    <xf numFmtId="49" fontId="71" fillId="0" borderId="0" xfId="1" applyNumberFormat="1" applyFont="1" applyAlignment="1">
      <alignment horizontal="center" vertical="center"/>
    </xf>
    <xf numFmtId="0" fontId="75" fillId="5" borderId="31" xfId="1" applyFont="1" applyFill="1" applyBorder="1" applyAlignment="1">
      <alignment vertical="center" wrapText="1"/>
    </xf>
    <xf numFmtId="0" fontId="75" fillId="5" borderId="18" xfId="1" applyFont="1" applyFill="1" applyBorder="1" applyAlignment="1">
      <alignment vertical="center" wrapText="1"/>
    </xf>
    <xf numFmtId="0" fontId="71" fillId="5" borderId="32" xfId="1" applyFont="1" applyFill="1" applyBorder="1" applyAlignment="1">
      <alignment horizontal="center" vertical="center" wrapText="1"/>
    </xf>
    <xf numFmtId="0" fontId="71" fillId="0" borderId="10" xfId="1" applyFont="1" applyBorder="1" applyAlignment="1" applyProtection="1">
      <alignment horizontal="center" vertical="center" wrapText="1"/>
      <protection locked="0"/>
    </xf>
    <xf numFmtId="0" fontId="71" fillId="0" borderId="4"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1" fillId="0" borderId="69"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149" fillId="5" borderId="0" xfId="1" applyFont="1" applyFill="1" applyProtection="1">
      <alignment vertical="center"/>
      <protection locked="0"/>
    </xf>
    <xf numFmtId="0" fontId="71" fillId="0" borderId="32" xfId="1" applyFont="1" applyBorder="1" applyAlignment="1" applyProtection="1">
      <alignment horizontal="center" vertical="center" wrapText="1"/>
      <protection locked="0"/>
    </xf>
    <xf numFmtId="0" fontId="71" fillId="5" borderId="0" xfId="1" applyFont="1" applyFill="1" applyAlignment="1">
      <alignment horizontal="center" vertical="center"/>
    </xf>
    <xf numFmtId="0" fontId="83" fillId="5" borderId="53" xfId="1" applyFont="1" applyFill="1" applyBorder="1" applyAlignment="1">
      <alignment vertical="center" wrapText="1"/>
    </xf>
    <xf numFmtId="0" fontId="71" fillId="5" borderId="27"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5" borderId="0" xfId="1" applyNumberFormat="1" applyFont="1" applyFill="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5" borderId="0" xfId="1" applyNumberFormat="1" applyFont="1" applyFill="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80" fillId="5" borderId="0" xfId="1" applyFont="1" applyFill="1" applyAlignment="1" applyProtection="1">
      <alignment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0" xfId="1" applyFont="1" applyFill="1" applyAlignment="1" applyProtection="1">
      <alignment vertical="center" wrapText="1"/>
      <protection locked="0"/>
    </xf>
    <xf numFmtId="0" fontId="71" fillId="5" borderId="74" xfId="1" applyFont="1" applyFill="1" applyBorder="1" applyAlignment="1">
      <alignment horizontal="center" vertical="center" wrapText="1"/>
    </xf>
    <xf numFmtId="0" fontId="52" fillId="5" borderId="73" xfId="1" applyFont="1" applyFill="1" applyBorder="1" applyAlignment="1">
      <alignment horizontal="center" vertical="center" wrapText="1"/>
    </xf>
    <xf numFmtId="0" fontId="52" fillId="5" borderId="3" xfId="1" applyFont="1" applyFill="1" applyBorder="1" applyAlignment="1">
      <alignment horizontal="center" vertical="center" wrapText="1"/>
    </xf>
    <xf numFmtId="0" fontId="58" fillId="5" borderId="3" xfId="1" applyFont="1" applyFill="1" applyBorder="1" applyAlignment="1">
      <alignment horizontal="center" vertical="center" wrapText="1"/>
    </xf>
    <xf numFmtId="0" fontId="84" fillId="5" borderId="75"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5" borderId="71" xfId="1" applyFont="1" applyFill="1" applyBorder="1" applyAlignment="1">
      <alignment horizontal="center" vertical="center" wrapText="1"/>
    </xf>
    <xf numFmtId="0" fontId="71" fillId="0" borderId="78" xfId="1" applyFont="1" applyBorder="1" applyAlignment="1" applyProtection="1">
      <alignment horizontal="center" vertical="center"/>
      <protection locked="0"/>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144" fillId="0" borderId="6" xfId="1" applyFont="1" applyBorder="1" applyAlignment="1" applyProtection="1">
      <alignment horizontal="center" vertical="center" wrapText="1"/>
      <protection locked="0"/>
    </xf>
    <xf numFmtId="0" fontId="71" fillId="5" borderId="75" xfId="1" applyFont="1" applyFill="1" applyBorder="1" applyAlignment="1">
      <alignment horizontal="center" vertical="center" wrapText="1"/>
    </xf>
    <xf numFmtId="0" fontId="71" fillId="5" borderId="13" xfId="1" applyFont="1" applyFill="1" applyBorder="1" applyAlignment="1">
      <alignment horizontal="center" vertical="center"/>
    </xf>
    <xf numFmtId="0" fontId="7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0" fontId="84"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left" vertical="center" wrapText="1"/>
      <protection locked="0"/>
    </xf>
    <xf numFmtId="0" fontId="105" fillId="0" borderId="52" xfId="1" applyFont="1" applyBorder="1" applyAlignment="1" applyProtection="1">
      <alignment horizontal="center" vertical="center" wrapText="1"/>
      <protection locked="0"/>
    </xf>
    <xf numFmtId="0" fontId="149" fillId="0" borderId="74" xfId="1" applyFont="1" applyBorder="1" applyAlignment="1" applyProtection="1">
      <alignment horizontal="center" vertical="center" wrapText="1"/>
      <protection locked="0"/>
    </xf>
    <xf numFmtId="0" fontId="84" fillId="0" borderId="0" xfId="1" applyFont="1" applyAlignment="1" applyProtection="1">
      <alignment horizontal="center" vertical="center"/>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188" fontId="84" fillId="0" borderId="0" xfId="1" applyNumberFormat="1" applyFont="1" applyAlignment="1">
      <alignment horizontal="center" vertical="center"/>
    </xf>
    <xf numFmtId="182" fontId="84" fillId="0" borderId="0" xfId="1" applyNumberFormat="1" applyFont="1" applyAlignment="1">
      <alignment horizontal="center" vertical="center"/>
    </xf>
    <xf numFmtId="0" fontId="101" fillId="2" borderId="14" xfId="1" applyFont="1" applyFill="1" applyBorder="1" applyProtection="1">
      <alignment vertical="center"/>
      <protection locked="0"/>
    </xf>
    <xf numFmtId="0" fontId="101" fillId="5" borderId="13" xfId="1" applyFont="1" applyFill="1" applyBorder="1" applyAlignment="1" applyProtection="1">
      <alignment horizontal="center" vertical="center"/>
      <protection locked="0"/>
    </xf>
    <xf numFmtId="0" fontId="71" fillId="0" borderId="20" xfId="1" applyFont="1" applyBorder="1" applyAlignment="1" applyProtection="1">
      <alignment horizontal="center" vertical="center" wrapText="1"/>
      <protection locked="0"/>
    </xf>
    <xf numFmtId="0" fontId="71" fillId="0" borderId="23" xfId="1" applyFont="1" applyBorder="1" applyAlignment="1" applyProtection="1">
      <alignment horizontal="center" vertical="center" wrapText="1"/>
      <protection locked="0"/>
    </xf>
    <xf numFmtId="0" fontId="71" fillId="5" borderId="41" xfId="1" applyFont="1" applyFill="1" applyBorder="1" applyAlignment="1">
      <alignment horizontal="center" vertical="center" wrapText="1"/>
    </xf>
    <xf numFmtId="49" fontId="84" fillId="5" borderId="58" xfId="1" applyNumberFormat="1" applyFont="1" applyFill="1" applyBorder="1" applyAlignment="1">
      <alignment horizontal="center" vertical="center" wrapText="1"/>
    </xf>
    <xf numFmtId="0" fontId="84" fillId="5" borderId="65" xfId="1" applyFont="1" applyFill="1" applyBorder="1" applyAlignment="1">
      <alignment horizontal="center" vertical="center"/>
    </xf>
    <xf numFmtId="0" fontId="84" fillId="2" borderId="20" xfId="1" applyFont="1" applyFill="1" applyBorder="1" applyAlignment="1" applyProtection="1">
      <alignment horizontal="center" vertical="center" wrapText="1"/>
      <protection locked="0"/>
    </xf>
    <xf numFmtId="0" fontId="71" fillId="5" borderId="25"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2" borderId="18" xfId="1" applyFont="1" applyFill="1" applyBorder="1" applyAlignment="1" applyProtection="1">
      <alignment horizontal="center" vertical="center" wrapText="1"/>
      <protection locked="0"/>
    </xf>
    <xf numFmtId="0" fontId="52" fillId="5" borderId="25" xfId="1" applyFont="1" applyFill="1" applyBorder="1" applyAlignment="1">
      <alignment horizontal="center" vertical="center" wrapText="1"/>
    </xf>
    <xf numFmtId="0" fontId="52" fillId="5" borderId="52" xfId="1" applyFont="1" applyFill="1" applyBorder="1" applyAlignment="1">
      <alignment horizontal="center" vertical="center" wrapText="1"/>
    </xf>
    <xf numFmtId="0" fontId="71" fillId="5" borderId="52" xfId="1" applyFont="1" applyFill="1" applyBorder="1" applyAlignment="1">
      <alignment horizontal="center" vertical="center" wrapText="1"/>
    </xf>
    <xf numFmtId="0" fontId="84" fillId="2" borderId="8" xfId="1" applyFont="1" applyFill="1" applyBorder="1" applyAlignment="1" applyProtection="1">
      <alignment horizontal="center" vertical="center" wrapText="1"/>
      <protection locked="0"/>
    </xf>
    <xf numFmtId="0" fontId="71" fillId="2" borderId="20" xfId="1" applyFont="1" applyFill="1" applyBorder="1" applyAlignment="1" applyProtection="1">
      <alignment horizontal="center" vertical="center" wrapText="1"/>
      <protection locked="0"/>
    </xf>
    <xf numFmtId="0" fontId="71" fillId="0" borderId="12" xfId="1" applyFont="1" applyBorder="1" applyAlignment="1" applyProtection="1">
      <alignment horizontal="center" vertical="center" wrapText="1"/>
      <protection locked="0"/>
    </xf>
    <xf numFmtId="0" fontId="71" fillId="0" borderId="46"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84" fillId="5" borderId="13" xfId="1" applyFont="1" applyFill="1" applyBorder="1" applyAlignment="1" applyProtection="1">
      <protection locked="0"/>
    </xf>
    <xf numFmtId="49" fontId="71" fillId="5" borderId="13" xfId="1" applyNumberFormat="1" applyFont="1" applyFill="1" applyBorder="1" applyAlignment="1" applyProtection="1">
      <alignment horizontal="center" vertical="center"/>
      <protection locked="0"/>
    </xf>
    <xf numFmtId="9" fontId="71" fillId="5" borderId="13" xfId="1" applyNumberFormat="1" applyFont="1" applyFill="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49" fillId="5" borderId="13" xfId="1" applyFont="1" applyFill="1" applyBorder="1" applyProtection="1">
      <alignment vertical="center"/>
      <protection locked="0"/>
    </xf>
    <xf numFmtId="0" fontId="71"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0" fontId="80" fillId="5" borderId="13" xfId="1" applyFont="1" applyFill="1" applyBorder="1" applyAlignment="1" applyProtection="1">
      <alignment vertical="center" wrapText="1"/>
      <protection locked="0"/>
    </xf>
    <xf numFmtId="0" fontId="71" fillId="5" borderId="13" xfId="1" applyFont="1" applyFill="1" applyBorder="1" applyAlignment="1" applyProtection="1">
      <alignment vertical="center" wrapText="1"/>
      <protection locked="0"/>
    </xf>
    <xf numFmtId="0" fontId="81" fillId="0" borderId="78" xfId="1" applyFont="1" applyBorder="1" applyAlignment="1" applyProtection="1">
      <alignment horizontal="center" vertical="center"/>
      <protection locked="0"/>
    </xf>
    <xf numFmtId="0" fontId="84" fillId="5" borderId="73" xfId="1" applyFont="1" applyFill="1" applyBorder="1" applyAlignment="1">
      <alignment horizontal="center" vertical="center" wrapText="1"/>
    </xf>
    <xf numFmtId="0" fontId="84" fillId="0" borderId="74" xfId="1" applyFont="1" applyBorder="1" applyAlignment="1" applyProtection="1">
      <alignment horizontal="left" vertical="center" wrapText="1"/>
      <protection locked="0"/>
    </xf>
    <xf numFmtId="0" fontId="84" fillId="0" borderId="75"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Alignment="1" applyProtection="1">
      <alignment horizontal="center" vertical="center" wrapText="1"/>
      <protection locked="0"/>
    </xf>
    <xf numFmtId="0" fontId="84" fillId="0" borderId="13" xfId="1" applyFont="1" applyBorder="1" applyAlignment="1" applyProtection="1">
      <alignment horizontal="center" vertical="center"/>
      <protection locked="0"/>
    </xf>
    <xf numFmtId="0" fontId="84" fillId="0" borderId="13" xfId="1" applyFont="1" applyBorder="1" applyAlignment="1">
      <alignment horizontal="center" vertical="center"/>
    </xf>
    <xf numFmtId="0" fontId="144" fillId="2" borderId="1" xfId="1" applyFont="1" applyFill="1" applyBorder="1" applyAlignment="1" applyProtection="1">
      <alignment horizontal="center" vertical="center" wrapText="1"/>
      <protection locked="0"/>
    </xf>
    <xf numFmtId="49" fontId="86" fillId="14" borderId="2" xfId="13" applyNumberFormat="1" applyFont="1" applyFill="1" applyBorder="1" applyAlignment="1">
      <alignment horizontal="left" vertical="center" wrapText="1"/>
    </xf>
    <xf numFmtId="185" fontId="238" fillId="14" borderId="0" xfId="13" applyNumberFormat="1" applyFont="1" applyFill="1" applyAlignment="1">
      <alignment horizontal="left" vertical="center"/>
    </xf>
    <xf numFmtId="0" fontId="157" fillId="0" borderId="122" xfId="13" applyFont="1" applyBorder="1" applyAlignment="1">
      <alignment horizontal="left" vertical="center"/>
    </xf>
    <xf numFmtId="0" fontId="236" fillId="14" borderId="124" xfId="13" applyFont="1" applyFill="1" applyBorder="1" applyAlignment="1">
      <alignment horizontal="left" vertical="center" wrapText="1"/>
    </xf>
    <xf numFmtId="0" fontId="238" fillId="14" borderId="0" xfId="13" applyFont="1" applyFill="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lignment horizontal="left" vertical="center" wrapText="1"/>
    </xf>
    <xf numFmtId="185" fontId="152" fillId="0" borderId="0" xfId="13" applyNumberFormat="1" applyFont="1" applyAlignment="1">
      <alignment horizontal="left" vertical="center"/>
    </xf>
    <xf numFmtId="0" fontId="236" fillId="13" borderId="124" xfId="13" applyFont="1" applyFill="1" applyBorder="1" applyAlignment="1">
      <alignment horizontal="left" vertical="center" wrapText="1"/>
    </xf>
    <xf numFmtId="0" fontId="236" fillId="13" borderId="128" xfId="13" applyFont="1" applyFill="1" applyBorder="1" applyAlignment="1">
      <alignment horizontal="left" vertical="center" wrapText="1"/>
    </xf>
    <xf numFmtId="0" fontId="152" fillId="0" borderId="0" xfId="13" applyFont="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8" fillId="14" borderId="0" xfId="13" applyFont="1" applyFill="1" applyAlignment="1">
      <alignment horizontal="left" vertical="center"/>
    </xf>
    <xf numFmtId="0" fontId="285" fillId="0" borderId="10" xfId="16" applyFont="1" applyFill="1" applyBorder="1" applyAlignment="1">
      <alignment horizontal="center" vertical="center" wrapText="1"/>
    </xf>
    <xf numFmtId="178" fontId="285" fillId="8" borderId="10" xfId="16" applyNumberFormat="1" applyFont="1" applyFill="1" applyBorder="1" applyAlignment="1">
      <alignment horizontal="center" vertical="center" wrapText="1"/>
    </xf>
    <xf numFmtId="9" fontId="285" fillId="0" borderId="10" xfId="16" applyNumberFormat="1" applyFont="1" applyFill="1" applyBorder="1" applyAlignment="1">
      <alignment horizontal="center" vertical="center"/>
    </xf>
    <xf numFmtId="178" fontId="285" fillId="0" borderId="10" xfId="16" applyNumberFormat="1" applyFont="1" applyFill="1" applyBorder="1" applyAlignment="1">
      <alignment horizontal="center" vertical="center" wrapText="1"/>
    </xf>
    <xf numFmtId="182" fontId="285" fillId="0" borderId="10" xfId="16" applyNumberFormat="1" applyFont="1" applyFill="1" applyBorder="1" applyAlignment="1">
      <alignment horizontal="center" vertical="center"/>
    </xf>
    <xf numFmtId="0" fontId="285" fillId="0" borderId="10" xfId="16" applyNumberFormat="1" applyFont="1" applyFill="1" applyBorder="1" applyAlignment="1">
      <alignment horizontal="center" vertical="center" wrapText="1"/>
    </xf>
    <xf numFmtId="0" fontId="285" fillId="0" borderId="10" xfId="16" applyNumberFormat="1" applyFont="1" applyFill="1" applyBorder="1" applyAlignment="1">
      <alignment horizontal="center" vertical="center"/>
    </xf>
    <xf numFmtId="0" fontId="291"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1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0" xfId="1" applyFont="1" applyFill="1" applyAlignment="1">
      <alignment horizontal="center" vertical="center" wrapText="1"/>
    </xf>
    <xf numFmtId="0" fontId="84" fillId="5" borderId="18" xfId="1" applyFont="1" applyFill="1" applyBorder="1" applyAlignment="1">
      <alignment horizontal="center" vertical="center" wrapText="1"/>
    </xf>
    <xf numFmtId="0" fontId="84" fillId="5" borderId="19"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262"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62"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290" fillId="0" borderId="11" xfId="1" applyFont="1" applyBorder="1" applyAlignment="1" applyProtection="1">
      <alignment horizontal="center" vertical="center" wrapText="1"/>
      <protection locked="0"/>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2" xfId="1" applyFont="1" applyFill="1" applyBorder="1" applyAlignment="1">
      <alignment horizontal="center" vertical="center"/>
    </xf>
    <xf numFmtId="0" fontId="71" fillId="5" borderId="8" xfId="1" applyFont="1" applyFill="1" applyBorder="1" applyAlignment="1">
      <alignment horizontal="center" vertical="center"/>
    </xf>
    <xf numFmtId="0" fontId="71" fillId="5" borderId="9" xfId="1" applyFont="1" applyFill="1" applyBorder="1" applyAlignment="1">
      <alignment horizontal="center" vertical="center"/>
    </xf>
    <xf numFmtId="0" fontId="71" fillId="5" borderId="5" xfId="1" applyFont="1" applyFill="1" applyBorder="1" applyAlignment="1">
      <alignment horizontal="center" vertical="center"/>
    </xf>
    <xf numFmtId="0" fontId="84" fillId="5" borderId="2"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1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84" fillId="5" borderId="9" xfId="1" applyFont="1" applyFill="1" applyBorder="1" applyAlignment="1">
      <alignment horizontal="center" vertical="center" wrapText="1"/>
    </xf>
    <xf numFmtId="0" fontId="84" fillId="5" borderId="8" xfId="1" applyFont="1" applyFill="1" applyBorder="1" applyAlignment="1">
      <alignment horizontal="center" vertical="center" wrapText="1"/>
    </xf>
    <xf numFmtId="0" fontId="83" fillId="17" borderId="2" xfId="1"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 xfId="1" applyFont="1" applyFill="1" applyBorder="1" applyAlignment="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9" borderId="64" xfId="1" applyFont="1" applyFill="1" applyBorder="1" applyAlignment="1" applyProtection="1">
      <alignment horizontal="center" vertical="center" wrapText="1"/>
      <protection locked="0"/>
    </xf>
    <xf numFmtId="0" fontId="71" fillId="9" borderId="12" xfId="1" applyFont="1" applyFill="1" applyBorder="1" applyAlignment="1">
      <alignment horizontal="center" vertical="center" wrapText="1"/>
    </xf>
    <xf numFmtId="0" fontId="71" fillId="9" borderId="50" xfId="1" applyFont="1" applyFill="1" applyBorder="1" applyAlignment="1" applyProtection="1">
      <alignment horizontal="center" vertical="center" wrapText="1"/>
      <protection locked="0"/>
    </xf>
    <xf numFmtId="0" fontId="71" fillId="9" borderId="5" xfId="1" applyFont="1" applyFill="1" applyBorder="1" applyAlignment="1">
      <alignment horizontal="center" vertical="center" wrapText="1"/>
    </xf>
    <xf numFmtId="0" fontId="81" fillId="9" borderId="5" xfId="1" applyFont="1" applyFill="1" applyBorder="1" applyAlignment="1" applyProtection="1">
      <alignment horizontal="center" vertical="center" wrapText="1"/>
      <protection locked="0"/>
    </xf>
    <xf numFmtId="10" fontId="75" fillId="9" borderId="2" xfId="2" applyNumberFormat="1" applyFont="1" applyFill="1" applyBorder="1" applyAlignment="1" applyProtection="1">
      <alignment horizontal="center" vertical="center"/>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31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6.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drawing5.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drawing6.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3.png"/><Relationship Id="rId18" Type="http://schemas.openxmlformats.org/officeDocument/2006/relationships/image" Target="../media/image58.png"/><Relationship Id="rId3" Type="http://schemas.openxmlformats.org/officeDocument/2006/relationships/image" Target="../media/image43.png"/><Relationship Id="rId7" Type="http://schemas.openxmlformats.org/officeDocument/2006/relationships/image" Target="../media/image47.png"/><Relationship Id="rId12" Type="http://schemas.openxmlformats.org/officeDocument/2006/relationships/image" Target="../media/image52.png"/><Relationship Id="rId17" Type="http://schemas.openxmlformats.org/officeDocument/2006/relationships/image" Target="../media/image57.png"/><Relationship Id="rId2" Type="http://schemas.openxmlformats.org/officeDocument/2006/relationships/image" Target="../media/image35.png"/><Relationship Id="rId16" Type="http://schemas.openxmlformats.org/officeDocument/2006/relationships/image" Target="../media/image56.png"/><Relationship Id="rId1" Type="http://schemas.openxmlformats.org/officeDocument/2006/relationships/image" Target="../media/image42.png"/><Relationship Id="rId6" Type="http://schemas.openxmlformats.org/officeDocument/2006/relationships/image" Target="../media/image46.png"/><Relationship Id="rId11" Type="http://schemas.openxmlformats.org/officeDocument/2006/relationships/image" Target="../media/image51.png"/><Relationship Id="rId5" Type="http://schemas.openxmlformats.org/officeDocument/2006/relationships/image" Target="../media/image45.png"/><Relationship Id="rId15" Type="http://schemas.openxmlformats.org/officeDocument/2006/relationships/image" Target="../media/image5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 Id="rId14" Type="http://schemas.openxmlformats.org/officeDocument/2006/relationships/image" Target="../media/image5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132900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534400" y="284554"/>
          <a:ext cx="3361652" cy="2239121"/>
        </a:xfrm>
        <a:prstGeom prst="rect">
          <a:avLst/>
        </a:prstGeom>
      </xdr:spPr>
    </xdr:pic>
    <xdr:clientData/>
  </xdr:twoCellAnchor>
  <xdr:twoCellAnchor editAs="oneCell">
    <xdr:from>
      <xdr:col>0</xdr:col>
      <xdr:colOff>514350</xdr:colOff>
      <xdr:row>29</xdr:row>
      <xdr:rowOff>28575</xdr:rowOff>
    </xdr:from>
    <xdr:to>
      <xdr:col>11</xdr:col>
      <xdr:colOff>675346</xdr:colOff>
      <xdr:row>45</xdr:row>
      <xdr:rowOff>37699</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514350" y="5391150"/>
          <a:ext cx="7438096" cy="3209524"/>
        </a:xfrm>
        <a:prstGeom prst="rect">
          <a:avLst/>
        </a:prstGeom>
      </xdr:spPr>
    </xdr:pic>
    <xdr:clientData/>
  </xdr:twoCellAnchor>
  <xdr:twoCellAnchor editAs="oneCell">
    <xdr:from>
      <xdr:col>14</xdr:col>
      <xdr:colOff>66674</xdr:colOff>
      <xdr:row>29</xdr:row>
      <xdr:rowOff>52457</xdr:rowOff>
    </xdr:from>
    <xdr:to>
      <xdr:col>18</xdr:col>
      <xdr:colOff>513774</xdr:colOff>
      <xdr:row>40</xdr:row>
      <xdr:rowOff>123380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CCCAD093-721A-4AA5-AB1C-5194EAA5CD75}"/>
            </a:ext>
          </a:extLst>
        </xdr:cNvPr>
        <xdr:cNvPicPr>
          <a:picLocks noChangeAspect="1"/>
        </xdr:cNvPicPr>
      </xdr:nvPicPr>
      <xdr:blipFill>
        <a:blip xmlns:r="http://schemas.openxmlformats.org/officeDocument/2006/relationships" r:embed="rId1"/>
        <a:stretch>
          <a:fillRect/>
        </a:stretch>
      </xdr:blipFill>
      <xdr:spPr>
        <a:xfrm>
          <a:off x="17830800" y="171450"/>
          <a:ext cx="5276190" cy="4571429"/>
        </a:xfrm>
        <a:prstGeom prst="rect">
          <a:avLst/>
        </a:prstGeom>
      </xdr:spPr>
    </xdr:pic>
    <xdr:clientData/>
  </xdr:twoCellAnchor>
  <xdr:twoCellAnchor editAs="oneCell">
    <xdr:from>
      <xdr:col>2</xdr:col>
      <xdr:colOff>476249</xdr:colOff>
      <xdr:row>4</xdr:row>
      <xdr:rowOff>152400</xdr:rowOff>
    </xdr:from>
    <xdr:to>
      <xdr:col>12</xdr:col>
      <xdr:colOff>352424</xdr:colOff>
      <xdr:row>10</xdr:row>
      <xdr:rowOff>153035</xdr:rowOff>
    </xdr:to>
    <xdr:pic>
      <xdr:nvPicPr>
        <xdr:cNvPr id="10" name="图片 9">
          <a:extLst>
            <a:ext uri="{FF2B5EF4-FFF2-40B4-BE49-F238E27FC236}">
              <a16:creationId xmlns:a16="http://schemas.microsoft.com/office/drawing/2014/main" id="{AB196675-206A-4828-A6C1-FA2FE815B2D1}"/>
            </a:ext>
          </a:extLst>
        </xdr:cNvPr>
        <xdr:cNvPicPr/>
      </xdr:nvPicPr>
      <xdr:blipFill>
        <a:blip xmlns:r="http://schemas.openxmlformats.org/officeDocument/2006/relationships" r:embed="rId2"/>
        <a:stretch>
          <a:fillRect/>
        </a:stretch>
      </xdr:blipFill>
      <xdr:spPr>
        <a:xfrm>
          <a:off x="1847849" y="838200"/>
          <a:ext cx="6734175" cy="1029335"/>
        </a:xfrm>
        <a:prstGeom prst="rect">
          <a:avLst/>
        </a:prstGeom>
      </xdr:spPr>
    </xdr:pic>
    <xdr:clientData/>
  </xdr:twoCellAnchor>
  <xdr:twoCellAnchor editAs="oneCell">
    <xdr:from>
      <xdr:col>2</xdr:col>
      <xdr:colOff>447675</xdr:colOff>
      <xdr:row>1</xdr:row>
      <xdr:rowOff>28575</xdr:rowOff>
    </xdr:from>
    <xdr:to>
      <xdr:col>8</xdr:col>
      <xdr:colOff>571500</xdr:colOff>
      <xdr:row>4</xdr:row>
      <xdr:rowOff>133350</xdr:rowOff>
    </xdr:to>
    <xdr:pic>
      <xdr:nvPicPr>
        <xdr:cNvPr id="11" name="图片 10">
          <a:extLst>
            <a:ext uri="{FF2B5EF4-FFF2-40B4-BE49-F238E27FC236}">
              <a16:creationId xmlns:a16="http://schemas.microsoft.com/office/drawing/2014/main" id="{25BDA693-FBCC-430A-ADF5-382748FA27F3}"/>
            </a:ext>
          </a:extLst>
        </xdr:cNvPr>
        <xdr:cNvPicPr/>
      </xdr:nvPicPr>
      <xdr:blipFill>
        <a:blip xmlns:r="http://schemas.openxmlformats.org/officeDocument/2006/relationships" r:embed="rId3"/>
        <a:stretch>
          <a:fillRect/>
        </a:stretch>
      </xdr:blipFill>
      <xdr:spPr>
        <a:xfrm>
          <a:off x="1819275" y="200025"/>
          <a:ext cx="4238625" cy="619125"/>
        </a:xfrm>
        <a:prstGeom prst="rect">
          <a:avLst/>
        </a:prstGeom>
      </xdr:spPr>
    </xdr:pic>
    <xdr:clientData/>
  </xdr:twoCellAnchor>
  <xdr:twoCellAnchor editAs="oneCell">
    <xdr:from>
      <xdr:col>1</xdr:col>
      <xdr:colOff>495300</xdr:colOff>
      <xdr:row>34</xdr:row>
      <xdr:rowOff>133350</xdr:rowOff>
    </xdr:from>
    <xdr:to>
      <xdr:col>8</xdr:col>
      <xdr:colOff>523875</xdr:colOff>
      <xdr:row>39</xdr:row>
      <xdr:rowOff>9525</xdr:rowOff>
    </xdr:to>
    <xdr:pic>
      <xdr:nvPicPr>
        <xdr:cNvPr id="12" name="图片 11">
          <a:extLst>
            <a:ext uri="{FF2B5EF4-FFF2-40B4-BE49-F238E27FC236}">
              <a16:creationId xmlns:a16="http://schemas.microsoft.com/office/drawing/2014/main" id="{EA3C5D6D-2EFA-4F6F-9D34-BA28E907479F}"/>
            </a:ext>
          </a:extLst>
        </xdr:cNvPr>
        <xdr:cNvPicPr/>
      </xdr:nvPicPr>
      <xdr:blipFill>
        <a:blip xmlns:r="http://schemas.openxmlformats.org/officeDocument/2006/relationships" r:embed="rId4"/>
        <a:stretch>
          <a:fillRect/>
        </a:stretch>
      </xdr:blipFill>
      <xdr:spPr>
        <a:xfrm>
          <a:off x="1181100" y="5962650"/>
          <a:ext cx="4829175" cy="733425"/>
        </a:xfrm>
        <a:prstGeom prst="rect">
          <a:avLst/>
        </a:prstGeom>
      </xdr:spPr>
    </xdr:pic>
    <xdr:clientData/>
  </xdr:twoCellAnchor>
  <xdr:twoCellAnchor editAs="oneCell">
    <xdr:from>
      <xdr:col>1</xdr:col>
      <xdr:colOff>447675</xdr:colOff>
      <xdr:row>37</xdr:row>
      <xdr:rowOff>161925</xdr:rowOff>
    </xdr:from>
    <xdr:to>
      <xdr:col>9</xdr:col>
      <xdr:colOff>235585</xdr:colOff>
      <xdr:row>49</xdr:row>
      <xdr:rowOff>116205</xdr:rowOff>
    </xdr:to>
    <xdr:pic>
      <xdr:nvPicPr>
        <xdr:cNvPr id="13" name="图片 12">
          <a:extLst>
            <a:ext uri="{FF2B5EF4-FFF2-40B4-BE49-F238E27FC236}">
              <a16:creationId xmlns:a16="http://schemas.microsoft.com/office/drawing/2014/main" id="{D42C6950-03D3-44A4-AEE9-5D3613FF8FBC}"/>
            </a:ext>
          </a:extLst>
        </xdr:cNvPr>
        <xdr:cNvPicPr/>
      </xdr:nvPicPr>
      <xdr:blipFill>
        <a:blip xmlns:r="http://schemas.openxmlformats.org/officeDocument/2006/relationships" r:embed="rId5"/>
        <a:stretch>
          <a:fillRect/>
        </a:stretch>
      </xdr:blipFill>
      <xdr:spPr>
        <a:xfrm>
          <a:off x="1133475" y="6505575"/>
          <a:ext cx="5274310" cy="2011680"/>
        </a:xfrm>
        <a:prstGeom prst="rect">
          <a:avLst/>
        </a:prstGeom>
      </xdr:spPr>
    </xdr:pic>
    <xdr:clientData/>
  </xdr:twoCellAnchor>
  <xdr:twoCellAnchor editAs="oneCell">
    <xdr:from>
      <xdr:col>2</xdr:col>
      <xdr:colOff>19050</xdr:colOff>
      <xdr:row>71</xdr:row>
      <xdr:rowOff>28575</xdr:rowOff>
    </xdr:from>
    <xdr:to>
      <xdr:col>9</xdr:col>
      <xdr:colOff>492760</xdr:colOff>
      <xdr:row>75</xdr:row>
      <xdr:rowOff>53340</xdr:rowOff>
    </xdr:to>
    <xdr:pic>
      <xdr:nvPicPr>
        <xdr:cNvPr id="14" name="图片 13">
          <a:extLst>
            <a:ext uri="{FF2B5EF4-FFF2-40B4-BE49-F238E27FC236}">
              <a16:creationId xmlns:a16="http://schemas.microsoft.com/office/drawing/2014/main" id="{AF7C7633-68ED-4DBB-9511-EE8292CB1588}"/>
            </a:ext>
          </a:extLst>
        </xdr:cNvPr>
        <xdr:cNvPicPr/>
      </xdr:nvPicPr>
      <xdr:blipFill>
        <a:blip xmlns:r="http://schemas.openxmlformats.org/officeDocument/2006/relationships" r:embed="rId6"/>
        <a:stretch>
          <a:fillRect/>
        </a:stretch>
      </xdr:blipFill>
      <xdr:spPr>
        <a:xfrm>
          <a:off x="1390650" y="12201525"/>
          <a:ext cx="5274310" cy="710565"/>
        </a:xfrm>
        <a:prstGeom prst="rect">
          <a:avLst/>
        </a:prstGeom>
      </xdr:spPr>
    </xdr:pic>
    <xdr:clientData/>
  </xdr:twoCellAnchor>
  <xdr:twoCellAnchor editAs="oneCell">
    <xdr:from>
      <xdr:col>2</xdr:col>
      <xdr:colOff>38099</xdr:colOff>
      <xdr:row>75</xdr:row>
      <xdr:rowOff>0</xdr:rowOff>
    </xdr:from>
    <xdr:to>
      <xdr:col>11</xdr:col>
      <xdr:colOff>638174</xdr:colOff>
      <xdr:row>89</xdr:row>
      <xdr:rowOff>50800</xdr:rowOff>
    </xdr:to>
    <xdr:pic>
      <xdr:nvPicPr>
        <xdr:cNvPr id="15" name="图片 14">
          <a:extLst>
            <a:ext uri="{FF2B5EF4-FFF2-40B4-BE49-F238E27FC236}">
              <a16:creationId xmlns:a16="http://schemas.microsoft.com/office/drawing/2014/main" id="{B57A9682-B304-4ED0-97F5-2FBC36B2A972}"/>
            </a:ext>
          </a:extLst>
        </xdr:cNvPr>
        <xdr:cNvPicPr/>
      </xdr:nvPicPr>
      <xdr:blipFill>
        <a:blip xmlns:r="http://schemas.openxmlformats.org/officeDocument/2006/relationships" r:embed="rId7"/>
        <a:stretch>
          <a:fillRect/>
        </a:stretch>
      </xdr:blipFill>
      <xdr:spPr>
        <a:xfrm>
          <a:off x="1409699" y="12858750"/>
          <a:ext cx="6772275" cy="2451100"/>
        </a:xfrm>
        <a:prstGeom prst="rect">
          <a:avLst/>
        </a:prstGeom>
      </xdr:spPr>
    </xdr:pic>
    <xdr:clientData/>
  </xdr:twoCellAnchor>
  <xdr:twoCellAnchor editAs="oneCell">
    <xdr:from>
      <xdr:col>10</xdr:col>
      <xdr:colOff>276225</xdr:colOff>
      <xdr:row>20</xdr:row>
      <xdr:rowOff>38100</xdr:rowOff>
    </xdr:from>
    <xdr:to>
      <xdr:col>18</xdr:col>
      <xdr:colOff>685063</xdr:colOff>
      <xdr:row>50</xdr:row>
      <xdr:rowOff>56505</xdr:rowOff>
    </xdr:to>
    <xdr:pic>
      <xdr:nvPicPr>
        <xdr:cNvPr id="16" name="图片 15">
          <a:extLst>
            <a:ext uri="{FF2B5EF4-FFF2-40B4-BE49-F238E27FC236}">
              <a16:creationId xmlns:a16="http://schemas.microsoft.com/office/drawing/2014/main" id="{10185393-D4E3-46BF-BECA-8413EC82B54E}"/>
            </a:ext>
          </a:extLst>
        </xdr:cNvPr>
        <xdr:cNvPicPr>
          <a:picLocks noChangeAspect="1"/>
        </xdr:cNvPicPr>
      </xdr:nvPicPr>
      <xdr:blipFill>
        <a:blip xmlns:r="http://schemas.openxmlformats.org/officeDocument/2006/relationships" r:embed="rId8"/>
        <a:stretch>
          <a:fillRect/>
        </a:stretch>
      </xdr:blipFill>
      <xdr:spPr>
        <a:xfrm>
          <a:off x="7134225" y="3467100"/>
          <a:ext cx="5895238" cy="5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a:extLst>
            <a:ext uri="{FF2B5EF4-FFF2-40B4-BE49-F238E27FC236}">
              <a16:creationId xmlns:a16="http://schemas.microsoft.com/office/drawing/2014/main" id="{180AFF73-BB6F-4DD8-8493-A495E9EA8836}"/>
            </a:ext>
          </a:extLst>
        </xdr:cNvPr>
        <xdr:cNvPicPr>
          <a:picLocks noChangeAspect="1"/>
        </xdr:cNvPicPr>
      </xdr:nvPicPr>
      <xdr:blipFill>
        <a:blip xmlns:r="http://schemas.openxmlformats.org/officeDocument/2006/relationships" r:embed="rId1"/>
        <a:stretch>
          <a:fillRect/>
        </a:stretch>
      </xdr:blipFill>
      <xdr:spPr>
        <a:xfrm>
          <a:off x="0" y="714375"/>
          <a:ext cx="268325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a:extLst>
            <a:ext uri="{FF2B5EF4-FFF2-40B4-BE49-F238E27FC236}">
              <a16:creationId xmlns:a16="http://schemas.microsoft.com/office/drawing/2014/main" id="{E56C549F-81FA-4751-BB32-58627666CDFD}"/>
            </a:ext>
          </a:extLst>
        </xdr:cNvPr>
        <xdr:cNvPicPr>
          <a:picLocks noChangeAspect="1"/>
        </xdr:cNvPicPr>
      </xdr:nvPicPr>
      <xdr:blipFill>
        <a:blip xmlns:r="http://schemas.openxmlformats.org/officeDocument/2006/relationships" r:embed="rId2"/>
        <a:stretch>
          <a:fillRect/>
        </a:stretch>
      </xdr:blipFill>
      <xdr:spPr>
        <a:xfrm>
          <a:off x="0" y="6783061"/>
          <a:ext cx="3124200" cy="1798501"/>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a:extLst>
            <a:ext uri="{FF2B5EF4-FFF2-40B4-BE49-F238E27FC236}">
              <a16:creationId xmlns:a16="http://schemas.microsoft.com/office/drawing/2014/main" id="{379C919D-2B04-471C-B729-827F97A8F1E9}"/>
            </a:ext>
          </a:extLst>
        </xdr:cNvPr>
        <xdr:cNvPicPr>
          <a:picLocks noChangeAspect="1"/>
        </xdr:cNvPicPr>
      </xdr:nvPicPr>
      <xdr:blipFill>
        <a:blip xmlns:r="http://schemas.openxmlformats.org/officeDocument/2006/relationships" r:embed="rId3"/>
        <a:stretch>
          <a:fillRect/>
        </a:stretch>
      </xdr:blipFill>
      <xdr:spPr>
        <a:xfrm>
          <a:off x="76200" y="12954000"/>
          <a:ext cx="2227793" cy="1314008"/>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a:extLst>
            <a:ext uri="{FF2B5EF4-FFF2-40B4-BE49-F238E27FC236}">
              <a16:creationId xmlns:a16="http://schemas.microsoft.com/office/drawing/2014/main" id="{467FDA43-E992-4D7A-96F2-C21691A09840}"/>
            </a:ext>
          </a:extLst>
        </xdr:cNvPr>
        <xdr:cNvPicPr>
          <a:picLocks noChangeAspect="1"/>
        </xdr:cNvPicPr>
      </xdr:nvPicPr>
      <xdr:blipFill>
        <a:blip xmlns:r="http://schemas.openxmlformats.org/officeDocument/2006/relationships" r:embed="rId4"/>
        <a:stretch>
          <a:fillRect/>
        </a:stretch>
      </xdr:blipFill>
      <xdr:spPr>
        <a:xfrm>
          <a:off x="11658600" y="171450"/>
          <a:ext cx="5228571" cy="4628571"/>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F95FC128-6EF0-415B-88FF-5A28AFBE2373}"/>
            </a:ext>
          </a:extLst>
        </xdr:cNvPr>
        <xdr:cNvPicPr>
          <a:picLocks noChangeAspect="1"/>
        </xdr:cNvPicPr>
      </xdr:nvPicPr>
      <xdr:blipFill>
        <a:blip xmlns:r="http://schemas.openxmlformats.org/officeDocument/2006/relationships" r:embed="rId5"/>
        <a:stretch>
          <a:fillRect/>
        </a:stretch>
      </xdr:blipFill>
      <xdr:spPr>
        <a:xfrm>
          <a:off x="17830800" y="171450"/>
          <a:ext cx="5276190" cy="4571429"/>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a:extLst>
            <a:ext uri="{FF2B5EF4-FFF2-40B4-BE49-F238E27FC236}">
              <a16:creationId xmlns:a16="http://schemas.microsoft.com/office/drawing/2014/main" id="{67AACB79-3551-446B-B5C1-3F0FFACA9871}"/>
            </a:ext>
          </a:extLst>
        </xdr:cNvPr>
        <xdr:cNvPicPr>
          <a:picLocks noChangeAspect="1"/>
        </xdr:cNvPicPr>
      </xdr:nvPicPr>
      <xdr:blipFill>
        <a:blip xmlns:r="http://schemas.openxmlformats.org/officeDocument/2006/relationships" r:embed="rId6"/>
        <a:stretch>
          <a:fillRect/>
        </a:stretch>
      </xdr:blipFill>
      <xdr:spPr>
        <a:xfrm>
          <a:off x="3000375" y="304800"/>
          <a:ext cx="7038095" cy="2419048"/>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a:extLst>
            <a:ext uri="{FF2B5EF4-FFF2-40B4-BE49-F238E27FC236}">
              <a16:creationId xmlns:a16="http://schemas.microsoft.com/office/drawing/2014/main" id="{23A2573C-E4AF-49E2-B960-871E1723D9AE}"/>
            </a:ext>
          </a:extLst>
        </xdr:cNvPr>
        <xdr:cNvPicPr>
          <a:picLocks noChangeAspect="1"/>
        </xdr:cNvPicPr>
      </xdr:nvPicPr>
      <xdr:blipFill>
        <a:blip xmlns:r="http://schemas.openxmlformats.org/officeDocument/2006/relationships" r:embed="rId7"/>
        <a:stretch>
          <a:fillRect/>
        </a:stretch>
      </xdr:blipFill>
      <xdr:spPr>
        <a:xfrm>
          <a:off x="3590925" y="6524625"/>
          <a:ext cx="8876190" cy="2285714"/>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a:extLst>
            <a:ext uri="{FF2B5EF4-FFF2-40B4-BE49-F238E27FC236}">
              <a16:creationId xmlns:a16="http://schemas.microsoft.com/office/drawing/2014/main" id="{1A9EAD6F-1ABB-4DFD-B862-566CAF9F8F42}"/>
            </a:ext>
          </a:extLst>
        </xdr:cNvPr>
        <xdr:cNvPicPr>
          <a:picLocks noChangeAspect="1"/>
        </xdr:cNvPicPr>
      </xdr:nvPicPr>
      <xdr:blipFill>
        <a:blip xmlns:r="http://schemas.openxmlformats.org/officeDocument/2006/relationships" r:embed="rId8"/>
        <a:stretch>
          <a:fillRect/>
        </a:stretch>
      </xdr:blipFill>
      <xdr:spPr>
        <a:xfrm>
          <a:off x="2657475" y="12782550"/>
          <a:ext cx="7647619" cy="24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a:extLst>
            <a:ext uri="{FF2B5EF4-FFF2-40B4-BE49-F238E27FC236}">
              <a16:creationId xmlns:a16="http://schemas.microsoft.com/office/drawing/2014/main" id="{358A3DB1-0976-4AA2-A9F7-B9FFB167B818}"/>
            </a:ext>
          </a:extLst>
        </xdr:cNvPr>
        <xdr:cNvPicPr>
          <a:picLocks noChangeAspect="1"/>
        </xdr:cNvPicPr>
      </xdr:nvPicPr>
      <xdr:blipFill>
        <a:blip xmlns:r="http://schemas.openxmlformats.org/officeDocument/2006/relationships" r:embed="rId1"/>
        <a:stretch>
          <a:fillRect/>
        </a:stretch>
      </xdr:blipFill>
      <xdr:spPr>
        <a:xfrm>
          <a:off x="1" y="342900"/>
          <a:ext cx="2551778"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a:extLst>
            <a:ext uri="{FF2B5EF4-FFF2-40B4-BE49-F238E27FC236}">
              <a16:creationId xmlns:a16="http://schemas.microsoft.com/office/drawing/2014/main" id="{CAFFF5A7-ABE3-443E-88F6-C734C9EA85D2}"/>
            </a:ext>
          </a:extLst>
        </xdr:cNvPr>
        <xdr:cNvPicPr>
          <a:picLocks noChangeAspect="1"/>
        </xdr:cNvPicPr>
      </xdr:nvPicPr>
      <xdr:blipFill>
        <a:blip xmlns:r="http://schemas.openxmlformats.org/officeDocument/2006/relationships" r:embed="rId2"/>
        <a:stretch>
          <a:fillRect/>
        </a:stretch>
      </xdr:blipFill>
      <xdr:spPr>
        <a:xfrm>
          <a:off x="0" y="7200900"/>
          <a:ext cx="3580952" cy="2628571"/>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a:extLst>
            <a:ext uri="{FF2B5EF4-FFF2-40B4-BE49-F238E27FC236}">
              <a16:creationId xmlns:a16="http://schemas.microsoft.com/office/drawing/2014/main" id="{404581B4-AFD9-4324-BDFB-ADB283E6CA7E}"/>
            </a:ext>
          </a:extLst>
        </xdr:cNvPr>
        <xdr:cNvPicPr>
          <a:picLocks noChangeAspect="1"/>
        </xdr:cNvPicPr>
      </xdr:nvPicPr>
      <xdr:blipFill>
        <a:blip xmlns:r="http://schemas.openxmlformats.org/officeDocument/2006/relationships" r:embed="rId3"/>
        <a:stretch>
          <a:fillRect/>
        </a:stretch>
      </xdr:blipFill>
      <xdr:spPr>
        <a:xfrm>
          <a:off x="10287000" y="0"/>
          <a:ext cx="5704762" cy="4409524"/>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a:extLst>
            <a:ext uri="{FF2B5EF4-FFF2-40B4-BE49-F238E27FC236}">
              <a16:creationId xmlns:a16="http://schemas.microsoft.com/office/drawing/2014/main" id="{79E6B14E-6E4F-4E14-8D11-EB14544C8C4D}"/>
            </a:ext>
          </a:extLst>
        </xdr:cNvPr>
        <xdr:cNvPicPr>
          <a:picLocks noChangeAspect="1"/>
        </xdr:cNvPicPr>
      </xdr:nvPicPr>
      <xdr:blipFill>
        <a:blip xmlns:r="http://schemas.openxmlformats.org/officeDocument/2006/relationships" r:embed="rId4"/>
        <a:stretch>
          <a:fillRect/>
        </a:stretch>
      </xdr:blipFill>
      <xdr:spPr>
        <a:xfrm>
          <a:off x="17145000" y="0"/>
          <a:ext cx="5923809" cy="4542857"/>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a:extLst>
            <a:ext uri="{FF2B5EF4-FFF2-40B4-BE49-F238E27FC236}">
              <a16:creationId xmlns:a16="http://schemas.microsoft.com/office/drawing/2014/main" id="{49980329-2734-4BD8-B6B8-037AA2E36419}"/>
            </a:ext>
          </a:extLst>
        </xdr:cNvPr>
        <xdr:cNvPicPr>
          <a:picLocks noChangeAspect="1"/>
        </xdr:cNvPicPr>
      </xdr:nvPicPr>
      <xdr:blipFill>
        <a:blip xmlns:r="http://schemas.openxmlformats.org/officeDocument/2006/relationships" r:embed="rId5"/>
        <a:stretch>
          <a:fillRect/>
        </a:stretch>
      </xdr:blipFill>
      <xdr:spPr>
        <a:xfrm>
          <a:off x="0" y="14944725"/>
          <a:ext cx="3681018" cy="2123664"/>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a:extLst>
            <a:ext uri="{FF2B5EF4-FFF2-40B4-BE49-F238E27FC236}">
              <a16:creationId xmlns:a16="http://schemas.microsoft.com/office/drawing/2014/main" id="{D3DDA1C5-12AA-41CD-BC5F-26074D93EE8F}"/>
            </a:ext>
          </a:extLst>
        </xdr:cNvPr>
        <xdr:cNvPicPr>
          <a:picLocks noChangeAspect="1"/>
        </xdr:cNvPicPr>
      </xdr:nvPicPr>
      <xdr:blipFill>
        <a:blip xmlns:r="http://schemas.openxmlformats.org/officeDocument/2006/relationships" r:embed="rId6"/>
        <a:stretch>
          <a:fillRect/>
        </a:stretch>
      </xdr:blipFill>
      <xdr:spPr>
        <a:xfrm>
          <a:off x="3429000" y="17830800"/>
          <a:ext cx="6971428" cy="3571429"/>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a:extLst>
            <a:ext uri="{FF2B5EF4-FFF2-40B4-BE49-F238E27FC236}">
              <a16:creationId xmlns:a16="http://schemas.microsoft.com/office/drawing/2014/main" id="{AE84C820-FB3A-4156-9C53-CFDBAD48BC5D}"/>
            </a:ext>
          </a:extLst>
        </xdr:cNvPr>
        <xdr:cNvPicPr>
          <a:picLocks noChangeAspect="1"/>
        </xdr:cNvPicPr>
      </xdr:nvPicPr>
      <xdr:blipFill>
        <a:blip xmlns:r="http://schemas.openxmlformats.org/officeDocument/2006/relationships" r:embed="rId7"/>
        <a:stretch>
          <a:fillRect/>
        </a:stretch>
      </xdr:blipFill>
      <xdr:spPr>
        <a:xfrm>
          <a:off x="2457450" y="2457450"/>
          <a:ext cx="7352381" cy="3342857"/>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a:extLst>
            <a:ext uri="{FF2B5EF4-FFF2-40B4-BE49-F238E27FC236}">
              <a16:creationId xmlns:a16="http://schemas.microsoft.com/office/drawing/2014/main" id="{B899D2AE-DE6B-460C-A539-B8DA12E50816}"/>
            </a:ext>
          </a:extLst>
        </xdr:cNvPr>
        <xdr:cNvPicPr>
          <a:picLocks noChangeAspect="1"/>
        </xdr:cNvPicPr>
      </xdr:nvPicPr>
      <xdr:blipFill>
        <a:blip xmlns:r="http://schemas.openxmlformats.org/officeDocument/2006/relationships" r:embed="rId8"/>
        <a:stretch>
          <a:fillRect/>
        </a:stretch>
      </xdr:blipFill>
      <xdr:spPr>
        <a:xfrm>
          <a:off x="2724150" y="0"/>
          <a:ext cx="6647300" cy="2773149"/>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a:extLst>
            <a:ext uri="{FF2B5EF4-FFF2-40B4-BE49-F238E27FC236}">
              <a16:creationId xmlns:a16="http://schemas.microsoft.com/office/drawing/2014/main" id="{C742CF0D-A3D1-4B10-8DA3-F1B8E5D3983C}"/>
            </a:ext>
          </a:extLst>
        </xdr:cNvPr>
        <xdr:cNvPicPr>
          <a:picLocks noChangeAspect="1"/>
        </xdr:cNvPicPr>
      </xdr:nvPicPr>
      <xdr:blipFill>
        <a:blip xmlns:r="http://schemas.openxmlformats.org/officeDocument/2006/relationships" r:embed="rId9"/>
        <a:stretch>
          <a:fillRect/>
        </a:stretch>
      </xdr:blipFill>
      <xdr:spPr>
        <a:xfrm>
          <a:off x="3857625" y="7086600"/>
          <a:ext cx="5238095" cy="2190476"/>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a:extLst>
            <a:ext uri="{FF2B5EF4-FFF2-40B4-BE49-F238E27FC236}">
              <a16:creationId xmlns:a16="http://schemas.microsoft.com/office/drawing/2014/main" id="{3BEC4AF5-17FC-4195-B0F6-20518D1E6599}"/>
            </a:ext>
          </a:extLst>
        </xdr:cNvPr>
        <xdr:cNvPicPr>
          <a:picLocks noChangeAspect="1"/>
        </xdr:cNvPicPr>
      </xdr:nvPicPr>
      <xdr:blipFill>
        <a:blip xmlns:r="http://schemas.openxmlformats.org/officeDocument/2006/relationships" r:embed="rId10"/>
        <a:stretch>
          <a:fillRect/>
        </a:stretch>
      </xdr:blipFill>
      <xdr:spPr>
        <a:xfrm>
          <a:off x="9324975" y="6943725"/>
          <a:ext cx="7361905" cy="4914286"/>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a:extLst>
            <a:ext uri="{FF2B5EF4-FFF2-40B4-BE49-F238E27FC236}">
              <a16:creationId xmlns:a16="http://schemas.microsoft.com/office/drawing/2014/main" id="{2FC4B49C-497B-4711-97EB-4C2A096F6650}"/>
            </a:ext>
          </a:extLst>
        </xdr:cNvPr>
        <xdr:cNvPicPr>
          <a:picLocks noChangeAspect="1"/>
        </xdr:cNvPicPr>
      </xdr:nvPicPr>
      <xdr:blipFill>
        <a:blip xmlns:r="http://schemas.openxmlformats.org/officeDocument/2006/relationships" r:embed="rId11"/>
        <a:stretch>
          <a:fillRect/>
        </a:stretch>
      </xdr:blipFill>
      <xdr:spPr>
        <a:xfrm>
          <a:off x="4114800" y="15087600"/>
          <a:ext cx="8076190" cy="35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1"/>
          <a:ext cx="4108120"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0" y="2562225"/>
          <a:ext cx="3842504" cy="2199819"/>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3"/>
        <a:stretch>
          <a:fillRect/>
        </a:stretch>
      </xdr:blipFill>
      <xdr:spPr>
        <a:xfrm>
          <a:off x="9525" y="11020425"/>
          <a:ext cx="4390476" cy="3809524"/>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a:extLst>
            <a:ext uri="{FF2B5EF4-FFF2-40B4-BE49-F238E27FC236}">
              <a16:creationId xmlns:a16="http://schemas.microsoft.com/office/drawing/2014/main" id="{97BE70FC-7918-4416-BFC9-4F010DDDED6E}"/>
            </a:ext>
          </a:extLst>
        </xdr:cNvPr>
        <xdr:cNvPicPr>
          <a:picLocks noChangeAspect="1"/>
        </xdr:cNvPicPr>
      </xdr:nvPicPr>
      <xdr:blipFill>
        <a:blip xmlns:r="http://schemas.openxmlformats.org/officeDocument/2006/relationships" r:embed="rId4"/>
        <a:stretch>
          <a:fillRect/>
        </a:stretch>
      </xdr:blipFill>
      <xdr:spPr>
        <a:xfrm>
          <a:off x="0" y="4991100"/>
          <a:ext cx="4514286" cy="3495238"/>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a:extLst>
            <a:ext uri="{FF2B5EF4-FFF2-40B4-BE49-F238E27FC236}">
              <a16:creationId xmlns:a16="http://schemas.microsoft.com/office/drawing/2014/main" id="{C53C84E2-7FA8-416B-A825-5B8B98CBDD5E}"/>
            </a:ext>
          </a:extLst>
        </xdr:cNvPr>
        <xdr:cNvPicPr>
          <a:picLocks noChangeAspect="1"/>
        </xdr:cNvPicPr>
      </xdr:nvPicPr>
      <xdr:blipFill>
        <a:blip xmlns:r="http://schemas.openxmlformats.org/officeDocument/2006/relationships" r:embed="rId5"/>
        <a:stretch>
          <a:fillRect/>
        </a:stretch>
      </xdr:blipFill>
      <xdr:spPr>
        <a:xfrm>
          <a:off x="4772025" y="5819775"/>
          <a:ext cx="5312860" cy="2104682"/>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a:extLst>
            <a:ext uri="{FF2B5EF4-FFF2-40B4-BE49-F238E27FC236}">
              <a16:creationId xmlns:a16="http://schemas.microsoft.com/office/drawing/2014/main" id="{0B4E426A-CBCB-492E-B85F-E2AA2A26A31E}"/>
            </a:ext>
          </a:extLst>
        </xdr:cNvPr>
        <xdr:cNvPicPr>
          <a:picLocks noChangeAspect="1"/>
        </xdr:cNvPicPr>
      </xdr:nvPicPr>
      <xdr:blipFill>
        <a:blip xmlns:r="http://schemas.openxmlformats.org/officeDocument/2006/relationships" r:embed="rId6"/>
        <a:stretch>
          <a:fillRect/>
        </a:stretch>
      </xdr:blipFill>
      <xdr:spPr>
        <a:xfrm>
          <a:off x="0" y="8724013"/>
          <a:ext cx="5569626" cy="2019829"/>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a:extLst>
            <a:ext uri="{FF2B5EF4-FFF2-40B4-BE49-F238E27FC236}">
              <a16:creationId xmlns:a16="http://schemas.microsoft.com/office/drawing/2014/main" id="{FCD970A9-6C3D-426F-9A9B-A67BBAA7A608}"/>
            </a:ext>
          </a:extLst>
        </xdr:cNvPr>
        <xdr:cNvPicPr>
          <a:picLocks noChangeAspect="1"/>
        </xdr:cNvPicPr>
      </xdr:nvPicPr>
      <xdr:blipFill>
        <a:blip xmlns:r="http://schemas.openxmlformats.org/officeDocument/2006/relationships" r:embed="rId7"/>
        <a:stretch>
          <a:fillRect/>
        </a:stretch>
      </xdr:blipFill>
      <xdr:spPr>
        <a:xfrm>
          <a:off x="11134726" y="8791575"/>
          <a:ext cx="5494738" cy="1876089"/>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a:extLst>
            <a:ext uri="{FF2B5EF4-FFF2-40B4-BE49-F238E27FC236}">
              <a16:creationId xmlns:a16="http://schemas.microsoft.com/office/drawing/2014/main" id="{F7C0063D-3372-4D9A-90D7-80511DF9F8B1}"/>
            </a:ext>
          </a:extLst>
        </xdr:cNvPr>
        <xdr:cNvPicPr>
          <a:picLocks noChangeAspect="1"/>
        </xdr:cNvPicPr>
      </xdr:nvPicPr>
      <xdr:blipFill>
        <a:blip xmlns:r="http://schemas.openxmlformats.org/officeDocument/2006/relationships" r:embed="rId8"/>
        <a:stretch>
          <a:fillRect/>
        </a:stretch>
      </xdr:blipFill>
      <xdr:spPr>
        <a:xfrm>
          <a:off x="5286375" y="8811864"/>
          <a:ext cx="5866384" cy="2008188"/>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a:extLst>
            <a:ext uri="{FF2B5EF4-FFF2-40B4-BE49-F238E27FC236}">
              <a16:creationId xmlns:a16="http://schemas.microsoft.com/office/drawing/2014/main" id="{6D7E0BDA-CF1A-4FDD-AA54-FC79ADB1E70F}"/>
            </a:ext>
          </a:extLst>
        </xdr:cNvPr>
        <xdr:cNvPicPr>
          <a:picLocks noChangeAspect="1"/>
        </xdr:cNvPicPr>
      </xdr:nvPicPr>
      <xdr:blipFill>
        <a:blip xmlns:r="http://schemas.openxmlformats.org/officeDocument/2006/relationships" r:embed="rId9"/>
        <a:stretch>
          <a:fillRect/>
        </a:stretch>
      </xdr:blipFill>
      <xdr:spPr>
        <a:xfrm>
          <a:off x="4533900" y="2800145"/>
          <a:ext cx="6371280" cy="2190629"/>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a:extLst>
            <a:ext uri="{FF2B5EF4-FFF2-40B4-BE49-F238E27FC236}">
              <a16:creationId xmlns:a16="http://schemas.microsoft.com/office/drawing/2014/main" id="{50FBF985-E6FC-430A-B1C2-FED9996F3B12}"/>
            </a:ext>
          </a:extLst>
        </xdr:cNvPr>
        <xdr:cNvPicPr>
          <a:picLocks noChangeAspect="1"/>
        </xdr:cNvPicPr>
      </xdr:nvPicPr>
      <xdr:blipFill>
        <a:blip xmlns:r="http://schemas.openxmlformats.org/officeDocument/2006/relationships" r:embed="rId10"/>
        <a:stretch>
          <a:fillRect/>
        </a:stretch>
      </xdr:blipFill>
      <xdr:spPr>
        <a:xfrm>
          <a:off x="4562475" y="190500"/>
          <a:ext cx="7866667" cy="27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2743200"/>
          <a:ext cx="3647619" cy="2238095"/>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0" y="6686550"/>
          <a:ext cx="4514286" cy="3495238"/>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9001125" y="23143"/>
          <a:ext cx="4523503" cy="2900473"/>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4"/>
        <a:stretch>
          <a:fillRect/>
        </a:stretch>
      </xdr:blipFill>
      <xdr:spPr>
        <a:xfrm>
          <a:off x="92869" y="15563850"/>
          <a:ext cx="4080215" cy="241893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a:extLst>
            <a:ext uri="{FF2B5EF4-FFF2-40B4-BE49-F238E27FC236}">
              <a16:creationId xmlns:a16="http://schemas.microsoft.com/office/drawing/2014/main" id="{C96D7135-86FE-4DEA-AC3C-0CD556DD89CA}"/>
            </a:ext>
          </a:extLst>
        </xdr:cNvPr>
        <xdr:cNvPicPr>
          <a:picLocks noChangeAspect="1"/>
        </xdr:cNvPicPr>
      </xdr:nvPicPr>
      <xdr:blipFill>
        <a:blip xmlns:r="http://schemas.openxmlformats.org/officeDocument/2006/relationships" r:embed="rId5"/>
        <a:stretch>
          <a:fillRect/>
        </a:stretch>
      </xdr:blipFill>
      <xdr:spPr>
        <a:xfrm>
          <a:off x="3695700" y="104775"/>
          <a:ext cx="5000000" cy="5057143"/>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a:extLst>
            <a:ext uri="{FF2B5EF4-FFF2-40B4-BE49-F238E27FC236}">
              <a16:creationId xmlns:a16="http://schemas.microsoft.com/office/drawing/2014/main" id="{CAB15505-F367-4BB9-804F-EC72F0DBCBD3}"/>
            </a:ext>
          </a:extLst>
        </xdr:cNvPr>
        <xdr:cNvPicPr>
          <a:picLocks noChangeAspect="1"/>
        </xdr:cNvPicPr>
      </xdr:nvPicPr>
      <xdr:blipFill>
        <a:blip xmlns:r="http://schemas.openxmlformats.org/officeDocument/2006/relationships" r:embed="rId6"/>
        <a:stretch>
          <a:fillRect/>
        </a:stretch>
      </xdr:blipFill>
      <xdr:spPr>
        <a:xfrm>
          <a:off x="0" y="2428876"/>
          <a:ext cx="6524625" cy="3844986"/>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a:extLst>
            <a:ext uri="{FF2B5EF4-FFF2-40B4-BE49-F238E27FC236}">
              <a16:creationId xmlns:a16="http://schemas.microsoft.com/office/drawing/2014/main" id="{076F8717-4EC6-4CD1-951C-3DFE8BCA7261}"/>
            </a:ext>
          </a:extLst>
        </xdr:cNvPr>
        <xdr:cNvPicPr>
          <a:picLocks noChangeAspect="1"/>
        </xdr:cNvPicPr>
      </xdr:nvPicPr>
      <xdr:blipFill>
        <a:blip xmlns:r="http://schemas.openxmlformats.org/officeDocument/2006/relationships" r:embed="rId7"/>
        <a:stretch>
          <a:fillRect/>
        </a:stretch>
      </xdr:blipFill>
      <xdr:spPr>
        <a:xfrm>
          <a:off x="0" y="17973675"/>
          <a:ext cx="4933333" cy="2990476"/>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a:extLst>
            <a:ext uri="{FF2B5EF4-FFF2-40B4-BE49-F238E27FC236}">
              <a16:creationId xmlns:a16="http://schemas.microsoft.com/office/drawing/2014/main" id="{D12CF2F1-7D8F-4EF4-BFDD-9CA12133F73A}"/>
            </a:ext>
          </a:extLst>
        </xdr:cNvPr>
        <xdr:cNvPicPr>
          <a:picLocks noChangeAspect="1"/>
        </xdr:cNvPicPr>
      </xdr:nvPicPr>
      <xdr:blipFill>
        <a:blip xmlns:r="http://schemas.openxmlformats.org/officeDocument/2006/relationships" r:embed="rId8"/>
        <a:stretch>
          <a:fillRect/>
        </a:stretch>
      </xdr:blipFill>
      <xdr:spPr>
        <a:xfrm>
          <a:off x="19050" y="20926425"/>
          <a:ext cx="6352579" cy="3771342"/>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a:extLst>
            <a:ext uri="{FF2B5EF4-FFF2-40B4-BE49-F238E27FC236}">
              <a16:creationId xmlns:a16="http://schemas.microsoft.com/office/drawing/2014/main" id="{E14D20F8-B228-4860-8F55-B16906502B2A}"/>
            </a:ext>
          </a:extLst>
        </xdr:cNvPr>
        <xdr:cNvPicPr>
          <a:picLocks noChangeAspect="1"/>
        </xdr:cNvPicPr>
      </xdr:nvPicPr>
      <xdr:blipFill>
        <a:blip xmlns:r="http://schemas.openxmlformats.org/officeDocument/2006/relationships" r:embed="rId9"/>
        <a:stretch>
          <a:fillRect/>
        </a:stretch>
      </xdr:blipFill>
      <xdr:spPr>
        <a:xfrm>
          <a:off x="6505575" y="18291362"/>
          <a:ext cx="3837948" cy="2548921"/>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a:extLst>
            <a:ext uri="{FF2B5EF4-FFF2-40B4-BE49-F238E27FC236}">
              <a16:creationId xmlns:a16="http://schemas.microsoft.com/office/drawing/2014/main" id="{18C10DC0-C04A-470B-B55C-D184C8709D83}"/>
            </a:ext>
          </a:extLst>
        </xdr:cNvPr>
        <xdr:cNvPicPr>
          <a:picLocks noChangeAspect="1"/>
        </xdr:cNvPicPr>
      </xdr:nvPicPr>
      <xdr:blipFill>
        <a:blip xmlns:r="http://schemas.openxmlformats.org/officeDocument/2006/relationships" r:embed="rId10"/>
        <a:stretch>
          <a:fillRect/>
        </a:stretch>
      </xdr:blipFill>
      <xdr:spPr>
        <a:xfrm>
          <a:off x="6391275" y="20916900"/>
          <a:ext cx="6486523" cy="3028430"/>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a:extLst>
            <a:ext uri="{FF2B5EF4-FFF2-40B4-BE49-F238E27FC236}">
              <a16:creationId xmlns:a16="http://schemas.microsoft.com/office/drawing/2014/main" id="{E7EDA44E-5CEF-4F9D-9E06-3A23C8B587FB}"/>
            </a:ext>
          </a:extLst>
        </xdr:cNvPr>
        <xdr:cNvPicPr>
          <a:picLocks noChangeAspect="1"/>
        </xdr:cNvPicPr>
      </xdr:nvPicPr>
      <xdr:blipFill>
        <a:blip xmlns:r="http://schemas.openxmlformats.org/officeDocument/2006/relationships" r:embed="rId11"/>
        <a:stretch>
          <a:fillRect/>
        </a:stretch>
      </xdr:blipFill>
      <xdr:spPr>
        <a:xfrm>
          <a:off x="13030200" y="17868188"/>
          <a:ext cx="3810000" cy="2629214"/>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a:extLst>
            <a:ext uri="{FF2B5EF4-FFF2-40B4-BE49-F238E27FC236}">
              <a16:creationId xmlns:a16="http://schemas.microsoft.com/office/drawing/2014/main" id="{67838240-2A63-4B5A-8B8A-0633A930A706}"/>
            </a:ext>
          </a:extLst>
        </xdr:cNvPr>
        <xdr:cNvPicPr>
          <a:picLocks noChangeAspect="1"/>
        </xdr:cNvPicPr>
      </xdr:nvPicPr>
      <xdr:blipFill>
        <a:blip xmlns:r="http://schemas.openxmlformats.org/officeDocument/2006/relationships" r:embed="rId12"/>
        <a:stretch>
          <a:fillRect/>
        </a:stretch>
      </xdr:blipFill>
      <xdr:spPr>
        <a:xfrm>
          <a:off x="13011150" y="20621625"/>
          <a:ext cx="7457143" cy="4885714"/>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a:extLst>
            <a:ext uri="{FF2B5EF4-FFF2-40B4-BE49-F238E27FC236}">
              <a16:creationId xmlns:a16="http://schemas.microsoft.com/office/drawing/2014/main" id="{E81A4D7B-55FF-4734-B6EF-216F421FB4C3}"/>
            </a:ext>
          </a:extLst>
        </xdr:cNvPr>
        <xdr:cNvPicPr>
          <a:picLocks noChangeAspect="1"/>
        </xdr:cNvPicPr>
      </xdr:nvPicPr>
      <xdr:blipFill>
        <a:blip xmlns:r="http://schemas.openxmlformats.org/officeDocument/2006/relationships" r:embed="rId13"/>
        <a:stretch>
          <a:fillRect/>
        </a:stretch>
      </xdr:blipFill>
      <xdr:spPr>
        <a:xfrm>
          <a:off x="0" y="10287000"/>
          <a:ext cx="4847619" cy="3114286"/>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a:extLst>
            <a:ext uri="{FF2B5EF4-FFF2-40B4-BE49-F238E27FC236}">
              <a16:creationId xmlns:a16="http://schemas.microsoft.com/office/drawing/2014/main" id="{D36C0377-292C-4608-9BFA-2236DF73BC38}"/>
            </a:ext>
          </a:extLst>
        </xdr:cNvPr>
        <xdr:cNvPicPr>
          <a:picLocks noChangeAspect="1"/>
        </xdr:cNvPicPr>
      </xdr:nvPicPr>
      <xdr:blipFill>
        <a:blip xmlns:r="http://schemas.openxmlformats.org/officeDocument/2006/relationships" r:embed="rId14"/>
        <a:stretch>
          <a:fillRect/>
        </a:stretch>
      </xdr:blipFill>
      <xdr:spPr>
        <a:xfrm>
          <a:off x="0" y="12990815"/>
          <a:ext cx="5848350" cy="2620161"/>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a:extLst>
            <a:ext uri="{FF2B5EF4-FFF2-40B4-BE49-F238E27FC236}">
              <a16:creationId xmlns:a16="http://schemas.microsoft.com/office/drawing/2014/main" id="{8D5CA03F-B292-4240-AE0A-7117BA284449}"/>
            </a:ext>
          </a:extLst>
        </xdr:cNvPr>
        <xdr:cNvPicPr>
          <a:picLocks noChangeAspect="1"/>
        </xdr:cNvPicPr>
      </xdr:nvPicPr>
      <xdr:blipFill>
        <a:blip xmlns:r="http://schemas.openxmlformats.org/officeDocument/2006/relationships" r:embed="rId15"/>
        <a:stretch>
          <a:fillRect/>
        </a:stretch>
      </xdr:blipFill>
      <xdr:spPr>
        <a:xfrm>
          <a:off x="5943600" y="10069883"/>
          <a:ext cx="4257084" cy="2798003"/>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a:extLst>
            <a:ext uri="{FF2B5EF4-FFF2-40B4-BE49-F238E27FC236}">
              <a16:creationId xmlns:a16="http://schemas.microsoft.com/office/drawing/2014/main" id="{30C26A43-FF22-4D50-A112-C6ED1574A00A}"/>
            </a:ext>
          </a:extLst>
        </xdr:cNvPr>
        <xdr:cNvPicPr>
          <a:picLocks noChangeAspect="1"/>
        </xdr:cNvPicPr>
      </xdr:nvPicPr>
      <xdr:blipFill>
        <a:blip xmlns:r="http://schemas.openxmlformats.org/officeDocument/2006/relationships" r:embed="rId16"/>
        <a:stretch>
          <a:fillRect/>
        </a:stretch>
      </xdr:blipFill>
      <xdr:spPr>
        <a:xfrm>
          <a:off x="5886450" y="12854310"/>
          <a:ext cx="6543675" cy="3261429"/>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a:extLst>
            <a:ext uri="{FF2B5EF4-FFF2-40B4-BE49-F238E27FC236}">
              <a16:creationId xmlns:a16="http://schemas.microsoft.com/office/drawing/2014/main" id="{9434DF41-1A03-4D59-8824-642E65D36074}"/>
            </a:ext>
          </a:extLst>
        </xdr:cNvPr>
        <xdr:cNvPicPr>
          <a:picLocks noChangeAspect="1"/>
        </xdr:cNvPicPr>
      </xdr:nvPicPr>
      <xdr:blipFill>
        <a:blip xmlns:r="http://schemas.openxmlformats.org/officeDocument/2006/relationships" r:embed="rId17"/>
        <a:stretch>
          <a:fillRect/>
        </a:stretch>
      </xdr:blipFill>
      <xdr:spPr>
        <a:xfrm>
          <a:off x="11791950" y="9858375"/>
          <a:ext cx="4819048" cy="3152381"/>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a:extLst>
            <a:ext uri="{FF2B5EF4-FFF2-40B4-BE49-F238E27FC236}">
              <a16:creationId xmlns:a16="http://schemas.microsoft.com/office/drawing/2014/main" id="{C46538FF-4D8A-4B52-98D4-9559D9FAD4B1}"/>
            </a:ext>
          </a:extLst>
        </xdr:cNvPr>
        <xdr:cNvPicPr>
          <a:picLocks noChangeAspect="1"/>
        </xdr:cNvPicPr>
      </xdr:nvPicPr>
      <xdr:blipFill>
        <a:blip xmlns:r="http://schemas.openxmlformats.org/officeDocument/2006/relationships" r:embed="rId18"/>
        <a:stretch>
          <a:fillRect/>
        </a:stretch>
      </xdr:blipFill>
      <xdr:spPr>
        <a:xfrm>
          <a:off x="11893736" y="13020675"/>
          <a:ext cx="7288495" cy="5109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4333875"/>
          <a:ext cx="7552381" cy="4561905"/>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3&#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
          <cell r="L4">
            <v>7.34</v>
          </cell>
        </row>
        <row r="5">
          <cell r="L5">
            <v>6.35</v>
          </cell>
        </row>
        <row r="6">
          <cell r="L6">
            <v>5.79</v>
          </cell>
        </row>
        <row r="20">
          <cell r="K20">
            <v>3</v>
          </cell>
        </row>
        <row r="21">
          <cell r="B21">
            <v>5000</v>
          </cell>
          <cell r="C21">
            <v>0.25</v>
          </cell>
          <cell r="K21">
            <v>0.02</v>
          </cell>
        </row>
        <row r="22">
          <cell r="B22">
            <v>5000</v>
          </cell>
          <cell r="C22">
            <v>0.2</v>
          </cell>
          <cell r="K22">
            <v>0.02</v>
          </cell>
        </row>
        <row r="23">
          <cell r="B23">
            <v>6000</v>
          </cell>
          <cell r="C23">
            <v>0.35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0.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北京市储备国有建设用地使用权预评估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受贵公司委托，我公司对北京市储备国有建设用地使用权进行了预评估。</v>
      </c>
      <c r="AM6" s="2617"/>
    </row>
    <row r="7" spans="1:55" s="2591" customFormat="1">
      <c r="A7" s="2592" t="s">
        <v>2635</v>
      </c>
      <c r="B7" s="2593" t="str">
        <f>'预评函-1'!A6</f>
        <v>估价对象为使用的、位于北京市储备国有建设用地使用权。根据《国有土地使用证》[]，估价对象（分摊）储备国有建设用地使用权面积为81070.11平方米。根据《建设工程规划许可证》[]、《出让合同》[]，估价对象规划建筑面积为771700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本次评估为委托估价方了解标的物之市场价格提供参考依据而评估储备国有建设用地使用权市场价格。</v>
      </c>
    </row>
    <row r="10" spans="1:55" s="2591" customFormat="1">
      <c r="A10" s="2592" t="s">
        <v>2637</v>
      </c>
      <c r="B10" s="2593" t="str">
        <f>'预评函-1'!A11</f>
        <v>2021年12月15日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根据《国有土地使用证》[]，估价对象（分摊）出让国有建设用地使用权面积为81070.11平方米。根据《建设工程规划许可证》[]、《出让合同》[]，估价对象规划建筑面积为771700平方米。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2592" t="s">
        <v>2654</v>
      </c>
      <c r="B23" s="2593" t="str">
        <f>'预评函-2'!K2</f>
        <v>估价期日：2021年12月15日</v>
      </c>
    </row>
    <row r="24" spans="1:48">
      <c r="A24" s="2592" t="s">
        <v>2655</v>
      </c>
      <c r="B24" s="2593" t="str">
        <f>'预评函-2'!R2</f>
        <v>估价期日的国有建设用地使用权性质：储备</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（分摊）储备国有建设用地使用权面积/㎡</v>
      </c>
    </row>
    <row r="43" spans="1:2">
      <c r="A43" s="2592" t="s">
        <v>2699</v>
      </c>
      <c r="B43" s="2593">
        <f>'预评函-2'!N5</f>
        <v>81070.11</v>
      </c>
    </row>
    <row r="44" spans="1:2">
      <c r="A44" s="2592" t="s">
        <v>2718</v>
      </c>
      <c r="B44" s="2593" t="str">
        <f>'预评函-2'!O3</f>
        <v>规划建筑面积/㎡</v>
      </c>
    </row>
    <row r="45" spans="1:2">
      <c r="A45" s="2592" t="s">
        <v>2700</v>
      </c>
      <c r="B45" s="2593">
        <f>'预评函-2'!O5</f>
        <v>771700</v>
      </c>
    </row>
    <row r="46" spans="1:2">
      <c r="A46" s="2592" t="s">
        <v>2701</v>
      </c>
      <c r="B46" s="2593">
        <f ca="1">'预评函-2'!P5</f>
        <v>50660</v>
      </c>
    </row>
    <row r="47" spans="1:2">
      <c r="A47" s="2592" t="s">
        <v>2702</v>
      </c>
      <c r="B47" s="2593">
        <f ca="1">'预评函-2'!Q5</f>
        <v>5322</v>
      </c>
    </row>
    <row r="48" spans="1:2">
      <c r="A48" s="2592" t="s">
        <v>2703</v>
      </c>
      <c r="B48" s="2593">
        <f ca="1">'预评函-2'!R5</f>
        <v>410701</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9" sqref="D19"/>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58" customWidth="1"/>
    <col min="12" max="13" width="10" style="3059" customWidth="1"/>
    <col min="14" max="14" width="10" style="3044" customWidth="1"/>
    <col min="15" max="15" width="10" style="3060" customWidth="1"/>
    <col min="16" max="17" width="10" style="3044"/>
    <col min="18" max="18" width="10" style="3044" customWidth="1"/>
    <col min="19" max="28" width="10" style="3044"/>
    <col min="29" max="16384" width="10" style="1611"/>
  </cols>
  <sheetData>
    <row r="1" spans="1:21" ht="15" thickBot="1">
      <c r="A1" s="1584" t="s">
        <v>1923</v>
      </c>
      <c r="B1" s="3834" t="str">
        <f>IF(B10="北京市","北京市",C10)&amp;F10&amp;B16&amp;"国有建设用地使用权"&amp;B9&amp;"预评估"</f>
        <v>北京市储备国有建设用地使用权预评估</v>
      </c>
      <c r="C1" s="3835"/>
      <c r="D1" s="3835"/>
      <c r="E1" s="3835"/>
      <c r="F1" s="3835"/>
      <c r="G1" s="3835"/>
      <c r="H1" s="3835"/>
      <c r="I1" s="3836"/>
      <c r="J1" s="3062"/>
      <c r="K1" s="2307" t="str">
        <f>IF(B10="北京市","北京市",C10)&amp;F10&amp;B16&amp;"国有建设用地使用权"&amp;B9</f>
        <v>北京市储备国有建设用地使用权</v>
      </c>
      <c r="L1" s="3041"/>
      <c r="M1" s="3041"/>
      <c r="N1" s="3042"/>
      <c r="O1" s="3043"/>
      <c r="P1" s="3042"/>
      <c r="Q1" s="3042"/>
      <c r="R1" s="3042"/>
      <c r="S1" s="3042"/>
      <c r="T1" s="3042"/>
      <c r="U1" s="3042"/>
    </row>
    <row r="2" spans="1:21">
      <c r="A2" s="1585" t="s">
        <v>1924</v>
      </c>
      <c r="B2" s="1752"/>
      <c r="D2" s="3062"/>
      <c r="E2" s="3062"/>
      <c r="F2" s="3062"/>
      <c r="G2" s="3062"/>
      <c r="H2" s="3063"/>
      <c r="I2" s="3064"/>
      <c r="J2" s="3062"/>
      <c r="K2" s="2307" t="str">
        <f>IF(B10="北京市","北京市",C10)&amp;F10&amp;B16&amp;"国有建设用地使用权"</f>
        <v>北京市储备国有建设用地使用权</v>
      </c>
      <c r="L2" s="3041"/>
      <c r="M2" s="3041"/>
      <c r="N2" s="3042"/>
      <c r="O2" s="3043"/>
      <c r="P2" s="3042"/>
      <c r="Q2" s="3042"/>
      <c r="R2" s="3042"/>
      <c r="S2" s="3042"/>
      <c r="T2" s="3042"/>
      <c r="U2" s="3042"/>
    </row>
    <row r="3" spans="1:21">
      <c r="A3" s="1586" t="s">
        <v>1925</v>
      </c>
      <c r="B3" s="1587"/>
      <c r="C3" s="2985" t="s">
        <v>1981</v>
      </c>
      <c r="D3" s="1587">
        <v>44545</v>
      </c>
      <c r="E3" s="3062"/>
      <c r="F3" s="3062"/>
      <c r="G3" s="3062"/>
      <c r="H3" s="3063"/>
      <c r="I3" s="3064"/>
      <c r="J3" s="3062"/>
      <c r="K3" s="3045"/>
      <c r="L3" s="3041"/>
      <c r="M3" s="3041"/>
      <c r="N3" s="3042"/>
      <c r="O3" s="3043"/>
      <c r="P3" s="3042"/>
      <c r="Q3" s="3042"/>
      <c r="R3" s="3042"/>
      <c r="S3" s="3042"/>
      <c r="T3" s="3042"/>
      <c r="U3" s="3042"/>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62"/>
      <c r="K4" s="2307" t="str">
        <f>IF(AND(F4="——",H4="——"),B4&amp;"、"&amp;D4,IF(AND(F4&lt;&gt;"——",H4="——"),B4&amp;"、"&amp;D4&amp;"、"&amp;F4,B4&amp;"、"&amp;D4&amp;"、"&amp;F4&amp;"、"&amp;H4))</f>
        <v>土地估价师、土地估价师</v>
      </c>
      <c r="L4" s="3041"/>
      <c r="M4" s="3041"/>
      <c r="N4" s="3042"/>
      <c r="O4" s="3043"/>
      <c r="P4" s="3042"/>
      <c r="Q4" s="3042"/>
      <c r="R4" s="3042"/>
      <c r="S4" s="3042"/>
      <c r="T4" s="3042"/>
      <c r="U4" s="3042"/>
    </row>
    <row r="5" spans="1:21" ht="15" thickTop="1">
      <c r="A5" s="1590" t="s">
        <v>1927</v>
      </c>
      <c r="B5" s="1700"/>
      <c r="C5" s="1591"/>
      <c r="D5" s="1592"/>
      <c r="E5" s="3062"/>
      <c r="F5" s="3062"/>
      <c r="G5" s="3062"/>
      <c r="H5" s="3063"/>
      <c r="I5" s="3064"/>
      <c r="J5" s="3062"/>
      <c r="K5" s="3045"/>
      <c r="L5" s="3041"/>
      <c r="M5" s="3041"/>
      <c r="N5" s="3042"/>
      <c r="O5" s="3043"/>
      <c r="P5" s="3042"/>
      <c r="Q5" s="3042"/>
      <c r="R5" s="3042"/>
      <c r="S5" s="3042"/>
      <c r="T5" s="3042"/>
      <c r="U5" s="3042"/>
    </row>
    <row r="6" spans="1:21" ht="26.25">
      <c r="A6" s="1588" t="s">
        <v>2684</v>
      </c>
      <c r="B6" s="1700"/>
      <c r="C6" s="1675"/>
      <c r="D6" s="1593"/>
      <c r="E6" s="3062"/>
      <c r="F6" s="3062"/>
      <c r="G6" s="3062"/>
      <c r="H6" s="3063"/>
      <c r="I6" s="3064"/>
      <c r="J6" s="3062"/>
      <c r="K6" s="3046" t="str">
        <f>IF(COUNTIF(B6,"*上海银行*"),"上海银行","")</f>
        <v/>
      </c>
      <c r="L6" s="3041"/>
      <c r="M6" s="3041"/>
      <c r="N6" s="3042"/>
      <c r="O6" s="3043"/>
      <c r="P6" s="3042"/>
      <c r="Q6" s="3042"/>
      <c r="R6" s="3042"/>
      <c r="S6" s="3042"/>
      <c r="T6" s="3042"/>
      <c r="U6" s="3042"/>
    </row>
    <row r="7" spans="1:21">
      <c r="A7" s="1594" t="s">
        <v>2685</v>
      </c>
      <c r="B7" s="1700"/>
      <c r="C7" s="1675"/>
      <c r="D7" s="1593"/>
      <c r="E7" s="3062"/>
      <c r="F7" s="3062"/>
      <c r="G7" s="3062"/>
      <c r="H7" s="3063"/>
      <c r="I7" s="3064"/>
      <c r="J7" s="3062"/>
      <c r="K7" s="3045"/>
      <c r="L7" s="3041"/>
      <c r="M7" s="3041"/>
      <c r="N7" s="3042"/>
      <c r="O7" s="3043"/>
      <c r="P7" s="3042"/>
      <c r="Q7" s="3042"/>
      <c r="R7" s="3042"/>
      <c r="S7" s="3042"/>
      <c r="T7" s="3042"/>
      <c r="U7" s="3042"/>
    </row>
    <row r="8" spans="1:21">
      <c r="A8" s="2986" t="s">
        <v>1928</v>
      </c>
      <c r="B8" s="1595" t="s">
        <v>3040</v>
      </c>
      <c r="C8" s="1596"/>
      <c r="D8" s="3840" t="s">
        <v>1930</v>
      </c>
      <c r="E8" s="1754"/>
      <c r="F8" s="1597"/>
      <c r="G8" s="3063"/>
      <c r="H8" s="3063"/>
      <c r="I8" s="3066"/>
      <c r="J8" s="3062"/>
      <c r="K8" s="3045"/>
      <c r="L8" s="3041"/>
      <c r="M8" s="3041"/>
      <c r="N8" s="3042"/>
      <c r="O8" s="3043"/>
      <c r="P8" s="3042"/>
      <c r="Q8" s="3042"/>
      <c r="R8" s="3042"/>
      <c r="S8" s="3042"/>
      <c r="T8" s="3042"/>
      <c r="U8" s="3042"/>
    </row>
    <row r="9" spans="1:21" ht="15" thickBot="1">
      <c r="A9" s="2987" t="s">
        <v>1929</v>
      </c>
      <c r="B9" s="1598"/>
      <c r="C9" s="1599"/>
      <c r="D9" s="3841"/>
      <c r="E9" s="1598"/>
      <c r="F9" s="1661"/>
      <c r="G9" s="3067"/>
      <c r="H9" s="3067"/>
      <c r="I9" s="3068"/>
      <c r="J9" s="3062"/>
      <c r="K9" s="3045"/>
      <c r="L9" s="3041"/>
      <c r="M9" s="3041"/>
      <c r="N9" s="3042"/>
      <c r="O9" s="3043"/>
      <c r="P9" s="3042"/>
      <c r="Q9" s="3042"/>
      <c r="R9" s="3042"/>
      <c r="S9" s="3042"/>
      <c r="T9" s="3042"/>
      <c r="U9" s="3042"/>
    </row>
    <row r="10" spans="1:21" ht="15" thickTop="1">
      <c r="A10" s="2988" t="s">
        <v>1985</v>
      </c>
      <c r="B10" s="1637" t="s">
        <v>1931</v>
      </c>
      <c r="C10" s="1600"/>
      <c r="D10" s="1592"/>
      <c r="E10" s="1601" t="s">
        <v>1932</v>
      </c>
      <c r="F10" s="1602"/>
      <c r="G10" s="1659"/>
      <c r="H10" s="1660"/>
      <c r="I10" s="1592"/>
      <c r="J10" s="3062"/>
      <c r="K10" s="3045"/>
      <c r="L10" s="3041"/>
      <c r="M10" s="3041"/>
      <c r="N10" s="3042"/>
      <c r="O10" s="3043"/>
      <c r="P10" s="3042"/>
      <c r="Q10" s="3042"/>
      <c r="R10" s="3042"/>
      <c r="S10" s="3042"/>
      <c r="T10" s="3042"/>
      <c r="U10" s="3042"/>
    </row>
    <row r="11" spans="1:21">
      <c r="A11" s="2989" t="s">
        <v>1986</v>
      </c>
      <c r="B11" s="1617"/>
      <c r="C11" s="1603"/>
      <c r="D11" s="1676"/>
      <c r="E11" s="3061"/>
      <c r="F11" s="3061"/>
      <c r="G11" s="3061"/>
      <c r="H11" s="3061"/>
      <c r="I11" s="3061"/>
      <c r="J11" s="3062"/>
      <c r="K11" s="3045"/>
      <c r="L11" s="3041"/>
      <c r="M11" s="3041"/>
      <c r="N11" s="3042"/>
      <c r="O11" s="3043"/>
      <c r="P11" s="3042"/>
      <c r="Q11" s="3042"/>
      <c r="R11" s="3042"/>
      <c r="S11" s="3042"/>
      <c r="T11" s="3042"/>
      <c r="U11" s="3042"/>
    </row>
    <row r="12" spans="1:21">
      <c r="A12" s="1696" t="s">
        <v>2044</v>
      </c>
      <c r="B12" s="3837"/>
      <c r="C12" s="3838"/>
      <c r="D12" s="3839"/>
      <c r="E12" s="1618" t="s">
        <v>2047</v>
      </c>
      <c r="F12" s="3855" t="s">
        <v>2866</v>
      </c>
      <c r="G12" s="3856"/>
      <c r="H12" s="3856"/>
      <c r="I12" s="3857"/>
      <c r="J12" s="3062"/>
      <c r="K12" s="3045"/>
      <c r="L12" s="3041"/>
      <c r="M12" s="3041"/>
      <c r="N12" s="3042"/>
      <c r="O12" s="3043"/>
      <c r="P12" s="3042"/>
      <c r="Q12" s="3042"/>
      <c r="R12" s="3042"/>
      <c r="S12" s="3042"/>
      <c r="T12" s="3042"/>
      <c r="U12" s="3042"/>
    </row>
    <row r="13" spans="1:21">
      <c r="A13" s="1609" t="s">
        <v>2045</v>
      </c>
      <c r="B13" s="3837"/>
      <c r="C13" s="3838"/>
      <c r="D13" s="3839"/>
      <c r="E13" s="1618" t="s">
        <v>2047</v>
      </c>
      <c r="F13" s="3855" t="s">
        <v>2867</v>
      </c>
      <c r="G13" s="3856"/>
      <c r="H13" s="3856"/>
      <c r="I13" s="3857"/>
      <c r="J13" s="3062"/>
      <c r="K13" s="3045"/>
      <c r="L13" s="3041"/>
      <c r="M13" s="3041"/>
      <c r="N13" s="3042"/>
      <c r="O13" s="3043"/>
      <c r="P13" s="3042"/>
      <c r="Q13" s="3042"/>
      <c r="R13" s="3042"/>
      <c r="S13" s="3042"/>
      <c r="T13" s="3042"/>
      <c r="U13" s="3042"/>
    </row>
    <row r="14" spans="1:21">
      <c r="A14" s="1586" t="s">
        <v>2048</v>
      </c>
      <c r="B14" s="1618"/>
      <c r="C14" s="1755"/>
      <c r="D14" s="1651" t="str">
        <f>IF(C14="不一致","是否符合证载地类范围","")</f>
        <v/>
      </c>
      <c r="E14" s="1618"/>
      <c r="F14" s="1701"/>
      <c r="G14" s="1646"/>
      <c r="H14" s="1646"/>
      <c r="I14" s="1748"/>
      <c r="J14" s="3062"/>
      <c r="K14" s="3045"/>
      <c r="L14" s="3041"/>
      <c r="M14" s="3041"/>
      <c r="N14" s="3042"/>
      <c r="O14" s="3043"/>
      <c r="P14" s="3042"/>
      <c r="Q14" s="3042"/>
      <c r="R14" s="3042"/>
      <c r="S14" s="3042"/>
      <c r="T14" s="3042"/>
      <c r="U14" s="3042"/>
    </row>
    <row r="15" spans="1:21" hidden="1">
      <c r="A15" s="2484"/>
      <c r="B15" s="1588"/>
      <c r="C15" s="1588"/>
      <c r="D15" s="1680" t="s">
        <v>1935</v>
      </c>
      <c r="E15" s="1680" t="s">
        <v>1936</v>
      </c>
      <c r="F15" s="1680" t="s">
        <v>1937</v>
      </c>
      <c r="G15" s="1608" t="s">
        <v>1938</v>
      </c>
      <c r="H15" s="1608" t="s">
        <v>1939</v>
      </c>
      <c r="I15" s="1608" t="s">
        <v>1940</v>
      </c>
      <c r="J15" s="3062"/>
      <c r="K15" s="3045"/>
      <c r="L15" s="3041"/>
      <c r="M15" s="3041"/>
      <c r="N15" s="3042"/>
      <c r="O15" s="3043"/>
      <c r="P15" s="3042"/>
      <c r="Q15" s="3042"/>
      <c r="R15" s="3042"/>
      <c r="S15" s="3042"/>
      <c r="T15" s="3042"/>
      <c r="U15" s="3042"/>
    </row>
    <row r="16" spans="1:21" ht="28.5">
      <c r="A16" s="2990" t="s">
        <v>1933</v>
      </c>
      <c r="B16" s="1604" t="s">
        <v>3170</v>
      </c>
      <c r="C16" s="1618" t="s">
        <v>1934</v>
      </c>
      <c r="D16" s="2485" t="s">
        <v>1935</v>
      </c>
      <c r="E16" s="1640" t="s">
        <v>3028</v>
      </c>
      <c r="F16" s="1640" t="s">
        <v>1665</v>
      </c>
      <c r="G16" s="1640"/>
      <c r="H16" s="1640"/>
      <c r="I16" s="1608" t="s">
        <v>1940</v>
      </c>
      <c r="J16" s="3062"/>
      <c r="K16" s="2308" t="str">
        <f>IF(D17="","",D16&amp;TEXT(D17,"yyyy年m月d日;;"))</f>
        <v>住宅2091年8月1日</v>
      </c>
      <c r="L16" s="1618" t="str">
        <f>IF(OR(K16="",M16=""),"","、")</f>
        <v>、</v>
      </c>
      <c r="M16" s="2308" t="str">
        <f>IF(E17="","",E16&amp;TEXT(E17,"yyyy年m月d日;;"))</f>
        <v>商业2061年8月1日</v>
      </c>
      <c r="N16" s="1618" t="str">
        <f>IF(OR(M16="",O16=""),"","、")</f>
        <v>、</v>
      </c>
      <c r="O16" s="2308" t="str">
        <f>IF(F17="","",F16&amp;TEXT(F17,"yyyy年m月d日;;"))</f>
        <v>办公2071年8月1日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2991" t="s">
        <v>1941</v>
      </c>
      <c r="D17" s="3264">
        <v>69976</v>
      </c>
      <c r="E17" s="3264">
        <v>59019</v>
      </c>
      <c r="F17" s="3264">
        <v>62671</v>
      </c>
      <c r="G17" s="3264"/>
      <c r="H17" s="3264"/>
      <c r="I17" s="3264"/>
      <c r="J17" s="3062"/>
      <c r="K17" s="3040" t="str">
        <f>CONCATENATE(K16,L16,M16,N16,O16,P16,Q16,R16,S16,T16,,U16)</f>
        <v>住宅2091年8月1日、商业2061年8月1日、办公2071年8月1日</v>
      </c>
      <c r="L17" s="3041"/>
      <c r="M17" s="3041"/>
      <c r="N17" s="3042"/>
      <c r="O17" s="3043"/>
      <c r="P17" s="3042"/>
      <c r="Q17" s="3042"/>
      <c r="R17" s="3042"/>
      <c r="S17" s="3042"/>
      <c r="T17" s="3042"/>
      <c r="U17" s="3042"/>
    </row>
    <row r="18" spans="1:21">
      <c r="A18" s="1677"/>
      <c r="B18" s="1605"/>
      <c r="C18" s="2991" t="s">
        <v>1942</v>
      </c>
      <c r="D18" s="1606">
        <v>70</v>
      </c>
      <c r="E18" s="1606">
        <v>40</v>
      </c>
      <c r="F18" s="1606">
        <v>50</v>
      </c>
      <c r="G18" s="1606"/>
      <c r="H18" s="1606"/>
      <c r="I18" s="1606"/>
      <c r="J18" s="3062"/>
      <c r="K18" s="3045"/>
      <c r="L18" s="3041"/>
      <c r="M18" s="3041"/>
      <c r="N18" s="3042"/>
      <c r="O18" s="3043"/>
      <c r="P18" s="3042"/>
      <c r="Q18" s="3042"/>
      <c r="R18" s="3042"/>
      <c r="S18" s="3042"/>
      <c r="T18" s="3042"/>
      <c r="U18" s="3042"/>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62"/>
      <c r="K19" s="3045"/>
      <c r="L19" s="3041"/>
      <c r="M19" s="3041"/>
      <c r="N19" s="3042"/>
      <c r="O19" s="3043"/>
      <c r="P19" s="3042"/>
      <c r="Q19" s="3042"/>
      <c r="R19" s="3042"/>
      <c r="S19" s="3042"/>
      <c r="T19" s="3042"/>
      <c r="U19" s="3042"/>
    </row>
    <row r="20" spans="1:21">
      <c r="A20" s="1697"/>
      <c r="B20" s="1698"/>
      <c r="C20" s="1699" t="s">
        <v>2046</v>
      </c>
      <c r="D20" s="3852"/>
      <c r="E20" s="3853"/>
      <c r="F20" s="3853"/>
      <c r="G20" s="3853"/>
      <c r="H20" s="3853"/>
      <c r="I20" s="3854"/>
      <c r="J20" s="3062"/>
      <c r="K20" s="3045"/>
      <c r="L20" s="3041"/>
      <c r="M20" s="3041"/>
      <c r="N20" s="3042"/>
      <c r="O20" s="3043"/>
      <c r="P20" s="3042"/>
      <c r="Q20" s="3042"/>
      <c r="R20" s="3042"/>
      <c r="S20" s="3042"/>
      <c r="T20" s="3042"/>
      <c r="U20" s="3042"/>
    </row>
    <row r="21" spans="1:21">
      <c r="A21" s="1677" t="s">
        <v>1944</v>
      </c>
      <c r="B21" s="1678" t="s">
        <v>1945</v>
      </c>
      <c r="C21" s="1673">
        <f>'数据-汇总表'!E3</f>
        <v>771700</v>
      </c>
      <c r="D21" s="1674" t="s">
        <v>1946</v>
      </c>
      <c r="E21" s="3842" t="s">
        <v>1984</v>
      </c>
      <c r="F21" s="3843"/>
      <c r="G21" s="3843"/>
      <c r="H21" s="3843"/>
      <c r="I21" s="3844"/>
      <c r="J21" s="3062"/>
      <c r="K21" s="3045"/>
      <c r="L21" s="3041"/>
      <c r="M21" s="3041"/>
      <c r="N21" s="3042"/>
      <c r="O21" s="3043"/>
      <c r="P21" s="3042"/>
      <c r="Q21" s="3042"/>
      <c r="R21" s="3042"/>
      <c r="S21" s="3042"/>
      <c r="T21" s="3042"/>
      <c r="U21" s="3042"/>
    </row>
    <row r="22" spans="1:21">
      <c r="A22" s="2799" t="s">
        <v>941</v>
      </c>
      <c r="B22" s="1586" t="s">
        <v>1947</v>
      </c>
      <c r="C22" s="1608">
        <f>'数据-汇总表'!D3</f>
        <v>81070.11</v>
      </c>
      <c r="D22" s="1609" t="s">
        <v>1946</v>
      </c>
      <c r="E22" s="3842" t="s">
        <v>2868</v>
      </c>
      <c r="F22" s="3843"/>
      <c r="G22" s="3843"/>
      <c r="H22" s="3843"/>
      <c r="I22" s="3844"/>
      <c r="J22" s="3062"/>
      <c r="K22" s="3045"/>
      <c r="L22" s="3041"/>
      <c r="M22" s="3041"/>
      <c r="N22" s="3042"/>
      <c r="O22" s="3043"/>
      <c r="P22" s="3042"/>
      <c r="Q22" s="3042"/>
      <c r="R22" s="3042"/>
      <c r="S22" s="3042"/>
      <c r="T22" s="3042"/>
      <c r="U22" s="3042"/>
    </row>
    <row r="23" spans="1:21" ht="43.5" thickBot="1">
      <c r="A23" s="1679" t="s">
        <v>1948</v>
      </c>
      <c r="B23" s="1619" t="s">
        <v>1949</v>
      </c>
      <c r="C23" s="1620"/>
      <c r="D23" s="1621" t="s">
        <v>1950</v>
      </c>
      <c r="E23" s="1622"/>
      <c r="F23" s="1623" t="str">
        <f>IF(AND(C23="是",E23="否"),"是否提供他项权证或相关说明","")</f>
        <v/>
      </c>
      <c r="G23" s="1624"/>
      <c r="H23" s="3062"/>
      <c r="I23" s="3066"/>
      <c r="J23" s="3062"/>
      <c r="K23" s="3045"/>
      <c r="L23" s="3041"/>
      <c r="M23" s="3041"/>
      <c r="N23" s="3042"/>
      <c r="O23" s="3043"/>
      <c r="P23" s="3042"/>
      <c r="Q23" s="3042"/>
      <c r="R23" s="3042"/>
      <c r="S23" s="3042"/>
      <c r="T23" s="3042"/>
      <c r="U23" s="3042"/>
    </row>
    <row r="24" spans="1:21">
      <c r="A24" s="1664" t="s">
        <v>1951</v>
      </c>
      <c r="B24" s="3845" t="s">
        <v>1952</v>
      </c>
      <c r="C24" s="3846"/>
      <c r="D24" s="3847" t="s">
        <v>1953</v>
      </c>
      <c r="E24" s="3848"/>
      <c r="F24" s="1626" t="s">
        <v>1954</v>
      </c>
      <c r="G24" s="3062"/>
      <c r="H24" s="3062"/>
      <c r="I24" s="3066"/>
      <c r="J24" s="3062"/>
      <c r="K24" s="3833"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2"/>
      <c r="O24" s="3043"/>
      <c r="P24" s="3042"/>
      <c r="Q24" s="3042"/>
      <c r="R24" s="3042"/>
      <c r="S24" s="3042"/>
      <c r="T24" s="3042"/>
      <c r="U24" s="3042"/>
    </row>
    <row r="25" spans="1:21" ht="28.5">
      <c r="A25" s="1665"/>
      <c r="B25" s="1662" t="s">
        <v>2310</v>
      </c>
      <c r="C25" s="1627" t="s">
        <v>1956</v>
      </c>
      <c r="D25" s="1628"/>
      <c r="E25" s="1629" t="s">
        <v>941</v>
      </c>
      <c r="F25" s="1630"/>
      <c r="G25" s="3062"/>
      <c r="H25" s="3062"/>
      <c r="I25" s="3066"/>
      <c r="J25" s="3062"/>
      <c r="K25" s="3833"/>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2"/>
      <c r="O25" s="3043"/>
      <c r="P25" s="3042"/>
      <c r="Q25" s="3042"/>
      <c r="R25" s="3042"/>
      <c r="S25" s="3042"/>
      <c r="T25" s="3042"/>
      <c r="U25" s="3042"/>
    </row>
    <row r="26" spans="1:21" ht="29.25" thickBot="1">
      <c r="A26" s="1666"/>
      <c r="B26" s="1663" t="s">
        <v>1957</v>
      </c>
      <c r="C26" s="1627" t="s">
        <v>2311</v>
      </c>
      <c r="D26" s="3063"/>
      <c r="E26" s="3063"/>
      <c r="F26" s="3069"/>
      <c r="G26" s="3062"/>
      <c r="H26" s="3062"/>
      <c r="I26" s="3066"/>
      <c r="J26" s="3062"/>
      <c r="K26" s="3833"/>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2"/>
      <c r="O26" s="3043"/>
      <c r="P26" s="3042"/>
      <c r="Q26" s="3042"/>
      <c r="R26" s="3042"/>
      <c r="S26" s="3042"/>
      <c r="T26" s="3042"/>
      <c r="U26" s="3042"/>
    </row>
    <row r="27" spans="1:21">
      <c r="A27" s="1669" t="s">
        <v>1958</v>
      </c>
      <c r="B27" s="1667" t="s">
        <v>1959</v>
      </c>
      <c r="C27" s="1631"/>
      <c r="D27" s="2490" t="s">
        <v>1959</v>
      </c>
      <c r="E27" s="1632"/>
      <c r="F27" s="3069"/>
      <c r="G27" s="3062"/>
      <c r="H27" s="3062"/>
      <c r="I27" s="3066"/>
      <c r="J27" s="3062"/>
      <c r="K27" s="3045"/>
      <c r="L27" s="3041"/>
      <c r="M27" s="3041"/>
      <c r="N27" s="3042"/>
      <c r="O27" s="3043"/>
      <c r="P27" s="3042"/>
      <c r="Q27" s="3042"/>
      <c r="R27" s="3042"/>
      <c r="S27" s="3042"/>
      <c r="T27" s="3042"/>
      <c r="U27" s="3042"/>
    </row>
    <row r="28" spans="1:21">
      <c r="A28" s="1670"/>
      <c r="B28" s="1667" t="s">
        <v>1960</v>
      </c>
      <c r="C28" s="1633"/>
      <c r="D28" s="2491" t="s">
        <v>1960</v>
      </c>
      <c r="E28" s="1634"/>
      <c r="F28" s="3069"/>
      <c r="G28" s="3062"/>
      <c r="H28" s="3062"/>
      <c r="I28" s="3066"/>
      <c r="J28" s="3062"/>
      <c r="K28" s="3045"/>
      <c r="L28" s="3041"/>
      <c r="M28" s="3041"/>
      <c r="N28" s="3042"/>
      <c r="O28" s="3043"/>
      <c r="P28" s="3042"/>
      <c r="Q28" s="3042"/>
      <c r="R28" s="3042"/>
      <c r="S28" s="3042"/>
      <c r="T28" s="3042"/>
      <c r="U28" s="3042"/>
    </row>
    <row r="29" spans="1:21">
      <c r="A29" s="1670"/>
      <c r="B29" s="1667" t="s">
        <v>1961</v>
      </c>
      <c r="C29" s="1633"/>
      <c r="D29" s="2491" t="s">
        <v>1961</v>
      </c>
      <c r="E29" s="1634"/>
      <c r="F29" s="3069"/>
      <c r="G29" s="3062"/>
      <c r="H29" s="3062"/>
      <c r="I29" s="3066"/>
      <c r="J29" s="3062"/>
      <c r="K29" s="3045"/>
      <c r="L29" s="3041"/>
      <c r="M29" s="3041"/>
      <c r="N29" s="3042"/>
      <c r="O29" s="3043"/>
      <c r="P29" s="3042"/>
      <c r="Q29" s="3042"/>
      <c r="R29" s="3042"/>
      <c r="S29" s="3042"/>
      <c r="T29" s="3042"/>
      <c r="U29" s="3042"/>
    </row>
    <row r="30" spans="1:21" ht="15" thickBot="1">
      <c r="A30" s="1671"/>
      <c r="B30" s="1668" t="s">
        <v>1962</v>
      </c>
      <c r="C30" s="1635"/>
      <c r="D30" s="2492" t="s">
        <v>1962</v>
      </c>
      <c r="E30" s="1636"/>
      <c r="F30" s="3070"/>
      <c r="G30" s="3067"/>
      <c r="H30" s="3067"/>
      <c r="I30" s="3068"/>
      <c r="J30" s="3062"/>
      <c r="K30" s="3045"/>
      <c r="L30" s="3041"/>
      <c r="M30" s="3041"/>
      <c r="N30" s="3042"/>
      <c r="O30" s="3043"/>
      <c r="P30" s="3042"/>
      <c r="Q30" s="3042"/>
      <c r="R30" s="3042"/>
      <c r="S30" s="3042"/>
      <c r="T30" s="3042"/>
      <c r="U30" s="3042"/>
    </row>
    <row r="31" spans="1:21" ht="15" thickTop="1">
      <c r="A31" s="3819" t="s">
        <v>1987</v>
      </c>
      <c r="B31" s="1678" t="s">
        <v>1988</v>
      </c>
      <c r="C31" s="3858"/>
      <c r="D31" s="3859"/>
      <c r="E31" s="3062"/>
      <c r="F31" s="3062"/>
      <c r="G31" s="3062"/>
      <c r="H31" s="3062"/>
      <c r="I31" s="3066"/>
      <c r="J31" s="3062"/>
      <c r="K31" s="3048"/>
      <c r="L31" s="3042"/>
      <c r="M31" s="3042"/>
      <c r="N31" s="3042"/>
      <c r="O31" s="3042"/>
      <c r="P31" s="3042"/>
      <c r="Q31" s="3042"/>
      <c r="R31" s="3042"/>
      <c r="S31" s="3042"/>
      <c r="T31" s="3042"/>
      <c r="U31" s="3042"/>
    </row>
    <row r="32" spans="1:21">
      <c r="A32" s="3819"/>
      <c r="B32" s="1586" t="s">
        <v>1989</v>
      </c>
      <c r="C32" s="1637"/>
      <c r="D32" s="1638"/>
      <c r="E32" s="3062"/>
      <c r="F32" s="3062"/>
      <c r="G32" s="3062"/>
      <c r="H32" s="3062"/>
      <c r="I32" s="3066"/>
      <c r="J32" s="3062"/>
      <c r="K32" s="3048"/>
      <c r="L32" s="3042"/>
      <c r="M32" s="3042"/>
      <c r="N32" s="3042"/>
      <c r="O32" s="3042"/>
      <c r="P32" s="3042"/>
      <c r="Q32" s="3042"/>
      <c r="R32" s="3042"/>
      <c r="S32" s="3042"/>
      <c r="T32" s="3042"/>
      <c r="U32" s="3042"/>
    </row>
    <row r="33" spans="1:28">
      <c r="A33" s="3819"/>
      <c r="B33" s="1586" t="s">
        <v>1990</v>
      </c>
      <c r="C33" s="1639"/>
      <c r="D33" s="1749"/>
      <c r="E33" s="3062"/>
      <c r="F33" s="3062"/>
      <c r="G33" s="3062"/>
      <c r="H33" s="3062"/>
      <c r="I33" s="3066"/>
      <c r="J33" s="3062"/>
      <c r="K33" s="3048"/>
      <c r="L33" s="3042"/>
      <c r="M33" s="3042"/>
      <c r="N33" s="3042"/>
      <c r="O33" s="3042"/>
      <c r="P33" s="3042"/>
      <c r="Q33" s="3042"/>
      <c r="R33" s="3042"/>
      <c r="S33" s="3042"/>
      <c r="T33" s="3042"/>
      <c r="U33" s="3042"/>
    </row>
    <row r="34" spans="1:28">
      <c r="A34" s="3820"/>
      <c r="B34" s="1586" t="s">
        <v>1991</v>
      </c>
      <c r="C34" s="3821"/>
      <c r="D34" s="3822"/>
      <c r="E34" s="3062"/>
      <c r="F34" s="3062"/>
      <c r="G34" s="3062"/>
      <c r="H34" s="3062"/>
      <c r="I34" s="3066"/>
      <c r="J34" s="3062"/>
      <c r="K34" s="3048"/>
      <c r="L34" s="3042"/>
      <c r="M34" s="3042"/>
      <c r="N34" s="3042"/>
      <c r="O34" s="3042"/>
      <c r="P34" s="3042"/>
      <c r="Q34" s="3042"/>
      <c r="R34" s="3042"/>
      <c r="S34" s="3042"/>
      <c r="T34" s="3042"/>
      <c r="U34" s="3042"/>
    </row>
    <row r="35" spans="1:28">
      <c r="A35" s="3823" t="s">
        <v>837</v>
      </c>
      <c r="B35" s="1640"/>
      <c r="C35" s="1687" t="str">
        <f>IF(B35="场地平整","——","具体情况：")</f>
        <v>具体情况：</v>
      </c>
      <c r="D35" s="3825"/>
      <c r="E35" s="3826"/>
      <c r="F35" s="3826"/>
      <c r="G35" s="3826"/>
      <c r="H35" s="3826"/>
      <c r="I35" s="3827"/>
      <c r="J35" s="3062"/>
      <c r="K35" s="3049"/>
      <c r="L35" s="3041"/>
      <c r="M35" s="3041"/>
      <c r="N35" s="3042"/>
      <c r="O35" s="3043"/>
      <c r="P35" s="3042"/>
      <c r="Q35" s="3042"/>
      <c r="R35" s="3042"/>
      <c r="S35" s="3042"/>
      <c r="T35" s="3042"/>
      <c r="U35" s="3042"/>
    </row>
    <row r="36" spans="1:28">
      <c r="A36" s="3819"/>
      <c r="B36" s="3828" t="s">
        <v>2040</v>
      </c>
      <c r="C36" s="3829"/>
      <c r="D36" s="1703"/>
      <c r="E36" s="3830"/>
      <c r="F36" s="3830"/>
      <c r="G36" s="1609" t="str">
        <f>IF(B35="场地未平整","估价结果处理","")</f>
        <v/>
      </c>
      <c r="H36" s="3831"/>
      <c r="I36" s="3831"/>
      <c r="J36" s="3062"/>
      <c r="K36" s="3049"/>
      <c r="L36" s="3041"/>
      <c r="M36" s="3041"/>
      <c r="N36" s="3042"/>
      <c r="O36" s="3043"/>
      <c r="P36" s="3042"/>
      <c r="Q36" s="3042"/>
      <c r="R36" s="3042"/>
      <c r="S36" s="3042"/>
      <c r="T36" s="3042"/>
      <c r="U36" s="3042"/>
    </row>
    <row r="37" spans="1:28" ht="28.5">
      <c r="A37" s="3819"/>
      <c r="B37" s="3849" t="s">
        <v>838</v>
      </c>
      <c r="C37" s="1642" t="s">
        <v>839</v>
      </c>
      <c r="D37" s="1643"/>
      <c r="E37" s="1644"/>
      <c r="F37" s="3062"/>
      <c r="G37" s="3062"/>
      <c r="H37" s="3062"/>
      <c r="I37" s="3066"/>
      <c r="J37" s="3062"/>
      <c r="K37" s="3049"/>
      <c r="L37" s="3042"/>
      <c r="M37" s="3042"/>
      <c r="N37" s="3042"/>
      <c r="O37" s="3042"/>
      <c r="P37" s="3042"/>
      <c r="Q37" s="3042"/>
      <c r="R37" s="3042"/>
      <c r="S37" s="3042"/>
      <c r="T37" s="3042"/>
      <c r="U37" s="3042"/>
    </row>
    <row r="38" spans="1:28">
      <c r="A38" s="3819"/>
      <c r="B38" s="3850"/>
      <c r="C38" s="1594" t="s">
        <v>840</v>
      </c>
      <c r="D38" s="1702">
        <f>ROUNDDOWN(MIN(('数据-取费表'!$B$2-D37)/365,D34),1)</f>
        <v>122</v>
      </c>
      <c r="E38" s="1645" t="s">
        <v>841</v>
      </c>
      <c r="F38" s="3062"/>
      <c r="G38" s="3062"/>
      <c r="H38" s="3062"/>
      <c r="I38" s="3066"/>
      <c r="J38" s="3062"/>
      <c r="K38" s="3049"/>
      <c r="L38" s="3042"/>
      <c r="M38" s="3042"/>
      <c r="N38" s="3042"/>
      <c r="O38" s="3042"/>
      <c r="P38" s="3042"/>
      <c r="Q38" s="3042"/>
      <c r="R38" s="3042"/>
      <c r="S38" s="3042"/>
      <c r="T38" s="3042"/>
      <c r="U38" s="3042"/>
    </row>
    <row r="39" spans="1:28">
      <c r="A39" s="3820"/>
      <c r="B39" s="3851"/>
      <c r="C39" s="1616" t="str">
        <f>IF(D38&lt;1,"不存在土地闲置",IF(B35="宗地内已开工建设","已开工，不存在土地闲置","估价对象已涉嫌土地闲置"))</f>
        <v>估价对象已涉嫌土地闲置</v>
      </c>
      <c r="D39" s="1646"/>
      <c r="E39" s="1647"/>
      <c r="F39" s="3062"/>
      <c r="G39" s="3062"/>
      <c r="H39" s="3062"/>
      <c r="I39" s="3066"/>
      <c r="J39" s="3062"/>
      <c r="K39" s="3045"/>
      <c r="L39" s="3041"/>
      <c r="M39" s="3041"/>
      <c r="N39" s="3042"/>
      <c r="O39" s="3043"/>
      <c r="P39" s="3042"/>
      <c r="Q39" s="3042"/>
      <c r="R39" s="3042"/>
      <c r="S39" s="3042"/>
      <c r="T39" s="3042"/>
      <c r="U39" s="3042"/>
    </row>
    <row r="40" spans="1:28">
      <c r="A40" s="1609" t="s">
        <v>1963</v>
      </c>
      <c r="B40" s="1610"/>
      <c r="C40" s="1610"/>
      <c r="D40" s="1610"/>
      <c r="E40" s="1610"/>
      <c r="F40" s="1610"/>
      <c r="G40" s="1610"/>
      <c r="H40" s="1610"/>
      <c r="I40" s="3066"/>
      <c r="J40" s="3062"/>
      <c r="K40" s="3010">
        <f>COUNTIF(B40:H40,"——")</f>
        <v>0</v>
      </c>
      <c r="L40" s="1618" t="s">
        <v>1964</v>
      </c>
      <c r="M40" s="1615" t="s">
        <v>1965</v>
      </c>
      <c r="N40" s="1615" t="s">
        <v>1966</v>
      </c>
      <c r="O40" s="1615" t="s">
        <v>1967</v>
      </c>
      <c r="P40" s="1615" t="s">
        <v>1968</v>
      </c>
      <c r="Q40" s="1615" t="s">
        <v>1969</v>
      </c>
      <c r="R40" s="1615" t="s">
        <v>1970</v>
      </c>
      <c r="S40" s="3832" t="s">
        <v>1971</v>
      </c>
      <c r="T40" s="1649" t="str">
        <f>NUMBERSTRING(7-K40,1)&amp;"通"</f>
        <v>七通</v>
      </c>
      <c r="U40" s="3042"/>
    </row>
    <row r="41" spans="1:28">
      <c r="A41" s="1588"/>
      <c r="B41" s="3824" t="s">
        <v>1709</v>
      </c>
      <c r="C41" s="3824"/>
      <c r="D41" s="3824"/>
      <c r="E41" s="3824"/>
      <c r="F41" s="1650">
        <f>C10</f>
        <v>0</v>
      </c>
      <c r="G41" s="3062"/>
      <c r="H41" s="3062"/>
      <c r="I41" s="3066"/>
      <c r="J41" s="3062"/>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832"/>
      <c r="T41" s="1651" t="str">
        <f>IF(T40="一通",L41,IF(T40="二通",M41,IF(T40="三通",N41,IF(T40="四通",O41,IF(T40="五通",P41,IF(T40="六通",Q41,R41))))))</f>
        <v>、、、、、、</v>
      </c>
      <c r="U41" s="3042"/>
    </row>
    <row r="42" spans="1:28">
      <c r="A42" s="1653"/>
      <c r="B42" s="1680" t="s">
        <v>1885</v>
      </c>
      <c r="C42" s="1680" t="s">
        <v>1886</v>
      </c>
      <c r="D42" s="1680" t="s">
        <v>1887</v>
      </c>
      <c r="E42" s="1618" t="s">
        <v>1888</v>
      </c>
      <c r="F42" s="1654"/>
      <c r="G42" s="3062"/>
      <c r="H42" s="3062"/>
      <c r="I42" s="3066"/>
      <c r="J42" s="3062"/>
      <c r="K42" s="3045"/>
      <c r="L42" s="3041"/>
      <c r="M42" s="3041"/>
      <c r="N42" s="3042"/>
      <c r="O42" s="3043"/>
      <c r="P42" s="3042"/>
      <c r="Q42" s="3042"/>
      <c r="R42" s="3042"/>
      <c r="S42" s="3042"/>
      <c r="T42" s="3042"/>
      <c r="U42" s="3042"/>
    </row>
    <row r="43" spans="1:28">
      <c r="A43" s="3013" t="s">
        <v>1694</v>
      </c>
      <c r="B43" s="1655" t="s">
        <v>1398</v>
      </c>
      <c r="C43" s="1655" t="s">
        <v>1398</v>
      </c>
      <c r="D43" s="1655" t="s">
        <v>1398</v>
      </c>
      <c r="E43" s="1655"/>
      <c r="F43" s="1656"/>
      <c r="G43" s="3062"/>
      <c r="H43" s="3062"/>
      <c r="I43" s="3066"/>
      <c r="J43" s="3062"/>
      <c r="K43" s="3045"/>
      <c r="L43" s="3041"/>
      <c r="M43" s="3041"/>
      <c r="N43" s="3042"/>
      <c r="O43" s="3043"/>
      <c r="P43" s="3042"/>
      <c r="Q43" s="3042"/>
      <c r="R43" s="3042"/>
      <c r="S43" s="3042"/>
      <c r="T43" s="3042"/>
      <c r="U43" s="3042"/>
    </row>
    <row r="44" spans="1:28">
      <c r="A44" s="3013" t="s">
        <v>1695</v>
      </c>
      <c r="B44" s="1655" t="s">
        <v>1311</v>
      </c>
      <c r="C44" s="1655" t="s">
        <v>1311</v>
      </c>
      <c r="D44" s="1655" t="s">
        <v>1311</v>
      </c>
      <c r="E44" s="1703"/>
      <c r="F44" s="1656"/>
      <c r="G44" s="3062"/>
      <c r="H44" s="3062"/>
      <c r="I44" s="3066"/>
      <c r="J44" s="3062"/>
      <c r="K44" s="3045"/>
      <c r="L44" s="3041"/>
      <c r="M44" s="3041"/>
      <c r="N44" s="3042"/>
      <c r="O44" s="3043"/>
      <c r="P44" s="3042"/>
      <c r="Q44" s="3042"/>
      <c r="R44" s="3042"/>
      <c r="S44" s="3042"/>
      <c r="T44" s="3042"/>
      <c r="U44" s="3042"/>
    </row>
    <row r="45" spans="1:28" s="2770" customFormat="1" ht="21" thickBot="1">
      <c r="A45" s="2771" t="s">
        <v>2869</v>
      </c>
      <c r="B45" s="2769"/>
      <c r="C45" s="2769"/>
      <c r="D45" s="2769"/>
      <c r="E45" s="2769"/>
      <c r="F45" s="2769"/>
      <c r="G45" s="3052"/>
      <c r="H45" s="3052"/>
      <c r="I45" s="3053"/>
      <c r="J45" s="3065"/>
      <c r="K45" s="3050"/>
      <c r="L45" s="3051"/>
      <c r="M45" s="3051"/>
      <c r="N45" s="3052"/>
      <c r="O45" s="3053"/>
      <c r="P45" s="3052"/>
      <c r="Q45" s="3052"/>
      <c r="R45" s="3052"/>
      <c r="S45" s="3052"/>
      <c r="T45" s="3052"/>
      <c r="U45" s="3052"/>
      <c r="V45" s="3054"/>
      <c r="W45" s="3054"/>
      <c r="X45" s="3054"/>
      <c r="Y45" s="3054"/>
      <c r="Z45" s="3054"/>
      <c r="AA45" s="3054"/>
      <c r="AB45" s="3054"/>
    </row>
    <row r="46" spans="1:28">
      <c r="A46" s="1613"/>
      <c r="B46" s="1613"/>
      <c r="C46" s="1613"/>
      <c r="D46" s="1613"/>
      <c r="E46" s="1613"/>
      <c r="F46" s="1613"/>
      <c r="G46" s="1613"/>
      <c r="H46" s="1613"/>
      <c r="I46" s="1625"/>
      <c r="J46" s="1613"/>
      <c r="K46" s="3045"/>
      <c r="L46" s="3041"/>
      <c r="M46" s="3041"/>
      <c r="N46" s="3042"/>
      <c r="O46" s="3043"/>
      <c r="P46" s="3042"/>
      <c r="Q46" s="3042"/>
      <c r="R46" s="3042"/>
      <c r="S46" s="3042"/>
      <c r="T46" s="3042"/>
      <c r="U46" s="3042"/>
    </row>
    <row r="47" spans="1:28">
      <c r="A47" s="1657" t="s">
        <v>1992</v>
      </c>
      <c r="B47" s="1658"/>
      <c r="C47" s="1647"/>
      <c r="D47" s="1613"/>
      <c r="E47" s="1613"/>
      <c r="F47" s="1613"/>
      <c r="G47" s="1613"/>
      <c r="H47" s="1613"/>
      <c r="I47" s="1614"/>
      <c r="J47" s="1613"/>
      <c r="K47" s="3045"/>
      <c r="L47" s="3041"/>
      <c r="M47" s="3041"/>
      <c r="N47" s="3042"/>
      <c r="O47" s="3043"/>
      <c r="P47" s="3042"/>
      <c r="Q47" s="3042"/>
      <c r="R47" s="3042"/>
      <c r="S47" s="3042"/>
      <c r="T47" s="3042"/>
      <c r="U47" s="3042"/>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55" t="s">
        <v>2003</v>
      </c>
      <c r="L48" s="3055" t="s">
        <v>2004</v>
      </c>
      <c r="M48" s="3055" t="s">
        <v>2005</v>
      </c>
      <c r="N48" s="3056" t="s">
        <v>2006</v>
      </c>
      <c r="O48" s="3056" t="s">
        <v>2007</v>
      </c>
      <c r="P48" s="3056" t="s">
        <v>2008</v>
      </c>
      <c r="Q48" s="3047" t="s">
        <v>2009</v>
      </c>
      <c r="R48" s="3047" t="s">
        <v>2010</v>
      </c>
      <c r="S48" s="3042"/>
      <c r="T48" s="3042"/>
      <c r="U48" s="3042"/>
    </row>
    <row r="49" spans="1:21">
      <c r="A49" s="1615"/>
      <c r="B49" s="1648"/>
      <c r="C49" s="1648"/>
      <c r="D49" s="1648"/>
      <c r="E49" s="1648"/>
      <c r="F49" s="1648"/>
      <c r="G49" s="1648"/>
      <c r="H49" s="1648"/>
      <c r="I49" s="1648"/>
      <c r="J49" s="1750"/>
      <c r="K49" s="3057"/>
      <c r="L49" s="3057"/>
      <c r="M49" s="1654"/>
      <c r="N49" s="1654"/>
      <c r="O49" s="1654"/>
      <c r="P49" s="1654"/>
      <c r="Q49" s="1654"/>
      <c r="R49" s="1654"/>
      <c r="S49" s="3042"/>
      <c r="T49" s="3042"/>
      <c r="U49" s="3042"/>
    </row>
    <row r="50" spans="1:21">
      <c r="A50" s="1615"/>
      <c r="B50" s="1615"/>
      <c r="C50" s="1648"/>
      <c r="D50" s="1648"/>
      <c r="E50" s="1648"/>
      <c r="F50" s="1648"/>
      <c r="G50" s="1648"/>
      <c r="H50" s="1648"/>
      <c r="I50" s="1648"/>
      <c r="J50" s="1750"/>
      <c r="K50" s="3057"/>
      <c r="L50" s="3057"/>
      <c r="M50" s="1654"/>
      <c r="N50" s="1654"/>
      <c r="O50" s="1654"/>
      <c r="P50" s="1654"/>
      <c r="Q50" s="1654"/>
      <c r="R50" s="1654"/>
      <c r="S50" s="3042"/>
      <c r="T50" s="3042"/>
      <c r="U50" s="3042"/>
    </row>
    <row r="51" spans="1:21">
      <c r="A51" s="1615"/>
      <c r="B51" s="1615"/>
      <c r="C51" s="1648"/>
      <c r="D51" s="1648"/>
      <c r="E51" s="1648"/>
      <c r="F51" s="1648"/>
      <c r="G51" s="1648"/>
      <c r="H51" s="1648"/>
      <c r="I51" s="1648"/>
      <c r="J51" s="1750"/>
      <c r="K51" s="3057"/>
      <c r="L51" s="3057"/>
      <c r="M51" s="1654"/>
      <c r="N51" s="1654"/>
      <c r="O51" s="1654"/>
      <c r="P51" s="1654"/>
      <c r="Q51" s="1654"/>
      <c r="R51" s="1654"/>
      <c r="S51" s="3042"/>
      <c r="T51" s="3042"/>
      <c r="U51" s="3042"/>
    </row>
    <row r="52" spans="1:21">
      <c r="A52" s="1615"/>
      <c r="B52" s="1615"/>
      <c r="C52" s="1648"/>
      <c r="D52" s="1648"/>
      <c r="E52" s="1648"/>
      <c r="F52" s="1648"/>
      <c r="G52" s="1648"/>
      <c r="H52" s="1648"/>
      <c r="I52" s="1648"/>
      <c r="J52" s="1750"/>
      <c r="K52" s="3057"/>
      <c r="L52" s="3057"/>
      <c r="M52" s="1654"/>
      <c r="N52" s="1654"/>
      <c r="O52" s="1654"/>
      <c r="P52" s="1654"/>
      <c r="Q52" s="1654"/>
      <c r="R52" s="1654"/>
      <c r="S52" s="3042"/>
      <c r="T52" s="3042"/>
      <c r="U52" s="3042"/>
    </row>
    <row r="53" spans="1:21">
      <c r="A53" s="1615"/>
      <c r="B53" s="1615"/>
      <c r="C53" s="1648"/>
      <c r="D53" s="1648"/>
      <c r="E53" s="1648"/>
      <c r="F53" s="1648"/>
      <c r="G53" s="1648"/>
      <c r="H53" s="1648"/>
      <c r="I53" s="1648"/>
      <c r="J53" s="1750"/>
      <c r="K53" s="3057"/>
      <c r="L53" s="3057"/>
      <c r="M53" s="1654"/>
      <c r="N53" s="1654"/>
      <c r="O53" s="1654"/>
      <c r="P53" s="1654"/>
      <c r="Q53" s="1654"/>
      <c r="R53" s="1654"/>
      <c r="S53" s="3042"/>
      <c r="T53" s="3042"/>
      <c r="U53" s="3042"/>
    </row>
    <row r="54" spans="1:21">
      <c r="A54" s="1615"/>
      <c r="B54" s="1615"/>
      <c r="C54" s="1615"/>
      <c r="D54" s="1615"/>
      <c r="E54" s="1615"/>
      <c r="F54" s="1648"/>
      <c r="G54" s="1615"/>
      <c r="H54" s="1615"/>
      <c r="I54" s="1615"/>
      <c r="J54" s="1751"/>
      <c r="K54" s="3057"/>
      <c r="L54" s="3057"/>
      <c r="M54" s="3057"/>
      <c r="N54" s="3009"/>
      <c r="O54" s="3009"/>
      <c r="P54" s="3009"/>
      <c r="Q54" s="3009"/>
      <c r="R54" s="3009"/>
      <c r="S54" s="3042"/>
      <c r="T54" s="3042"/>
      <c r="U54" s="3042"/>
    </row>
    <row r="55" spans="1:21">
      <c r="A55" s="1615"/>
      <c r="B55" s="1615"/>
      <c r="C55" s="1615"/>
      <c r="D55" s="1615"/>
      <c r="E55" s="1615"/>
      <c r="F55" s="1648"/>
      <c r="G55" s="1615"/>
      <c r="H55" s="1615"/>
      <c r="I55" s="1615"/>
      <c r="J55" s="1751"/>
      <c r="K55" s="3057"/>
      <c r="L55" s="3057"/>
      <c r="M55" s="3057"/>
      <c r="N55" s="3009"/>
      <c r="O55" s="3009"/>
      <c r="P55" s="3009"/>
      <c r="Q55" s="3009"/>
      <c r="R55" s="3009"/>
      <c r="S55" s="3042"/>
      <c r="T55" s="3042"/>
      <c r="U55" s="3042"/>
    </row>
    <row r="56" spans="1:21">
      <c r="A56" s="1615"/>
      <c r="B56" s="1615"/>
      <c r="C56" s="1615"/>
      <c r="D56" s="1615"/>
      <c r="E56" s="1615"/>
      <c r="F56" s="1648"/>
      <c r="G56" s="1615"/>
      <c r="H56" s="1615"/>
      <c r="I56" s="1615"/>
      <c r="J56" s="1751"/>
      <c r="K56" s="3057"/>
      <c r="L56" s="3057"/>
      <c r="M56" s="3057"/>
      <c r="N56" s="3009"/>
      <c r="O56" s="3009"/>
      <c r="P56" s="3009"/>
      <c r="Q56" s="3009"/>
      <c r="R56" s="3009"/>
      <c r="S56" s="3042"/>
      <c r="T56" s="3042"/>
      <c r="U56" s="3042"/>
    </row>
    <row r="57" spans="1:21">
      <c r="A57" s="1615"/>
      <c r="B57" s="1615"/>
      <c r="C57" s="1615"/>
      <c r="D57" s="1615"/>
      <c r="E57" s="1615"/>
      <c r="F57" s="1648"/>
      <c r="G57" s="1615"/>
      <c r="H57" s="1615"/>
      <c r="I57" s="1615"/>
      <c r="J57" s="1751"/>
      <c r="K57" s="3057"/>
      <c r="L57" s="3057"/>
      <c r="M57" s="3057"/>
      <c r="N57" s="3009"/>
      <c r="O57" s="3009"/>
      <c r="P57" s="3009"/>
      <c r="Q57" s="3009"/>
      <c r="R57" s="3009"/>
      <c r="S57" s="3042"/>
      <c r="T57" s="3042"/>
      <c r="U57" s="3042"/>
    </row>
    <row r="58" spans="1:21">
      <c r="A58" s="1615"/>
      <c r="B58" s="1615"/>
      <c r="C58" s="1615"/>
      <c r="D58" s="1615"/>
      <c r="E58" s="1615"/>
      <c r="F58" s="1648"/>
      <c r="G58" s="1615"/>
      <c r="H58" s="1615"/>
      <c r="I58" s="1615"/>
      <c r="J58" s="1751"/>
      <c r="K58" s="3057"/>
      <c r="L58" s="3057"/>
      <c r="M58" s="3057"/>
      <c r="N58" s="3009"/>
      <c r="O58" s="3009"/>
      <c r="P58" s="3009"/>
      <c r="Q58" s="3009"/>
      <c r="R58" s="3009"/>
      <c r="S58" s="3042"/>
      <c r="T58" s="3042"/>
      <c r="U58" s="304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U13" activePane="bottomRight" state="frozen"/>
      <selection pane="topRight" activeCell="E1" sqref="E1"/>
      <selection pane="bottomLeft" activeCell="A12" sqref="A12"/>
      <selection pane="bottomRight" activeCell="A4" sqref="A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32">
        <v>81070.106</v>
      </c>
      <c r="B3" s="21">
        <f>IF(C3="否",G5-AT5,G5)</f>
        <v>771700</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771700</v>
      </c>
      <c r="H5" s="26">
        <f t="shared" ref="H5:AT5" si="0">SUM(H13:H641)</f>
        <v>771700</v>
      </c>
      <c r="I5" s="26">
        <f t="shared" si="0"/>
        <v>167500</v>
      </c>
      <c r="J5" s="26">
        <f t="shared" si="0"/>
        <v>0</v>
      </c>
      <c r="K5" s="26">
        <f t="shared" si="0"/>
        <v>302100</v>
      </c>
      <c r="L5" s="26">
        <f t="shared" si="0"/>
        <v>0</v>
      </c>
      <c r="M5" s="26">
        <f t="shared" si="0"/>
        <v>302100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771700</v>
      </c>
      <c r="BA5" s="28">
        <f t="shared" si="1"/>
        <v>771700</v>
      </c>
      <c r="BB5" s="28">
        <f t="shared" si="1"/>
        <v>167500</v>
      </c>
      <c r="BC5" s="28">
        <f t="shared" si="1"/>
        <v>302100</v>
      </c>
      <c r="BD5" s="28">
        <f t="shared" si="1"/>
        <v>302100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81070.11</v>
      </c>
      <c r="F6" s="26" t="s">
        <v>1</v>
      </c>
      <c r="G6" s="26" t="s">
        <v>2</v>
      </c>
      <c r="H6" s="32">
        <f>SUMIF(I$12:AB$12,"总值",I6:AB6)</f>
        <v>81070.11</v>
      </c>
      <c r="I6" s="26">
        <f t="shared" ref="I6:AB6" si="2">ROUND($A$3*I5/$B$3,2)</f>
        <v>17596.53</v>
      </c>
      <c r="J6" s="26">
        <f t="shared" si="2"/>
        <v>0</v>
      </c>
      <c r="K6" s="26">
        <f t="shared" si="2"/>
        <v>31736.79</v>
      </c>
      <c r="L6" s="26">
        <f t="shared" si="2"/>
        <v>0</v>
      </c>
      <c r="M6" s="26">
        <f t="shared" si="2"/>
        <v>31736.79</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81070.11</v>
      </c>
      <c r="AZ6" s="26" t="s">
        <v>3</v>
      </c>
      <c r="BA6" s="26">
        <f>ROUND($AY$6*BA5/$AZ$5,2)</f>
        <v>81070.11</v>
      </c>
      <c r="BB6" s="26">
        <f>ROUND($AY$6*BB5/$AZ$5,2)</f>
        <v>17596.53</v>
      </c>
      <c r="BC6" s="26">
        <f t="shared" ref="BC6:BH6" si="4">ROUND($AY$6*BC5/$AZ$5,2)</f>
        <v>31736.79</v>
      </c>
      <c r="BD6" s="26">
        <f t="shared" si="4"/>
        <v>31736.79</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3228</v>
      </c>
      <c r="J11" s="70"/>
      <c r="K11" s="2730" t="s">
        <v>3055</v>
      </c>
      <c r="L11" s="70"/>
      <c r="M11" s="69" t="s">
        <v>3056</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公寓</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81070.11</v>
      </c>
      <c r="F13" s="80"/>
      <c r="G13" s="81">
        <f t="shared" ref="G13:G20" si="7">H13+AC13+AT13</f>
        <v>771700</v>
      </c>
      <c r="H13" s="32">
        <f t="shared" ref="H13:H20" si="8">SUMIF(I$12:AB$12,"总值",I13:AB13)</f>
        <v>771700</v>
      </c>
      <c r="I13" s="3323">
        <v>167500</v>
      </c>
      <c r="J13" s="2728"/>
      <c r="K13" s="3323">
        <f>247100+55000</f>
        <v>302100</v>
      </c>
      <c r="L13" s="3323"/>
      <c r="M13" s="3323">
        <f>K13</f>
        <v>302100</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66">
        <f>ROUND($AY$6*AZ13/$AZ$5,3)</f>
        <v>81070.11</v>
      </c>
      <c r="AZ13" s="26">
        <f t="shared" ref="AZ13:AZ20" si="11">BA13+BL13</f>
        <v>771700</v>
      </c>
      <c r="BA13" s="26">
        <f t="shared" ref="BA13:BA20" si="12">SUM(BB13:BK13)</f>
        <v>771700</v>
      </c>
      <c r="BB13" s="26">
        <f t="shared" ref="BB13:BB20" si="13">IF($D13="是",I13-J13,0)</f>
        <v>167500</v>
      </c>
      <c r="BC13" s="26">
        <f t="shared" ref="BC13:BC20" si="14">IF($D13="是",K13-L13,0)</f>
        <v>302100</v>
      </c>
      <c r="BD13" s="26">
        <f t="shared" ref="BD13:BD20" si="15">IF($D13="是",M13-N13,0)</f>
        <v>302100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3146</v>
      </c>
      <c r="E14" s="26">
        <f t="shared" si="6"/>
        <v>0</v>
      </c>
      <c r="F14" s="80"/>
      <c r="G14" s="81">
        <f t="shared" si="7"/>
        <v>0</v>
      </c>
      <c r="H14" s="32">
        <f t="shared" si="8"/>
        <v>0</v>
      </c>
      <c r="I14" s="3323">
        <v>0</v>
      </c>
      <c r="J14" s="2728"/>
      <c r="K14" s="3323">
        <v>0</v>
      </c>
      <c r="L14" s="2728"/>
      <c r="M14" s="3323">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3146</v>
      </c>
      <c r="E15" s="26">
        <f t="shared" si="6"/>
        <v>0</v>
      </c>
      <c r="F15" s="80"/>
      <c r="G15" s="81">
        <f t="shared" si="7"/>
        <v>0</v>
      </c>
      <c r="H15" s="32">
        <f t="shared" si="8"/>
        <v>0</v>
      </c>
      <c r="I15" s="3323">
        <v>0</v>
      </c>
      <c r="J15" s="2728"/>
      <c r="K15" s="3323">
        <f>ROUND(I15*1.36%,3)</f>
        <v>0</v>
      </c>
      <c r="L15" s="2728"/>
      <c r="M15" s="3323">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60" t="s">
        <v>0</v>
      </c>
      <c r="B1" s="3860" t="s">
        <v>4</v>
      </c>
      <c r="C1" s="3860" t="s">
        <v>5</v>
      </c>
      <c r="D1" s="3861" t="s">
        <v>40</v>
      </c>
      <c r="E1" s="3861" t="s">
        <v>41</v>
      </c>
      <c r="F1" s="3861"/>
      <c r="G1" s="3861"/>
      <c r="H1" s="3861"/>
      <c r="I1" s="3861"/>
      <c r="J1" s="3861"/>
      <c r="K1" s="3861"/>
      <c r="L1" s="3861"/>
      <c r="M1" s="3861"/>
    </row>
    <row r="2" spans="1:13" ht="27" customHeight="1">
      <c r="A2" s="3860"/>
      <c r="B2" s="3860"/>
      <c r="C2" s="3860"/>
      <c r="D2" s="3861"/>
      <c r="E2" s="3861" t="s">
        <v>24</v>
      </c>
      <c r="F2" s="3861" t="s">
        <v>25</v>
      </c>
      <c r="G2" s="3861"/>
      <c r="H2" s="3861"/>
      <c r="I2" s="3861"/>
      <c r="J2" s="3861" t="s">
        <v>26</v>
      </c>
      <c r="K2" s="3861"/>
      <c r="L2" s="3861"/>
      <c r="M2" s="3861"/>
    </row>
    <row r="3" spans="1:13" ht="28.5">
      <c r="A3" s="3860"/>
      <c r="B3" s="3860"/>
      <c r="C3" s="3860"/>
      <c r="D3" s="3861"/>
      <c r="E3" s="38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61" t="s">
        <v>42</v>
      </c>
      <c r="B9" s="3861"/>
      <c r="C9" s="38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871" t="s">
        <v>201</v>
      </c>
      <c r="B2" s="3871"/>
      <c r="C2" s="3871"/>
      <c r="D2" s="1886" t="s">
        <v>202</v>
      </c>
      <c r="E2" s="105" t="s">
        <v>203</v>
      </c>
      <c r="F2" s="3071"/>
      <c r="G2" s="1179"/>
      <c r="H2" s="1180"/>
      <c r="I2" s="1181" t="s">
        <v>847</v>
      </c>
      <c r="J2" s="3071"/>
      <c r="K2" s="3071"/>
      <c r="L2" s="3071"/>
      <c r="M2" s="3071"/>
      <c r="N2" s="3071"/>
      <c r="O2" s="3071"/>
      <c r="P2" s="3071"/>
    </row>
    <row r="3" spans="1:16" ht="15.75" thickBot="1">
      <c r="A3" s="3872" t="s">
        <v>204</v>
      </c>
      <c r="B3" s="3872"/>
      <c r="C3" s="3872"/>
      <c r="D3" s="3365">
        <f>'数据-基础表'!AY6</f>
        <v>81070.11</v>
      </c>
      <c r="E3" s="106">
        <f>'数据-基础表'!AZ5</f>
        <v>771700</v>
      </c>
      <c r="F3" s="3071"/>
      <c r="G3" s="276" t="s">
        <v>848</v>
      </c>
      <c r="H3" s="271" t="s">
        <v>849</v>
      </c>
      <c r="I3" s="1887">
        <f>ROUND('数据-基础表'!B3/'数据-基础表'!A3,2)</f>
        <v>9.52</v>
      </c>
      <c r="J3" s="3071"/>
      <c r="K3" s="3071"/>
      <c r="L3" s="3071"/>
      <c r="M3" s="3071"/>
      <c r="N3" s="3071"/>
      <c r="O3" s="3071"/>
      <c r="P3" s="3071"/>
    </row>
    <row r="4" spans="1:16" ht="15">
      <c r="A4" s="3873"/>
      <c r="B4" s="3874"/>
      <c r="C4" s="3875"/>
      <c r="D4" s="107" t="s">
        <v>202</v>
      </c>
      <c r="E4" s="108" t="s">
        <v>203</v>
      </c>
      <c r="F4" s="3071"/>
      <c r="G4" s="1182"/>
      <c r="H4" s="271" t="s">
        <v>850</v>
      </c>
      <c r="I4" s="1887">
        <f>ROUND(SUMIF('数据-基础表'!I9:AS9,"地上",'数据-基础表'!I5:AS5)/'数据-基础表'!A3,2)</f>
        <v>9.52</v>
      </c>
      <c r="J4" s="3071"/>
      <c r="K4" s="3071"/>
      <c r="L4" s="3071"/>
      <c r="M4" s="3071"/>
      <c r="N4" s="3071"/>
      <c r="O4" s="3071"/>
      <c r="P4" s="3071"/>
    </row>
    <row r="5" spans="1:16">
      <c r="A5" s="109" t="s">
        <v>205</v>
      </c>
      <c r="B5" s="3876" t="s">
        <v>228</v>
      </c>
      <c r="C5" s="3876"/>
      <c r="D5" s="110">
        <f>ROUND($D$3*E5/$E$3,2)</f>
        <v>17596.53</v>
      </c>
      <c r="E5" s="111">
        <f>SUMIF('数据-基础表'!$11:$11,"住宅",'数据-基础表'!$5:$5)</f>
        <v>167500</v>
      </c>
      <c r="F5" s="3071"/>
      <c r="G5" s="276" t="s">
        <v>851</v>
      </c>
      <c r="H5" s="271" t="s">
        <v>849</v>
      </c>
      <c r="I5" s="1887">
        <f>ROUND(E31/D31,2)</f>
        <v>9.52</v>
      </c>
      <c r="J5" s="3071"/>
      <c r="K5" s="3071"/>
      <c r="L5" s="3071"/>
      <c r="M5" s="3071"/>
      <c r="N5" s="3071"/>
      <c r="O5" s="3071"/>
      <c r="P5" s="3071"/>
    </row>
    <row r="6" spans="1:16" ht="15" thickBot="1">
      <c r="A6" s="112"/>
      <c r="B6" s="3876" t="s">
        <v>206</v>
      </c>
      <c r="C6" s="3876"/>
      <c r="D6" s="110">
        <f>ROUND($D$3*E6/$E$3,2)</f>
        <v>63473.58</v>
      </c>
      <c r="E6" s="111">
        <f>E3-E5</f>
        <v>604200</v>
      </c>
      <c r="F6" s="3071"/>
      <c r="G6" s="1182"/>
      <c r="H6" s="271" t="s">
        <v>850</v>
      </c>
      <c r="I6" s="1887">
        <f>ROUND(F31/D31,2)</f>
        <v>9.52</v>
      </c>
      <c r="J6" s="3071"/>
      <c r="K6" s="3071"/>
      <c r="L6" s="3071"/>
      <c r="M6" s="3071"/>
      <c r="N6" s="3071"/>
      <c r="O6" s="3071"/>
      <c r="P6" s="3071"/>
    </row>
    <row r="7" spans="1:16" ht="15">
      <c r="A7" s="3868"/>
      <c r="B7" s="3869"/>
      <c r="C7" s="3870"/>
      <c r="D7" s="107" t="s">
        <v>202</v>
      </c>
      <c r="E7" s="113" t="s">
        <v>229</v>
      </c>
      <c r="F7" s="3071"/>
      <c r="G7" s="1137" t="s">
        <v>1633</v>
      </c>
      <c r="H7" s="1138"/>
      <c r="I7" s="1757">
        <f>ROUND((247100+55000+167500)/D3,2)</f>
        <v>5.79</v>
      </c>
      <c r="J7" s="3071"/>
      <c r="K7" s="3071"/>
      <c r="L7" s="3071"/>
      <c r="M7" s="3071"/>
      <c r="N7" s="3071"/>
      <c r="O7" s="3071"/>
      <c r="P7" s="3071"/>
    </row>
    <row r="8" spans="1:16">
      <c r="A8" s="109" t="s">
        <v>207</v>
      </c>
      <c r="B8" s="114" t="s">
        <v>208</v>
      </c>
      <c r="C8" s="110" t="s">
        <v>209</v>
      </c>
      <c r="D8" s="110">
        <f t="shared" ref="D8:D15" si="0">ROUND($D$3*E8/$E$3,2)</f>
        <v>81070.11</v>
      </c>
      <c r="E8" s="115">
        <f>SUMIF('数据-基础表'!BB10:BK10,"地上",'数据-基础表'!BB5:BK5)</f>
        <v>771700</v>
      </c>
      <c r="F8" s="3071"/>
      <c r="G8" s="3072"/>
      <c r="H8" s="3072"/>
      <c r="I8" s="3071"/>
      <c r="J8" s="3071"/>
      <c r="K8" s="3071"/>
      <c r="L8" s="3071"/>
      <c r="M8" s="3071"/>
      <c r="N8" s="3071"/>
      <c r="O8" s="3071"/>
      <c r="P8" s="3071"/>
    </row>
    <row r="9" spans="1:16">
      <c r="A9" s="116"/>
      <c r="B9" s="117"/>
      <c r="C9" s="110" t="s">
        <v>210</v>
      </c>
      <c r="D9" s="110">
        <f t="shared" si="0"/>
        <v>0</v>
      </c>
      <c r="E9" s="118">
        <v>0</v>
      </c>
      <c r="F9" s="3071"/>
      <c r="G9" s="3072"/>
      <c r="H9" s="3072"/>
      <c r="I9" s="3071"/>
      <c r="J9" s="3071"/>
      <c r="K9" s="3071"/>
      <c r="L9" s="3071"/>
      <c r="M9" s="3071"/>
      <c r="N9" s="3071"/>
      <c r="O9" s="3071"/>
      <c r="P9" s="3071"/>
    </row>
    <row r="10" spans="1:16">
      <c r="A10" s="116"/>
      <c r="B10" s="117"/>
      <c r="C10" s="110" t="s">
        <v>211</v>
      </c>
      <c r="D10" s="110">
        <f t="shared" si="0"/>
        <v>0</v>
      </c>
      <c r="E10" s="115">
        <f>SUMPRODUCT(('数据-基础表'!BB10:BK10="地下")*('数据-基础表'!BB11:BK11="商业")*('数据-基础表'!BB5:BK5))</f>
        <v>0</v>
      </c>
      <c r="F10" s="3071"/>
      <c r="G10" s="3072"/>
      <c r="H10" s="3072"/>
      <c r="I10" s="3071"/>
      <c r="J10" s="3071"/>
      <c r="K10" s="3071"/>
      <c r="L10" s="3071"/>
      <c r="M10" s="3071"/>
      <c r="N10" s="3071"/>
      <c r="O10" s="3071"/>
      <c r="P10" s="3071"/>
    </row>
    <row r="11" spans="1:16">
      <c r="A11" s="116"/>
      <c r="B11" s="117"/>
      <c r="C11" s="2208" t="s">
        <v>2312</v>
      </c>
      <c r="D11" s="110">
        <f t="shared" si="0"/>
        <v>0</v>
      </c>
      <c r="E11" s="115">
        <f>SUMPRODUCT(('数据-基础表'!BB10:BK10="地下")*('数据-基础表'!BB11:BK11="办公")*('数据-基础表'!BB5:BK5))+'数据-基础表'!AJ5</f>
        <v>0</v>
      </c>
      <c r="F11" s="3071"/>
      <c r="G11" s="3072"/>
      <c r="H11" s="3072"/>
      <c r="I11" s="3071"/>
      <c r="J11" s="3071"/>
      <c r="K11" s="3071"/>
      <c r="L11" s="3071"/>
      <c r="M11" s="3071"/>
      <c r="N11" s="3071"/>
      <c r="O11" s="3071"/>
      <c r="P11" s="3071"/>
    </row>
    <row r="12" spans="1:16">
      <c r="A12" s="116"/>
      <c r="B12" s="117"/>
      <c r="C12" s="110" t="s">
        <v>212</v>
      </c>
      <c r="D12" s="110">
        <f t="shared" si="0"/>
        <v>0</v>
      </c>
      <c r="E12" s="115">
        <f>SUMPRODUCT(('数据-基础表'!BB10:BK10="地下")*('数据-基础表'!BB11:BK11="仓储")*('数据-基础表'!BB5:BK5))</f>
        <v>0</v>
      </c>
      <c r="F12" s="3071"/>
      <c r="G12" s="3072"/>
      <c r="H12" s="3072"/>
      <c r="I12" s="3071"/>
      <c r="J12" s="3071"/>
      <c r="K12" s="3071"/>
      <c r="L12" s="3071"/>
      <c r="M12" s="3071"/>
      <c r="N12" s="3071"/>
      <c r="O12" s="3071"/>
      <c r="P12" s="3071"/>
    </row>
    <row r="13" spans="1:16">
      <c r="A13" s="116"/>
      <c r="B13" s="117"/>
      <c r="C13" s="2208" t="s">
        <v>2319</v>
      </c>
      <c r="D13" s="110">
        <f t="shared" si="0"/>
        <v>0</v>
      </c>
      <c r="E13" s="115">
        <f>SUMPRODUCT(('数据-基础表'!BB10:BK10="地下")*('数据-基础表'!BB11:BK11="车库")*('数据-基础表'!BB5:BK5))</f>
        <v>0</v>
      </c>
      <c r="F13" s="3071"/>
      <c r="G13" s="3072"/>
      <c r="H13" s="3072"/>
      <c r="I13" s="3071"/>
      <c r="J13" s="3071"/>
      <c r="K13" s="3071"/>
      <c r="L13" s="3071"/>
      <c r="M13" s="3071"/>
      <c r="N13" s="3071"/>
      <c r="O13" s="3071"/>
      <c r="P13" s="3071"/>
    </row>
    <row r="14" spans="1:16">
      <c r="A14" s="116"/>
      <c r="B14" s="117"/>
      <c r="C14" s="110" t="s">
        <v>230</v>
      </c>
      <c r="D14" s="110">
        <f t="shared" si="0"/>
        <v>0</v>
      </c>
      <c r="E14" s="115">
        <f>SUMPRODUCT(('数据-基础表'!BB10:BK10="地下")*('数据-基础表'!BB11:BK11="车库—商业")*('数据-基础表'!BB5:BK5))</f>
        <v>0</v>
      </c>
      <c r="F14" s="3071"/>
      <c r="G14" s="3072"/>
      <c r="H14" s="3072"/>
      <c r="I14" s="3071"/>
      <c r="J14" s="3071"/>
      <c r="K14" s="3071"/>
      <c r="L14" s="3071"/>
      <c r="M14" s="3071"/>
      <c r="N14" s="3071"/>
      <c r="O14" s="3071"/>
      <c r="P14" s="3071"/>
    </row>
    <row r="15" spans="1:16" ht="15" thickBot="1">
      <c r="A15" s="116"/>
      <c r="B15" s="117"/>
      <c r="C15" s="110" t="s">
        <v>231</v>
      </c>
      <c r="D15" s="110">
        <f t="shared" si="0"/>
        <v>0</v>
      </c>
      <c r="E15" s="115">
        <f>SUMPRODUCT(('数据-基础表'!BB10:BK10="地下")*('数据-基础表'!BB11:BK11="车库—办公")*('数据-基础表'!BB5:BK5))</f>
        <v>0</v>
      </c>
      <c r="F15" s="3071"/>
      <c r="G15" s="3072"/>
      <c r="H15" s="3072"/>
      <c r="I15" s="3071"/>
      <c r="J15" s="3071"/>
      <c r="K15" s="3071"/>
      <c r="L15" s="3071"/>
      <c r="M15" s="3071"/>
      <c r="N15" s="3071"/>
      <c r="O15" s="3071"/>
      <c r="P15" s="3071"/>
    </row>
    <row r="16" spans="1:16" ht="15.75" thickBot="1">
      <c r="A16" s="112"/>
      <c r="B16" s="117"/>
      <c r="C16" s="114" t="s">
        <v>213</v>
      </c>
      <c r="D16" s="114">
        <f>SUM(D8:D15)</f>
        <v>81070.11</v>
      </c>
      <c r="E16" s="119">
        <f>SUM(E8:E15)</f>
        <v>771700</v>
      </c>
      <c r="F16" s="3071"/>
      <c r="G16" s="3072"/>
      <c r="H16" s="954" t="s">
        <v>217</v>
      </c>
      <c r="I16" s="955"/>
      <c r="J16" s="1895"/>
      <c r="K16" s="3862" t="s">
        <v>2545</v>
      </c>
      <c r="L16" s="3863"/>
      <c r="M16" s="3863"/>
      <c r="N16" s="3863"/>
      <c r="O16" s="3863"/>
      <c r="P16" s="3864"/>
    </row>
    <row r="17" spans="1:19" ht="15">
      <c r="A17" s="120" t="s">
        <v>214</v>
      </c>
      <c r="B17" s="121" t="s">
        <v>215</v>
      </c>
      <c r="C17" s="2175" t="s">
        <v>2298</v>
      </c>
      <c r="D17" s="107" t="s">
        <v>202</v>
      </c>
      <c r="E17" s="123" t="s">
        <v>203</v>
      </c>
      <c r="F17" s="124"/>
      <c r="G17" s="1317"/>
      <c r="H17" s="956" t="s">
        <v>216</v>
      </c>
      <c r="I17" s="957" t="s">
        <v>2297</v>
      </c>
      <c r="J17" s="1895"/>
      <c r="K17" s="3865" t="s">
        <v>2546</v>
      </c>
      <c r="L17" s="3866"/>
      <c r="M17" s="3867"/>
      <c r="N17" s="3865" t="s">
        <v>2547</v>
      </c>
      <c r="O17" s="3866"/>
      <c r="P17" s="3867"/>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3229</v>
      </c>
      <c r="D19" s="110">
        <f t="shared" ref="D19:D26" si="1">ROUND($D$3*E19/$E$3,2)</f>
        <v>17596.53</v>
      </c>
      <c r="E19" s="133">
        <f t="shared" ref="E19:E26" si="2">SUM(F19:G19)</f>
        <v>167500</v>
      </c>
      <c r="F19" s="3324">
        <f>'数据-基础表'!I13</f>
        <v>167500</v>
      </c>
      <c r="G19" s="3074"/>
      <c r="H19" s="960">
        <f>ROUND($D$3*I19/$E$3,2)</f>
        <v>0</v>
      </c>
      <c r="I19" s="115">
        <f>IF($I$17="自定义",P19,M19)</f>
        <v>0</v>
      </c>
      <c r="J19" s="1895"/>
      <c r="K19" s="2449">
        <f t="shared" ref="K19:K26" si="3">ROUND(E$28*E19/E$27,2)</f>
        <v>0</v>
      </c>
      <c r="L19" s="271">
        <f t="shared" ref="L19:L26" si="4">ROUND(IF(COUNTIF(C19,"*住宅*")&gt;0,E$29*E19/E$32,0),2)</f>
        <v>0</v>
      </c>
      <c r="M19" s="2450">
        <f>K19+L19</f>
        <v>0</v>
      </c>
      <c r="N19" s="2451"/>
      <c r="O19" s="2452"/>
      <c r="P19" s="2453">
        <f>N19+O19</f>
        <v>0</v>
      </c>
      <c r="R19" s="271">
        <f t="shared" ref="R19:S26" si="5">D19+H19</f>
        <v>17596.53</v>
      </c>
      <c r="S19" s="2178">
        <f t="shared" si="5"/>
        <v>167500</v>
      </c>
    </row>
    <row r="20" spans="1:19">
      <c r="A20" s="136"/>
      <c r="B20" s="114" t="s">
        <v>224</v>
      </c>
      <c r="C20" s="2735" t="s">
        <v>3057</v>
      </c>
      <c r="D20" s="110">
        <f t="shared" si="1"/>
        <v>31736.79</v>
      </c>
      <c r="E20" s="133">
        <f t="shared" si="2"/>
        <v>302100</v>
      </c>
      <c r="F20" s="3073">
        <f>'数据-基础表'!K5</f>
        <v>302100</v>
      </c>
      <c r="G20" s="3074"/>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31736.79</v>
      </c>
      <c r="S20" s="2178">
        <f t="shared" si="5"/>
        <v>302100</v>
      </c>
    </row>
    <row r="21" spans="1:19">
      <c r="A21" s="136"/>
      <c r="B21" s="114" t="s">
        <v>224</v>
      </c>
      <c r="C21" s="2735" t="s">
        <v>3058</v>
      </c>
      <c r="D21" s="110">
        <f t="shared" si="1"/>
        <v>31736.79</v>
      </c>
      <c r="E21" s="133">
        <f t="shared" si="2"/>
        <v>302100</v>
      </c>
      <c r="F21" s="3073">
        <f>F20</f>
        <v>302100</v>
      </c>
      <c r="G21" s="3074"/>
      <c r="H21" s="960">
        <f t="shared" si="6"/>
        <v>0</v>
      </c>
      <c r="I21" s="115">
        <f t="shared" si="7"/>
        <v>0</v>
      </c>
      <c r="J21" s="1895"/>
      <c r="K21" s="2449">
        <f t="shared" si="3"/>
        <v>0</v>
      </c>
      <c r="L21" s="271">
        <f t="shared" si="4"/>
        <v>0</v>
      </c>
      <c r="M21" s="2450">
        <f t="shared" si="8"/>
        <v>0</v>
      </c>
      <c r="N21" s="2451"/>
      <c r="O21" s="2452"/>
      <c r="P21" s="2453">
        <f t="shared" si="9"/>
        <v>0</v>
      </c>
      <c r="R21" s="271">
        <f t="shared" si="5"/>
        <v>31736.79</v>
      </c>
      <c r="S21" s="2178">
        <f t="shared" si="5"/>
        <v>302100</v>
      </c>
    </row>
    <row r="22" spans="1:19">
      <c r="A22" s="136"/>
      <c r="B22" s="114" t="s">
        <v>224</v>
      </c>
      <c r="C22" s="1316"/>
      <c r="D22" s="110">
        <f t="shared" si="1"/>
        <v>0</v>
      </c>
      <c r="E22" s="133">
        <f t="shared" si="2"/>
        <v>0</v>
      </c>
      <c r="F22" s="3075"/>
      <c r="G22" s="3076"/>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75"/>
      <c r="G23" s="3076"/>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75"/>
      <c r="G24" s="3076"/>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75"/>
      <c r="G25" s="3076"/>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75"/>
      <c r="G26" s="3076"/>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29.25" thickBot="1">
      <c r="A27" s="136"/>
      <c r="B27" s="110"/>
      <c r="C27" s="126" t="s">
        <v>213</v>
      </c>
      <c r="D27" s="133">
        <f>SUM(D19:D26)</f>
        <v>81070.11</v>
      </c>
      <c r="E27" s="140">
        <f>IF(SUM(E19:E26)='数据-基础表'!BA5,SUM(E19:E26),IF(F27="地上面积有误","面积有误","地下面积有误"))</f>
        <v>771700</v>
      </c>
      <c r="F27" s="133">
        <f>IF(SUM(F19:F26)=E8,SUM(F19:F26),"地上面积有误")</f>
        <v>771700</v>
      </c>
      <c r="G27" s="111">
        <f>SUM(G19:G26)</f>
        <v>0</v>
      </c>
      <c r="H27" s="961">
        <f>SUM(H19:H26)</f>
        <v>0</v>
      </c>
      <c r="I27" s="962">
        <f>SUM(I19:I26)</f>
        <v>0</v>
      </c>
      <c r="J27" s="1895"/>
      <c r="K27" s="2458">
        <f>SUM(K19:K26)</f>
        <v>0</v>
      </c>
      <c r="L27" s="2459">
        <f>SUM(L19:L26)</f>
        <v>0</v>
      </c>
      <c r="M27" s="2460">
        <f>SUM(M19:M26)</f>
        <v>0</v>
      </c>
      <c r="N27" s="2458">
        <f t="shared" ref="N27:O27" si="10">SUM(N19:N26)</f>
        <v>0</v>
      </c>
      <c r="O27" s="2459">
        <f t="shared" si="10"/>
        <v>0</v>
      </c>
      <c r="P27" s="2461">
        <f>SUM(P19:P26)</f>
        <v>0</v>
      </c>
      <c r="R27" s="2182">
        <f>IF(SUM(R19:R26)=$D$3,SUM(R19:R26),SUM(R19:R26)&amp;"误差"&amp;ROUND(SUM(R19:R26)-$D$3,2))</f>
        <v>81070.11</v>
      </c>
      <c r="S27" s="271">
        <f>IF(SUM(S19:S26)=$E$3,SUM(S19:S26),SUM(S19:S26)&amp;"误差"&amp;ROUND(SUM(S19:S26)-E3,2))</f>
        <v>771700</v>
      </c>
    </row>
    <row r="28" spans="1:19">
      <c r="A28" s="136"/>
      <c r="B28" s="114" t="s">
        <v>225</v>
      </c>
      <c r="C28" s="134" t="s">
        <v>226</v>
      </c>
      <c r="D28" s="110">
        <f>ROUND($D$3*E28/$E$3,2)</f>
        <v>0</v>
      </c>
      <c r="E28" s="133">
        <f>SUM(F28:G28)</f>
        <v>0</v>
      </c>
      <c r="F28" s="141">
        <f>'数据-基础表'!BQ5+'数据-基础表'!BS5</f>
        <v>0</v>
      </c>
      <c r="G28" s="142">
        <f>'数据-基础表'!BR5+'数据-基础表'!BT5</f>
        <v>0</v>
      </c>
      <c r="H28" s="3071"/>
      <c r="I28" s="3071"/>
      <c r="J28" s="3071"/>
      <c r="K28" s="3071"/>
      <c r="L28" s="3071"/>
      <c r="M28" s="3071"/>
      <c r="N28" s="3071"/>
      <c r="O28" s="3071"/>
      <c r="P28" s="3071"/>
    </row>
    <row r="29" spans="1:19">
      <c r="A29" s="136"/>
      <c r="B29" s="114" t="s">
        <v>225</v>
      </c>
      <c r="C29" s="2190" t="s">
        <v>2305</v>
      </c>
      <c r="D29" s="110">
        <f>ROUND($D$3*E29/$E$3,2)</f>
        <v>0</v>
      </c>
      <c r="E29" s="133">
        <f>SUM(F29:G29)</f>
        <v>0</v>
      </c>
      <c r="F29" s="141">
        <f>'数据-基础表'!BM5+'数据-基础表'!BO5</f>
        <v>0</v>
      </c>
      <c r="G29" s="143">
        <f>'数据-基础表'!BN5+'数据-基础表'!BP5</f>
        <v>0</v>
      </c>
      <c r="H29" s="3071"/>
      <c r="I29" s="3071"/>
      <c r="J29" s="3071"/>
      <c r="K29" s="3071"/>
      <c r="L29" s="3071"/>
      <c r="M29" s="3071"/>
      <c r="N29" s="3071"/>
      <c r="O29" s="3071"/>
      <c r="P29" s="3071"/>
    </row>
    <row r="30" spans="1:19">
      <c r="A30" s="136"/>
      <c r="B30" s="110"/>
      <c r="C30" s="144" t="s">
        <v>213</v>
      </c>
      <c r="D30" s="133">
        <f>SUM(D28:D29)</f>
        <v>0</v>
      </c>
      <c r="E30" s="133">
        <f>SUM(E28:E29)</f>
        <v>0</v>
      </c>
      <c r="F30" s="133">
        <f>SUM(F28:F29)</f>
        <v>0</v>
      </c>
      <c r="G30" s="111">
        <f>SUM(G28:G29)</f>
        <v>0</v>
      </c>
      <c r="H30" s="3071"/>
      <c r="I30" s="3071"/>
      <c r="J30" s="3071"/>
      <c r="K30" s="3071"/>
      <c r="L30" s="3071"/>
      <c r="M30" s="3071"/>
      <c r="N30" s="3071"/>
      <c r="O30" s="3071"/>
      <c r="P30" s="3071"/>
    </row>
    <row r="31" spans="1:19" ht="32.25" customHeight="1" thickBot="1">
      <c r="A31" s="1319"/>
      <c r="B31" s="1320" t="s">
        <v>227</v>
      </c>
      <c r="C31" s="2207" t="s">
        <v>2307</v>
      </c>
      <c r="D31" s="1321">
        <f>D27+D30</f>
        <v>81070.11</v>
      </c>
      <c r="E31" s="1321">
        <f>E27+E30</f>
        <v>771700</v>
      </c>
      <c r="F31" s="1322">
        <f>F27+F30</f>
        <v>771700</v>
      </c>
      <c r="G31" s="1323">
        <f>G27+G30</f>
        <v>0</v>
      </c>
      <c r="H31" s="3071"/>
      <c r="I31" s="3071"/>
      <c r="J31" s="3071"/>
      <c r="K31" s="3071"/>
      <c r="L31" s="3071"/>
      <c r="M31" s="3071"/>
      <c r="N31" s="3071"/>
      <c r="O31" s="3071"/>
      <c r="P31" s="3071"/>
    </row>
    <row r="32" spans="1:19">
      <c r="A32" s="1895"/>
      <c r="B32" s="2219" t="s">
        <v>2306</v>
      </c>
      <c r="C32" s="2486"/>
      <c r="D32" s="1182"/>
      <c r="E32" s="1182">
        <f>SUMIF(C19:C26,"*住宅*",E19:E26)</f>
        <v>0</v>
      </c>
      <c r="F32" s="1182"/>
      <c r="G32" s="1182"/>
      <c r="H32" s="3071"/>
      <c r="I32" s="3071"/>
      <c r="J32" s="3071"/>
      <c r="K32" s="3071"/>
      <c r="L32" s="3071"/>
      <c r="M32" s="3071"/>
      <c r="N32" s="3071"/>
      <c r="O32" s="3071"/>
      <c r="P32" s="3071"/>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77" priority="1" stopIfTrue="1" operator="containsText" text="面积有误">
      <formula>NOT(ISERROR(SEARCH("面积有误",E27)))</formula>
    </cfRule>
    <cfRule type="cellIs" dxfId="276" priority="3" stopIfTrue="1" operator="equal">
      <formula>"地下面积有误"</formula>
    </cfRule>
  </conditionalFormatting>
  <conditionalFormatting sqref="F27">
    <cfRule type="cellIs" dxfId="2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78"/>
      <c r="AO1" s="3078"/>
      <c r="AP1" s="3078"/>
      <c r="AQ1" s="3078"/>
      <c r="AR1" s="3078"/>
      <c r="AS1" s="3078"/>
      <c r="AT1" s="3078"/>
      <c r="AU1" s="3078"/>
      <c r="AV1" s="3078"/>
      <c r="AW1" s="3078"/>
      <c r="AX1" s="3078"/>
      <c r="AY1" s="3078"/>
      <c r="AZ1" s="3078"/>
    </row>
    <row r="2" spans="1:83" s="1187" customFormat="1" ht="15.75" thickBot="1">
      <c r="A2" s="146" t="s">
        <v>233</v>
      </c>
      <c r="B2" s="2215">
        <f>项目基本情况!D3</f>
        <v>44545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1"/>
      <c r="AO2" s="3081"/>
      <c r="AP2" s="3081"/>
      <c r="AQ2" s="3081"/>
      <c r="AR2" s="3081"/>
      <c r="AS2" s="3081"/>
      <c r="AT2" s="3081"/>
      <c r="AU2" s="3081"/>
      <c r="AV2" s="3081"/>
      <c r="AW2" s="3081"/>
      <c r="AX2" s="3081"/>
      <c r="AY2" s="3081"/>
      <c r="AZ2" s="3081"/>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1"/>
      <c r="AO3" s="3081"/>
      <c r="AP3" s="3081"/>
      <c r="AQ3" s="3081"/>
      <c r="AR3" s="3081"/>
      <c r="AS3" s="3081"/>
      <c r="AT3" s="3081"/>
      <c r="AU3" s="3081"/>
      <c r="AV3" s="3081"/>
      <c r="AW3" s="3081"/>
      <c r="AX3" s="3081"/>
      <c r="AY3" s="3081"/>
      <c r="AZ3" s="3081"/>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1"/>
      <c r="AO4" s="3081"/>
      <c r="AP4" s="3081"/>
      <c r="AQ4" s="3081"/>
      <c r="AR4" s="3081"/>
      <c r="AS4" s="3081"/>
      <c r="AT4" s="3081"/>
      <c r="AU4" s="3081"/>
      <c r="AV4" s="3081"/>
      <c r="AW4" s="3081"/>
      <c r="AX4" s="3081"/>
      <c r="AY4" s="3081"/>
      <c r="AZ4" s="3081"/>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092"/>
      <c r="AP5" s="3077" t="s">
        <v>2967</v>
      </c>
      <c r="AQ5" s="3092"/>
      <c r="AR5" s="3092"/>
      <c r="AS5" s="3092"/>
      <c r="AT5" s="3092"/>
      <c r="AU5" s="3092"/>
      <c r="AV5" s="3092"/>
      <c r="AW5" s="3092"/>
      <c r="AX5" s="3092"/>
      <c r="AY5" s="3092"/>
      <c r="AZ5" s="3092"/>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公寓</v>
      </c>
      <c r="B6" s="2214" t="str">
        <f>IF(A6=0,"","经营性")</f>
        <v>经营性</v>
      </c>
      <c r="C6" s="170" t="s">
        <v>912</v>
      </c>
      <c r="D6" s="2185">
        <f>SUMIF(项目基本情况!D$15:I$15,C6,项目基本情况!D$18:I$18)</f>
        <v>70</v>
      </c>
      <c r="E6" s="2186">
        <f>IF(B6="","",SUMIF(项目基本情况!D$15:I$15,C6,项目基本情况!D$17:I$17))</f>
        <v>69976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167500</v>
      </c>
      <c r="L6" s="2737">
        <f>'[2]4个单元汇总表'!$B$23</f>
        <v>6000</v>
      </c>
      <c r="M6" s="174">
        <f t="shared" ref="M6:M14" si="0">ROUND(K6*L6/10000,0)</f>
        <v>100500</v>
      </c>
      <c r="N6" s="2738">
        <v>0</v>
      </c>
      <c r="O6" s="174">
        <f>IF($N$5="成新度","——",ROUND(M6*N6,0))</f>
        <v>0</v>
      </c>
      <c r="P6" s="175">
        <f>IF($N$5="成新度","——",M6-O6)</f>
        <v>100500</v>
      </c>
      <c r="Q6" s="2739">
        <f>'[2]4个单元汇总表'!$C$23</f>
        <v>0.35</v>
      </c>
      <c r="R6" s="176">
        <f>SUMIF('数据-汇总表'!C$19:C$33,A6,'数据-汇总表'!R$19:R$33)</f>
        <v>17596.53</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81"/>
      <c r="AP6" s="1185">
        <f>ROUND(1-1/(1+H6)^F6,3)</f>
        <v>0</v>
      </c>
      <c r="AQ6" s="3081"/>
      <c r="AR6" s="3081"/>
      <c r="AS6" s="3081"/>
      <c r="AT6" s="3081"/>
      <c r="AU6" s="3081"/>
      <c r="AV6" s="3081"/>
      <c r="AW6" s="3081"/>
      <c r="AX6" s="3081"/>
      <c r="AY6" s="3081"/>
      <c r="AZ6" s="3081"/>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6"/>
      <c r="I7" s="2736">
        <v>4.2000000000000003E-2</v>
      </c>
      <c r="J7" s="173"/>
      <c r="K7" s="176">
        <f>SUMIF('数据-汇总表'!C$19:C$33,'数据-取费表'!A7,'数据-汇总表'!E$19:E$33)</f>
        <v>302100</v>
      </c>
      <c r="L7" s="2737">
        <f>'[2]4个单元汇总表'!$B$21</f>
        <v>5000</v>
      </c>
      <c r="M7" s="174">
        <f t="shared" si="0"/>
        <v>151050</v>
      </c>
      <c r="N7" s="2738">
        <v>0</v>
      </c>
      <c r="O7" s="174">
        <f t="shared" ref="O7:O14" si="3">IF($N$5="成新度","——",ROUND(M7*N7,0))</f>
        <v>0</v>
      </c>
      <c r="P7" s="175">
        <f t="shared" ref="P7:P14" si="4">IF($N$5="成新度","——",M7-O7)</f>
        <v>151050</v>
      </c>
      <c r="Q7" s="2739">
        <f>'[2]4个单元汇总表'!$C$21</f>
        <v>0.25</v>
      </c>
      <c r="R7" s="176">
        <f>SUMIF('数据-汇总表'!C$19:C$33,A7,'数据-汇总表'!R$19:R$33)</f>
        <v>31736.79</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'不动产比较法-商业租金'!C48</f>
        <v>6.6</v>
      </c>
      <c r="V7" s="178">
        <v>0</v>
      </c>
      <c r="W7" s="178">
        <v>0.1</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80">
        <v>7.0000000000000001E-3</v>
      </c>
      <c r="AL7" s="3381">
        <v>8.0000000000000004E-4</v>
      </c>
      <c r="AM7" s="3382">
        <v>8.0000000000000002E-3</v>
      </c>
      <c r="AN7" s="2244" t="s">
        <v>3072</v>
      </c>
      <c r="AO7" s="3081"/>
      <c r="AP7" s="1185">
        <f t="shared" ref="AP7:AP13" si="8">ROUND(1-1/(1+H7)^F7,3)</f>
        <v>0</v>
      </c>
      <c r="AQ7" s="3081"/>
      <c r="AR7" s="3081"/>
      <c r="AS7" s="3081"/>
      <c r="AT7" s="3081"/>
      <c r="AU7" s="3081"/>
      <c r="AV7" s="3081"/>
      <c r="AW7" s="3081"/>
      <c r="AX7" s="3081"/>
      <c r="AY7" s="3081"/>
      <c r="AZ7" s="3081"/>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62671</v>
      </c>
      <c r="F8" s="171">
        <f>SUMIF(项目基本情况!D$15:I$15,C8,项目基本情况!D$19:I$19)</f>
        <v>50</v>
      </c>
      <c r="G8" s="172">
        <f t="shared" si="2"/>
        <v>0</v>
      </c>
      <c r="H8" s="2736"/>
      <c r="I8" s="2736">
        <v>3.5000000000000003E-2</v>
      </c>
      <c r="J8" s="173"/>
      <c r="K8" s="176">
        <f>SUMIF('数据-汇总表'!C$19:C$33,'数据-取费表'!A8,'数据-汇总表'!E$19:E$33)</f>
        <v>302100</v>
      </c>
      <c r="L8" s="2737">
        <f>'[2]4个单元汇总表'!$B$22</f>
        <v>5000</v>
      </c>
      <c r="M8" s="174">
        <f>ROUND(K8*L8/10000,0)</f>
        <v>151050</v>
      </c>
      <c r="N8" s="2738">
        <v>0</v>
      </c>
      <c r="O8" s="174">
        <f t="shared" si="3"/>
        <v>0</v>
      </c>
      <c r="P8" s="175">
        <f t="shared" si="4"/>
        <v>151050</v>
      </c>
      <c r="Q8" s="2739">
        <f>'[2]4个单元汇总表'!$C$22</f>
        <v>0.2</v>
      </c>
      <c r="R8" s="176">
        <f>SUMIF('数据-汇总表'!C$19:C$33,A8,'数据-汇总表'!R$19:R$33)</f>
        <v>31736.79</v>
      </c>
      <c r="S8" s="131">
        <f>IF('数据-汇总表'!$I$17="按面积比例",SUMIF('数据-汇总表'!C$19:C$33,A8,'数据-汇总表'!K$19:K$33),SUMIF('数据-汇总表'!C$19:C$33,A8,'数据-汇总表'!N$19:N$33))</f>
        <v>0</v>
      </c>
      <c r="T8" s="2111" t="str">
        <f t="shared" si="5"/>
        <v>0</v>
      </c>
      <c r="U8" s="177">
        <f>'不动产比较法-办公租金'!C49</f>
        <v>4</v>
      </c>
      <c r="V8" s="178">
        <v>0</v>
      </c>
      <c r="W8" s="3383">
        <v>0.05</v>
      </c>
      <c r="X8" s="2198"/>
      <c r="Y8" s="179">
        <v>1</v>
      </c>
      <c r="Z8" s="180"/>
      <c r="AA8" s="173"/>
      <c r="AB8" s="173"/>
      <c r="AC8" s="2201"/>
      <c r="AD8" s="181"/>
      <c r="AE8" s="958">
        <f t="shared" ca="1" si="6"/>
        <v>50</v>
      </c>
      <c r="AF8" s="138"/>
      <c r="AG8" s="1194">
        <f t="shared" si="7"/>
        <v>0</v>
      </c>
      <c r="AH8" s="138"/>
      <c r="AI8" s="184">
        <v>365</v>
      </c>
      <c r="AJ8" s="185"/>
      <c r="AK8" s="3380">
        <v>3.0000000000000001E-3</v>
      </c>
      <c r="AL8" s="3381">
        <v>2.9999999999999997E-4</v>
      </c>
      <c r="AM8" s="3382">
        <v>3.0000000000000001E-3</v>
      </c>
      <c r="AN8" s="2244" t="s">
        <v>3074</v>
      </c>
      <c r="AO8" s="3081"/>
      <c r="AP8" s="1185">
        <f t="shared" si="8"/>
        <v>0</v>
      </c>
      <c r="AQ8" s="3081"/>
      <c r="AR8" s="3081"/>
      <c r="AS8" s="3081"/>
      <c r="AT8" s="3081"/>
      <c r="AU8" s="3081"/>
      <c r="AV8" s="3081"/>
      <c r="AW8" s="3081"/>
      <c r="AX8" s="3081"/>
      <c r="AY8" s="3081"/>
      <c r="AZ8" s="3081"/>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80"/>
      <c r="AL9" s="3381"/>
      <c r="AM9" s="3382"/>
      <c r="AN9" s="2244"/>
      <c r="AO9" s="3081"/>
      <c r="AP9" s="1185">
        <f t="shared" si="8"/>
        <v>0</v>
      </c>
      <c r="AQ9" s="3081"/>
      <c r="AR9" s="3081"/>
      <c r="AS9" s="3081"/>
      <c r="AT9" s="3081"/>
      <c r="AU9" s="3081"/>
      <c r="AV9" s="3081"/>
      <c r="AW9" s="3081"/>
      <c r="AX9" s="3081"/>
      <c r="AY9" s="3081"/>
      <c r="AZ9" s="3081"/>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1"/>
      <c r="AP10" s="1185">
        <f t="shared" si="8"/>
        <v>0</v>
      </c>
      <c r="AQ10" s="3081"/>
      <c r="AR10" s="3081"/>
      <c r="AS10" s="3081"/>
      <c r="AT10" s="3081"/>
      <c r="AU10" s="3081"/>
      <c r="AV10" s="3081"/>
      <c r="AW10" s="3081"/>
      <c r="AX10" s="3081"/>
      <c r="AY10" s="3081"/>
      <c r="AZ10" s="3081"/>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1"/>
      <c r="AP11" s="1185">
        <f t="shared" si="8"/>
        <v>0</v>
      </c>
      <c r="AQ11" s="3081"/>
      <c r="AR11" s="3081"/>
      <c r="AS11" s="3081"/>
      <c r="AT11" s="3081"/>
      <c r="AU11" s="3081"/>
      <c r="AV11" s="3081"/>
      <c r="AW11" s="3081"/>
      <c r="AX11" s="3081"/>
      <c r="AY11" s="3081"/>
      <c r="AZ11" s="3081"/>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1"/>
      <c r="AP12" s="1185">
        <f t="shared" si="8"/>
        <v>0</v>
      </c>
      <c r="AQ12" s="3081"/>
      <c r="AR12" s="3081"/>
      <c r="AS12" s="3081"/>
      <c r="AT12" s="3081"/>
      <c r="AU12" s="3081"/>
      <c r="AV12" s="3081"/>
      <c r="AW12" s="3081"/>
      <c r="AX12" s="3081"/>
      <c r="AY12" s="3081"/>
      <c r="AZ12" s="3081"/>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1"/>
      <c r="AP13" s="1185">
        <f t="shared" si="8"/>
        <v>0</v>
      </c>
      <c r="AQ13" s="3081"/>
      <c r="AR13" s="3081"/>
      <c r="AS13" s="3081"/>
      <c r="AT13" s="3081"/>
      <c r="AU13" s="3081"/>
      <c r="AV13" s="3081"/>
      <c r="AW13" s="3081"/>
      <c r="AX13" s="3081"/>
      <c r="AY13" s="3081"/>
      <c r="AZ13" s="3081"/>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v>4000</v>
      </c>
      <c r="M14" s="174">
        <f t="shared" si="0"/>
        <v>0</v>
      </c>
      <c r="N14" s="191">
        <v>0</v>
      </c>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81"/>
      <c r="AO14" s="3081"/>
      <c r="AP14" s="3081"/>
      <c r="AQ14" s="3081"/>
      <c r="AR14" s="3081"/>
      <c r="AS14" s="3081"/>
      <c r="AT14" s="3081"/>
      <c r="AU14" s="3081"/>
      <c r="AV14" s="3081"/>
      <c r="AW14" s="3081"/>
      <c r="AX14" s="3081"/>
      <c r="AY14" s="3081"/>
      <c r="AZ14" s="3081"/>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81"/>
      <c r="AO15" s="3081"/>
      <c r="AP15" s="3081"/>
      <c r="AQ15" s="3081"/>
      <c r="AR15" s="3081"/>
      <c r="AS15" s="3081"/>
      <c r="AT15" s="3081"/>
      <c r="AU15" s="3081"/>
      <c r="AV15" s="3081"/>
      <c r="AW15" s="3081"/>
      <c r="AX15" s="3081"/>
      <c r="AY15" s="3081"/>
      <c r="AZ15" s="3081"/>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771700</v>
      </c>
      <c r="L16" s="203">
        <f>ROUND(M16*10000/SUM(K6:K14),0)</f>
        <v>5217</v>
      </c>
      <c r="M16" s="203">
        <f>SUM(M6:M14)</f>
        <v>402600</v>
      </c>
      <c r="N16" s="204">
        <f>ROUND(SUMPRODUCT(M6:M14,N6:N14)/M16,3)</f>
        <v>0</v>
      </c>
      <c r="O16" s="203">
        <f>SUM(O6:O14)</f>
        <v>0</v>
      </c>
      <c r="P16" s="203">
        <f>SUM(P6:P14)</f>
        <v>402600</v>
      </c>
      <c r="Q16" s="205">
        <f>ROUND(SUMPRODUCT(Q6:Q13,K6:K13)/SUMPRODUCT((Q6:Q13&gt;0)*(K6:K13)),2)</f>
        <v>0.25</v>
      </c>
      <c r="R16" s="2188">
        <f>SUM(R6:R13)</f>
        <v>81070.11</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1"/>
      <c r="AO16" s="3081"/>
      <c r="AP16" s="1185" t="e">
        <f>ROUND(SUMPRODUCT(AP6:AP13,K6:K13)/SUMPRODUCT((AP6:AP13&gt;0)*(K6:K13)),3)</f>
        <v>#DIV/0!</v>
      </c>
      <c r="AQ16" s="3081"/>
      <c r="AR16" s="3081"/>
      <c r="AS16" s="3081"/>
      <c r="AT16" s="3081"/>
      <c r="AU16" s="3081"/>
      <c r="AV16" s="3081"/>
      <c r="AW16" s="3081"/>
      <c r="AX16" s="3081"/>
      <c r="AY16" s="3081"/>
      <c r="AZ16" s="3081"/>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78"/>
      <c r="C17" s="3078"/>
      <c r="D17" s="3079"/>
      <c r="E17" s="3079"/>
      <c r="F17" s="3078"/>
      <c r="G17" s="3078"/>
      <c r="H17" s="3078"/>
      <c r="I17" s="3078"/>
      <c r="J17" s="3078"/>
      <c r="K17" s="3080"/>
      <c r="L17" s="3080"/>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8"/>
      <c r="AK17" s="3078"/>
      <c r="AL17" s="3078"/>
      <c r="AM17" s="3078"/>
      <c r="AN17" s="3078"/>
      <c r="AO17" s="3078"/>
      <c r="AP17" s="3078"/>
      <c r="AQ17" s="3078"/>
      <c r="AR17" s="3078"/>
      <c r="AS17" s="3078"/>
      <c r="AT17" s="3078"/>
      <c r="AU17" s="3078"/>
      <c r="AV17" s="3078"/>
      <c r="AW17" s="3078"/>
      <c r="AX17" s="3078"/>
      <c r="AY17" s="3078"/>
      <c r="AZ17" s="3078"/>
    </row>
    <row r="18" spans="1:83" ht="15" thickBot="1">
      <c r="A18" s="147" t="s">
        <v>261</v>
      </c>
      <c r="B18" s="3081"/>
      <c r="C18" s="3081"/>
      <c r="D18" s="3082"/>
      <c r="E18" s="3081"/>
      <c r="F18" s="3081"/>
      <c r="G18" s="3081"/>
      <c r="H18" s="3081"/>
      <c r="I18" s="3081"/>
      <c r="J18" s="3081"/>
      <c r="K18" s="3080"/>
      <c r="L18" s="3080"/>
      <c r="M18" s="3078"/>
      <c r="N18" s="3078"/>
      <c r="O18" s="3078"/>
      <c r="P18" s="3078"/>
      <c r="Q18" s="3078"/>
      <c r="R18" s="3078"/>
      <c r="S18" s="3078"/>
      <c r="T18" s="3078"/>
      <c r="U18" s="3078"/>
      <c r="V18" s="3078"/>
      <c r="W18" s="3078"/>
      <c r="X18" s="3078"/>
      <c r="Y18" s="3078"/>
      <c r="Z18" s="3078"/>
      <c r="AA18" s="3078"/>
      <c r="AB18" s="3078"/>
      <c r="AC18" s="3078"/>
      <c r="AD18" s="3078"/>
      <c r="AE18" s="3078"/>
      <c r="AF18" s="3078"/>
      <c r="AG18" s="3078"/>
      <c r="AH18" s="3078"/>
      <c r="AI18" s="3078"/>
      <c r="AJ18" s="3078"/>
      <c r="AK18" s="3078"/>
      <c r="AL18" s="3078"/>
      <c r="AM18" s="3078"/>
      <c r="AN18" s="3078"/>
      <c r="AO18" s="3078"/>
      <c r="AP18" s="3078"/>
      <c r="AQ18" s="3078"/>
      <c r="AR18" s="3078"/>
      <c r="AS18" s="3078"/>
      <c r="AT18" s="3078"/>
      <c r="AU18" s="3078"/>
      <c r="AV18" s="3078"/>
      <c r="AW18" s="3078"/>
      <c r="AX18" s="3078"/>
      <c r="AY18" s="3078"/>
      <c r="AZ18" s="3078"/>
    </row>
    <row r="19" spans="1:83" ht="14.25">
      <c r="A19" s="214" t="s">
        <v>262</v>
      </c>
      <c r="B19" s="215">
        <v>0</v>
      </c>
      <c r="C19" s="3093" t="s">
        <v>2980</v>
      </c>
      <c r="D19" s="3082"/>
      <c r="E19" s="3081"/>
      <c r="F19" s="3081"/>
      <c r="G19" s="3081"/>
      <c r="H19" s="3081"/>
      <c r="I19" s="3081"/>
      <c r="J19" s="3081"/>
      <c r="K19" s="3080"/>
      <c r="L19" s="3080"/>
      <c r="M19" s="3078"/>
      <c r="N19" s="3078"/>
      <c r="O19" s="3078"/>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8"/>
      <c r="AK19" s="3078"/>
      <c r="AL19" s="3078"/>
      <c r="AM19" s="3078"/>
      <c r="AN19" s="3078"/>
      <c r="AO19" s="3078"/>
      <c r="AP19" s="3078"/>
      <c r="AQ19" s="3078"/>
      <c r="AR19" s="3078"/>
      <c r="AS19" s="3078"/>
      <c r="AT19" s="3078"/>
      <c r="AU19" s="3078"/>
      <c r="AV19" s="3078"/>
      <c r="AW19" s="3078"/>
      <c r="AX19" s="3078"/>
      <c r="AY19" s="3078"/>
      <c r="AZ19" s="3078"/>
    </row>
    <row r="20" spans="1:83" ht="14.25">
      <c r="A20" s="216" t="s">
        <v>263</v>
      </c>
      <c r="B20" s="217">
        <f>'[2]4个单元汇总表'!$K$20</f>
        <v>3</v>
      </c>
      <c r="C20" s="3093" t="s">
        <v>2320</v>
      </c>
      <c r="D20" s="3082"/>
      <c r="E20" s="3081"/>
      <c r="F20" s="3081"/>
      <c r="G20" s="3081"/>
      <c r="H20" s="3081"/>
      <c r="I20" s="3081"/>
      <c r="J20" s="3081"/>
      <c r="K20" s="3080"/>
      <c r="L20" s="3080"/>
      <c r="M20" s="3078"/>
      <c r="N20" s="3078"/>
      <c r="O20" s="3078"/>
      <c r="P20" s="3078"/>
      <c r="Q20" s="3078"/>
      <c r="R20" s="3078"/>
      <c r="S20" s="3078"/>
      <c r="T20" s="3078"/>
      <c r="U20" s="3078"/>
      <c r="V20" s="3078"/>
      <c r="W20" s="3078"/>
      <c r="X20" s="3078"/>
      <c r="Y20" s="3078"/>
      <c r="Z20" s="3078"/>
      <c r="AA20" s="3078"/>
      <c r="AB20" s="3078"/>
      <c r="AC20" s="3078"/>
      <c r="AD20" s="3078"/>
      <c r="AE20" s="3078"/>
      <c r="AF20" s="3078"/>
      <c r="AG20" s="3078"/>
      <c r="AH20" s="3078"/>
      <c r="AI20" s="3078"/>
      <c r="AJ20" s="3078"/>
      <c r="AK20" s="3078"/>
      <c r="AL20" s="3078"/>
      <c r="AM20" s="3078"/>
      <c r="AN20" s="3078"/>
      <c r="AO20" s="3078"/>
      <c r="AP20" s="3078"/>
      <c r="AQ20" s="3078"/>
      <c r="AR20" s="3078"/>
      <c r="AS20" s="3078"/>
      <c r="AT20" s="3078"/>
      <c r="AU20" s="3078"/>
      <c r="AV20" s="3078"/>
      <c r="AW20" s="3078"/>
      <c r="AX20" s="3078"/>
      <c r="AY20" s="3078"/>
      <c r="AZ20" s="3078"/>
    </row>
    <row r="21" spans="1:83" ht="14.25">
      <c r="A21" s="218" t="s">
        <v>264</v>
      </c>
      <c r="B21" s="217">
        <v>0</v>
      </c>
      <c r="C21" s="3081"/>
      <c r="D21" s="3082"/>
      <c r="E21" s="3081"/>
      <c r="F21" s="3081"/>
      <c r="G21" s="3081"/>
      <c r="H21" s="3081"/>
      <c r="I21" s="3081"/>
      <c r="J21" s="3081"/>
      <c r="K21" s="3080"/>
      <c r="L21" s="3080"/>
      <c r="M21" s="3078"/>
      <c r="N21" s="3078"/>
      <c r="O21" s="3078"/>
      <c r="P21" s="3078"/>
      <c r="Q21" s="3078"/>
      <c r="R21" s="3078"/>
      <c r="S21" s="3078"/>
      <c r="T21" s="3078"/>
      <c r="U21" s="3078"/>
      <c r="V21" s="3078"/>
      <c r="W21" s="3078"/>
      <c r="X21" s="3078"/>
      <c r="Y21" s="3078"/>
      <c r="Z21" s="3078"/>
      <c r="AA21" s="3078"/>
      <c r="AB21" s="3078"/>
      <c r="AC21" s="3078"/>
      <c r="AD21" s="3078"/>
      <c r="AE21" s="3078"/>
      <c r="AF21" s="3078"/>
      <c r="AG21" s="3078"/>
      <c r="AH21" s="3078"/>
      <c r="AI21" s="3078"/>
      <c r="AJ21" s="3078"/>
      <c r="AK21" s="3078"/>
      <c r="AL21" s="3078"/>
      <c r="AM21" s="3078"/>
      <c r="AN21" s="3078"/>
      <c r="AO21" s="3078"/>
      <c r="AP21" s="3078"/>
      <c r="AQ21" s="3078"/>
      <c r="AR21" s="3078"/>
      <c r="AS21" s="3078"/>
      <c r="AT21" s="3078"/>
      <c r="AU21" s="3078"/>
      <c r="AV21" s="3078"/>
      <c r="AW21" s="3078"/>
      <c r="AX21" s="3078"/>
      <c r="AY21" s="3078"/>
      <c r="AZ21" s="3078"/>
    </row>
    <row r="22" spans="1:83" ht="14.25">
      <c r="A22" s="216" t="s">
        <v>265</v>
      </c>
      <c r="B22" s="219">
        <f>B19+B20</f>
        <v>3</v>
      </c>
      <c r="C22" s="3081"/>
      <c r="D22" s="3082"/>
      <c r="E22" s="3081"/>
      <c r="F22" s="3081"/>
      <c r="G22" s="3081"/>
      <c r="H22" s="3081"/>
      <c r="I22" s="3081"/>
      <c r="J22" s="3081"/>
      <c r="K22" s="3080"/>
      <c r="L22" s="3080"/>
      <c r="M22" s="3078"/>
      <c r="N22" s="3078"/>
      <c r="O22" s="3078"/>
      <c r="P22" s="3078"/>
      <c r="Q22" s="3078"/>
      <c r="R22" s="3078"/>
      <c r="S22" s="3078"/>
      <c r="T22" s="3078"/>
      <c r="U22" s="3078"/>
      <c r="V22" s="3078"/>
      <c r="W22" s="3078"/>
      <c r="X22" s="3078"/>
      <c r="Y22" s="3078"/>
      <c r="Z22" s="3078"/>
      <c r="AA22" s="3078"/>
      <c r="AB22" s="3078"/>
      <c r="AC22" s="3078"/>
      <c r="AD22" s="3078"/>
      <c r="AE22" s="3078"/>
      <c r="AF22" s="3078"/>
      <c r="AG22" s="3078"/>
      <c r="AH22" s="3078"/>
      <c r="AI22" s="3078"/>
      <c r="AJ22" s="3078"/>
      <c r="AK22" s="3078"/>
      <c r="AL22" s="3078"/>
      <c r="AM22" s="3078"/>
      <c r="AN22" s="3078"/>
      <c r="AO22" s="3078"/>
      <c r="AP22" s="3078"/>
      <c r="AQ22" s="3078"/>
      <c r="AR22" s="3078"/>
      <c r="AS22" s="3078"/>
      <c r="AT22" s="3078"/>
      <c r="AU22" s="3078"/>
      <c r="AV22" s="3078"/>
      <c r="AW22" s="3078"/>
      <c r="AX22" s="3078"/>
      <c r="AY22" s="3078"/>
      <c r="AZ22" s="3078"/>
    </row>
    <row r="23" spans="1:83" ht="14.25">
      <c r="A23" s="218" t="s">
        <v>266</v>
      </c>
      <c r="B23" s="219">
        <f>B19+B21</f>
        <v>0</v>
      </c>
      <c r="C23" s="3081"/>
      <c r="D23" s="3082"/>
      <c r="E23" s="3081"/>
      <c r="F23" s="3081"/>
      <c r="G23" s="3081"/>
      <c r="H23" s="3081"/>
      <c r="I23" s="3081"/>
      <c r="J23" s="3081"/>
      <c r="K23" s="3080"/>
      <c r="L23" s="3080"/>
      <c r="M23" s="3078"/>
      <c r="N23" s="3078"/>
      <c r="O23" s="3078"/>
      <c r="P23" s="3078"/>
      <c r="Q23" s="3078"/>
      <c r="R23" s="3078"/>
      <c r="S23" s="3078"/>
      <c r="T23" s="3078"/>
      <c r="U23" s="3078"/>
      <c r="V23" s="3078"/>
      <c r="W23" s="3078"/>
      <c r="X23" s="3078"/>
      <c r="Y23" s="3078"/>
      <c r="Z23" s="3078"/>
      <c r="AA23" s="3078"/>
      <c r="AB23" s="3078"/>
      <c r="AC23" s="3078"/>
      <c r="AD23" s="3078"/>
      <c r="AE23" s="3078"/>
      <c r="AF23" s="3078"/>
      <c r="AG23" s="3078"/>
      <c r="AH23" s="3078"/>
      <c r="AI23" s="3078"/>
      <c r="AJ23" s="3078"/>
      <c r="AK23" s="3078"/>
      <c r="AL23" s="3078"/>
      <c r="AM23" s="3078"/>
      <c r="AN23" s="3078"/>
      <c r="AO23" s="3078"/>
      <c r="AP23" s="3078"/>
      <c r="AQ23" s="3078"/>
      <c r="AR23" s="3078"/>
      <c r="AS23" s="3078"/>
      <c r="AT23" s="3078"/>
      <c r="AU23" s="3078"/>
      <c r="AV23" s="3078"/>
      <c r="AW23" s="3078"/>
      <c r="AX23" s="3078"/>
      <c r="AY23" s="3078"/>
      <c r="AZ23" s="3078"/>
    </row>
    <row r="24" spans="1:83" ht="15" thickBot="1">
      <c r="A24" s="220" t="s">
        <v>267</v>
      </c>
      <c r="B24" s="221">
        <f>B20-B21</f>
        <v>3</v>
      </c>
      <c r="C24" s="3081"/>
      <c r="D24" s="3082"/>
      <c r="E24" s="3081"/>
      <c r="F24" s="3081"/>
      <c r="G24" s="3081"/>
      <c r="H24" s="3081"/>
      <c r="I24" s="3081"/>
      <c r="J24" s="3081"/>
      <c r="K24" s="3080"/>
      <c r="L24" s="3080"/>
      <c r="M24" s="3078"/>
      <c r="N24" s="3078"/>
      <c r="O24" s="3078"/>
      <c r="P24" s="3078"/>
      <c r="Q24" s="3078"/>
      <c r="R24" s="3078"/>
      <c r="S24" s="3078"/>
      <c r="T24" s="3078"/>
      <c r="U24" s="3078"/>
      <c r="V24" s="3078"/>
      <c r="W24" s="3078"/>
      <c r="X24" s="3078"/>
      <c r="Y24" s="3078"/>
      <c r="Z24" s="3078"/>
      <c r="AA24" s="3078"/>
      <c r="AB24" s="3078"/>
      <c r="AC24" s="3078"/>
      <c r="AD24" s="3078"/>
      <c r="AE24" s="3078"/>
      <c r="AF24" s="3078"/>
      <c r="AG24" s="3078"/>
      <c r="AH24" s="3078"/>
      <c r="AI24" s="3078"/>
      <c r="AJ24" s="3078"/>
      <c r="AK24" s="3078"/>
      <c r="AL24" s="3078"/>
      <c r="AM24" s="3078"/>
      <c r="AN24" s="3078"/>
      <c r="AO24" s="3078"/>
      <c r="AP24" s="3078"/>
      <c r="AQ24" s="3078"/>
      <c r="AR24" s="3078"/>
      <c r="AS24" s="3078"/>
      <c r="AT24" s="3078"/>
      <c r="AU24" s="3078"/>
      <c r="AV24" s="3078"/>
      <c r="AW24" s="3078"/>
      <c r="AX24" s="3078"/>
      <c r="AY24" s="3078"/>
      <c r="AZ24" s="3078"/>
    </row>
    <row r="25" spans="1:83" ht="15" thickBot="1">
      <c r="A25" s="1188"/>
      <c r="B25" s="1185"/>
      <c r="C25" s="3081"/>
      <c r="D25" s="3082"/>
      <c r="E25" s="3081"/>
      <c r="F25" s="3081"/>
      <c r="G25" s="3081"/>
      <c r="H25" s="3081"/>
      <c r="I25" s="3081"/>
      <c r="J25" s="3081"/>
      <c r="K25" s="3080"/>
      <c r="L25" s="3080"/>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8"/>
      <c r="AK25" s="3078"/>
      <c r="AL25" s="3078"/>
      <c r="AM25" s="3078"/>
      <c r="AN25" s="3078"/>
      <c r="AO25" s="3078"/>
      <c r="AP25" s="3078"/>
      <c r="AQ25" s="3078"/>
      <c r="AR25" s="3078"/>
      <c r="AS25" s="3078"/>
      <c r="AT25" s="3078"/>
      <c r="AU25" s="3078"/>
      <c r="AV25" s="3078"/>
      <c r="AW25" s="3078"/>
      <c r="AX25" s="3078"/>
      <c r="AY25" s="3078"/>
      <c r="AZ25" s="3078"/>
    </row>
    <row r="26" spans="1:83" ht="15" thickBot="1">
      <c r="A26" s="146" t="s">
        <v>268</v>
      </c>
      <c r="B26" s="222" t="s">
        <v>269</v>
      </c>
      <c r="C26" s="3083" t="s">
        <v>270</v>
      </c>
      <c r="D26" s="3082"/>
      <c r="E26" s="3081"/>
      <c r="F26" s="3081"/>
      <c r="G26" s="3081"/>
      <c r="H26" s="3081"/>
      <c r="I26" s="3081"/>
      <c r="J26" s="3081"/>
      <c r="K26" s="3080"/>
      <c r="L26" s="3080"/>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8"/>
      <c r="AK26" s="3078"/>
      <c r="AL26" s="3078"/>
      <c r="AM26" s="3078"/>
      <c r="AN26" s="3078"/>
      <c r="AO26" s="3078"/>
      <c r="AP26" s="3078"/>
      <c r="AQ26" s="3078"/>
      <c r="AR26" s="3078"/>
      <c r="AS26" s="3078"/>
      <c r="AT26" s="3078"/>
      <c r="AU26" s="3078"/>
      <c r="AV26" s="3078"/>
      <c r="AW26" s="3078"/>
      <c r="AX26" s="3078"/>
      <c r="AY26" s="3078"/>
      <c r="AZ26" s="3078"/>
    </row>
    <row r="27" spans="1:83" s="1196" customFormat="1" ht="27.75">
      <c r="A27" s="223" t="s">
        <v>2322</v>
      </c>
      <c r="B27" s="224">
        <v>170</v>
      </c>
      <c r="C27" s="3094" t="s">
        <v>2981</v>
      </c>
      <c r="D27" s="3085"/>
      <c r="E27" s="3086"/>
      <c r="F27" s="3086"/>
      <c r="G27" s="3081"/>
      <c r="H27" s="3081"/>
      <c r="I27" s="3081"/>
      <c r="J27" s="3081"/>
      <c r="K27" s="3080"/>
      <c r="L27" s="3080"/>
      <c r="M27" s="3078"/>
      <c r="N27" s="3078"/>
      <c r="O27" s="3078"/>
      <c r="P27" s="3078"/>
      <c r="Q27" s="3078"/>
      <c r="R27" s="3078"/>
      <c r="S27" s="3078"/>
      <c r="T27" s="3078"/>
      <c r="U27" s="3078"/>
      <c r="V27" s="3078"/>
      <c r="W27" s="3078"/>
      <c r="X27" s="3078"/>
      <c r="Y27" s="3078"/>
      <c r="Z27" s="3078"/>
      <c r="AA27" s="3078"/>
      <c r="AB27" s="3078"/>
      <c r="AC27" s="3078"/>
      <c r="AD27" s="3078"/>
      <c r="AE27" s="3078"/>
      <c r="AF27" s="3078"/>
      <c r="AG27" s="3078"/>
      <c r="AH27" s="3078"/>
      <c r="AI27" s="3078"/>
      <c r="AJ27" s="3078"/>
      <c r="AK27" s="3078"/>
      <c r="AL27" s="3078"/>
      <c r="AM27" s="3078"/>
      <c r="AN27" s="3078"/>
      <c r="AO27" s="3078"/>
      <c r="AP27" s="3078"/>
      <c r="AQ27" s="3078"/>
      <c r="AR27" s="3078"/>
      <c r="AS27" s="3078"/>
      <c r="AT27" s="3078"/>
      <c r="AU27" s="3078"/>
      <c r="AV27" s="3078"/>
      <c r="AW27" s="3078"/>
      <c r="AX27" s="3078"/>
      <c r="AY27" s="3078"/>
      <c r="AZ27" s="3078"/>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87"/>
      <c r="D28" s="3085"/>
      <c r="E28" s="3086"/>
      <c r="F28" s="3086"/>
      <c r="G28" s="3081"/>
      <c r="H28" s="3081"/>
      <c r="I28" s="3081"/>
      <c r="J28" s="3081"/>
      <c r="K28" s="3080"/>
      <c r="L28" s="3080"/>
      <c r="M28" s="3078"/>
      <c r="N28" s="3078"/>
      <c r="O28" s="3078"/>
      <c r="P28" s="3078"/>
      <c r="Q28" s="3078"/>
      <c r="R28" s="3078"/>
      <c r="S28" s="3078"/>
      <c r="T28" s="3078"/>
      <c r="U28" s="3078"/>
      <c r="V28" s="3078"/>
      <c r="W28" s="3078"/>
      <c r="X28" s="3078"/>
      <c r="Y28" s="3078"/>
      <c r="Z28" s="3078"/>
      <c r="AA28" s="3078"/>
      <c r="AB28" s="3078"/>
      <c r="AC28" s="3078"/>
      <c r="AD28" s="3078"/>
      <c r="AE28" s="3078"/>
      <c r="AF28" s="3078"/>
      <c r="AG28" s="3078"/>
      <c r="AH28" s="3078"/>
      <c r="AI28" s="3078"/>
      <c r="AJ28" s="3078"/>
      <c r="AK28" s="3078"/>
      <c r="AL28" s="3078"/>
      <c r="AM28" s="3078"/>
      <c r="AN28" s="3078"/>
      <c r="AO28" s="3078"/>
      <c r="AP28" s="3078"/>
      <c r="AQ28" s="3078"/>
      <c r="AR28" s="3078"/>
      <c r="AS28" s="3078"/>
      <c r="AT28" s="3078"/>
      <c r="AU28" s="3078"/>
      <c r="AV28" s="3078"/>
      <c r="AW28" s="3078"/>
      <c r="AX28" s="3078"/>
      <c r="AY28" s="3078"/>
      <c r="AZ28" s="3078"/>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095" t="s">
        <v>2324</v>
      </c>
      <c r="D29" s="3085"/>
      <c r="E29" s="3086"/>
      <c r="F29" s="3086"/>
      <c r="G29" s="3081"/>
      <c r="H29" s="3081"/>
      <c r="I29" s="3081"/>
      <c r="J29" s="3081"/>
      <c r="K29" s="3080"/>
      <c r="L29" s="3080"/>
      <c r="M29" s="3078"/>
      <c r="N29" s="3078"/>
      <c r="O29" s="3078"/>
      <c r="P29" s="3078"/>
      <c r="Q29" s="3078"/>
      <c r="R29" s="3078"/>
      <c r="S29" s="3078"/>
      <c r="T29" s="3078"/>
      <c r="U29" s="3078"/>
      <c r="V29" s="3078"/>
      <c r="W29" s="3078"/>
      <c r="X29" s="3078"/>
      <c r="Y29" s="3078"/>
      <c r="Z29" s="3078"/>
      <c r="AA29" s="3078"/>
      <c r="AB29" s="3078"/>
      <c r="AC29" s="3078"/>
      <c r="AD29" s="3078"/>
      <c r="AE29" s="3078"/>
      <c r="AF29" s="3078"/>
      <c r="AG29" s="3078"/>
      <c r="AH29" s="3078"/>
      <c r="AI29" s="3078"/>
      <c r="AJ29" s="3078"/>
      <c r="AK29" s="3078"/>
      <c r="AL29" s="3078"/>
      <c r="AM29" s="3078"/>
      <c r="AN29" s="3078"/>
      <c r="AO29" s="3078"/>
      <c r="AP29" s="3078"/>
      <c r="AQ29" s="3078"/>
      <c r="AR29" s="3078"/>
      <c r="AS29" s="3078"/>
      <c r="AT29" s="3078"/>
      <c r="AU29" s="3078"/>
      <c r="AV29" s="3078"/>
      <c r="AW29" s="3078"/>
      <c r="AX29" s="3078"/>
      <c r="AY29" s="3078"/>
      <c r="AZ29" s="3078"/>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87"/>
      <c r="D30" s="3085"/>
      <c r="E30" s="3086"/>
      <c r="F30" s="3086"/>
      <c r="G30" s="3081"/>
      <c r="H30" s="3081"/>
      <c r="I30" s="3081"/>
      <c r="J30" s="3081"/>
      <c r="K30" s="3080"/>
      <c r="L30" s="3080"/>
      <c r="M30" s="3078"/>
      <c r="N30" s="3078"/>
      <c r="O30" s="3078"/>
      <c r="P30" s="3078"/>
      <c r="Q30" s="3078"/>
      <c r="R30" s="3078"/>
      <c r="S30" s="3078"/>
      <c r="T30" s="3078"/>
      <c r="U30" s="3078"/>
      <c r="V30" s="3078"/>
      <c r="W30" s="3078"/>
      <c r="X30" s="3078"/>
      <c r="Y30" s="3078"/>
      <c r="Z30" s="3078"/>
      <c r="AA30" s="3078"/>
      <c r="AB30" s="3078"/>
      <c r="AC30" s="3078"/>
      <c r="AD30" s="3078"/>
      <c r="AE30" s="3078"/>
      <c r="AF30" s="3078"/>
      <c r="AG30" s="3078"/>
      <c r="AH30" s="3078"/>
      <c r="AI30" s="3078"/>
      <c r="AJ30" s="3078"/>
      <c r="AK30" s="3078"/>
      <c r="AL30" s="3078"/>
      <c r="AM30" s="3078"/>
      <c r="AN30" s="3078"/>
      <c r="AO30" s="3078"/>
      <c r="AP30" s="3078"/>
      <c r="AQ30" s="3078"/>
      <c r="AR30" s="3078"/>
      <c r="AS30" s="3078"/>
      <c r="AT30" s="3078"/>
      <c r="AU30" s="3078"/>
      <c r="AV30" s="3078"/>
      <c r="AW30" s="3078"/>
      <c r="AX30" s="3078"/>
      <c r="AY30" s="3078"/>
      <c r="AZ30" s="3078"/>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-15</v>
      </c>
      <c r="C31" s="3084"/>
      <c r="D31" s="3085"/>
      <c r="E31" s="3086"/>
      <c r="F31" s="3086"/>
      <c r="G31" s="3081"/>
      <c r="H31" s="3081"/>
      <c r="I31" s="3081"/>
      <c r="J31" s="3081"/>
      <c r="K31" s="3080"/>
      <c r="L31" s="3080"/>
      <c r="M31" s="3078"/>
      <c r="N31" s="3078"/>
      <c r="O31" s="3078"/>
      <c r="P31" s="3078"/>
      <c r="Q31" s="3078"/>
      <c r="R31" s="3078"/>
      <c r="S31" s="3078"/>
      <c r="T31" s="3078"/>
      <c r="U31" s="3078"/>
      <c r="V31" s="3078"/>
      <c r="W31" s="3078"/>
      <c r="X31" s="3078"/>
      <c r="Y31" s="3078"/>
      <c r="Z31" s="3078"/>
      <c r="AA31" s="3078"/>
      <c r="AB31" s="3078"/>
      <c r="AC31" s="3078"/>
      <c r="AD31" s="3078"/>
      <c r="AE31" s="3078"/>
      <c r="AF31" s="3078"/>
      <c r="AG31" s="3078"/>
      <c r="AH31" s="3078"/>
      <c r="AI31" s="3078"/>
      <c r="AJ31" s="3078"/>
      <c r="AK31" s="3078"/>
      <c r="AL31" s="3078"/>
      <c r="AM31" s="3078"/>
      <c r="AN31" s="3078"/>
      <c r="AO31" s="3078"/>
      <c r="AP31" s="3078"/>
      <c r="AQ31" s="3078"/>
      <c r="AR31" s="3078"/>
      <c r="AS31" s="3078"/>
      <c r="AT31" s="3078"/>
      <c r="AU31" s="3078"/>
      <c r="AV31" s="3078"/>
      <c r="AW31" s="3078"/>
      <c r="AX31" s="3078"/>
      <c r="AY31" s="3078"/>
      <c r="AZ31" s="3078"/>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15</v>
      </c>
      <c r="C32" s="3087"/>
      <c r="D32" s="3082"/>
      <c r="E32" s="3081"/>
      <c r="F32" s="3081"/>
      <c r="G32" s="3081"/>
      <c r="H32" s="3081"/>
      <c r="I32" s="3081"/>
      <c r="J32" s="3081"/>
      <c r="K32" s="3080"/>
      <c r="L32" s="3080"/>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096" t="s">
        <v>2968</v>
      </c>
      <c r="D33" s="3085"/>
      <c r="E33" s="3086"/>
      <c r="F33" s="3086"/>
      <c r="G33" s="3081"/>
      <c r="H33" s="3081"/>
      <c r="I33" s="3081"/>
      <c r="J33" s="3081"/>
      <c r="K33" s="3080"/>
      <c r="L33" s="3080"/>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8"/>
      <c r="AK33" s="3078"/>
      <c r="AL33" s="3078"/>
      <c r="AM33" s="3078"/>
      <c r="AN33" s="3078"/>
      <c r="AO33" s="3078"/>
      <c r="AP33" s="3078"/>
      <c r="AQ33" s="3078"/>
      <c r="AR33" s="3078"/>
      <c r="AS33" s="3078"/>
      <c r="AT33" s="3078"/>
      <c r="AU33" s="3078"/>
      <c r="AV33" s="3078"/>
      <c r="AW33" s="3078"/>
      <c r="AX33" s="3078"/>
      <c r="AY33" s="3078"/>
      <c r="AZ33" s="3078"/>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096" t="s">
        <v>2969</v>
      </c>
      <c r="D34" s="3097" t="s">
        <v>2977</v>
      </c>
      <c r="E34" s="3078"/>
      <c r="F34" s="3081"/>
      <c r="G34" s="3081"/>
      <c r="H34" s="3081"/>
      <c r="I34" s="3081"/>
      <c r="J34" s="3081"/>
      <c r="K34" s="3080"/>
      <c r="L34" s="3080"/>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8"/>
      <c r="AK34" s="3078"/>
      <c r="AL34" s="3078"/>
      <c r="AM34" s="3078"/>
      <c r="AN34" s="3078"/>
      <c r="AO34" s="3078"/>
      <c r="AP34" s="3078"/>
      <c r="AQ34" s="3078"/>
      <c r="AR34" s="3078"/>
      <c r="AS34" s="3078"/>
      <c r="AT34" s="3078"/>
      <c r="AU34" s="3078"/>
      <c r="AV34" s="3078"/>
      <c r="AW34" s="3078"/>
      <c r="AX34" s="3078"/>
      <c r="AY34" s="3078"/>
      <c r="AZ34" s="3078"/>
    </row>
    <row r="35" spans="1:83" ht="14.25">
      <c r="A35" s="225" t="s">
        <v>274</v>
      </c>
      <c r="B35" s="226">
        <v>200</v>
      </c>
      <c r="C35" s="3096" t="s">
        <v>2970</v>
      </c>
      <c r="D35" s="3082"/>
      <c r="E35" s="3081"/>
      <c r="F35" s="3081"/>
      <c r="G35" s="3081"/>
      <c r="H35" s="3081"/>
      <c r="I35" s="3081"/>
      <c r="J35" s="3081"/>
      <c r="K35" s="3080"/>
      <c r="L35" s="3080"/>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8"/>
      <c r="AK35" s="3078"/>
      <c r="AL35" s="3078"/>
      <c r="AM35" s="3078"/>
      <c r="AN35" s="3078"/>
      <c r="AO35" s="3078"/>
      <c r="AP35" s="3078"/>
      <c r="AQ35" s="3078"/>
      <c r="AR35" s="3078"/>
      <c r="AS35" s="3078"/>
      <c r="AT35" s="3078"/>
      <c r="AU35" s="3078"/>
      <c r="AV35" s="3078"/>
      <c r="AW35" s="3078"/>
      <c r="AX35" s="3078"/>
      <c r="AY35" s="3078"/>
      <c r="AZ35" s="3078"/>
    </row>
    <row r="36" spans="1:83" ht="15" thickBot="1">
      <c r="A36" s="228" t="s">
        <v>275</v>
      </c>
      <c r="B36" s="231">
        <v>1.4999999999999999E-2</v>
      </c>
      <c r="C36" s="3096" t="s">
        <v>2971</v>
      </c>
      <c r="D36" s="3079"/>
      <c r="E36" s="3078"/>
      <c r="F36" s="3081"/>
      <c r="G36" s="3081"/>
      <c r="H36" s="3081"/>
      <c r="I36" s="3081"/>
      <c r="J36" s="3081"/>
      <c r="K36" s="3080"/>
      <c r="L36" s="3080"/>
      <c r="M36" s="3078"/>
      <c r="N36" s="3078"/>
      <c r="O36" s="3078"/>
      <c r="P36" s="3078"/>
      <c r="Q36" s="3078"/>
      <c r="R36" s="3078"/>
      <c r="S36" s="3078"/>
      <c r="T36" s="3078"/>
      <c r="U36" s="3078"/>
      <c r="V36" s="3078"/>
      <c r="W36" s="3078"/>
      <c r="X36" s="3078"/>
      <c r="Y36" s="3078"/>
      <c r="Z36" s="3078"/>
      <c r="AA36" s="3078"/>
      <c r="AB36" s="3078"/>
      <c r="AC36" s="3078"/>
      <c r="AD36" s="3078"/>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row>
    <row r="37" spans="1:83" ht="14.25">
      <c r="A37" s="232" t="s">
        <v>278</v>
      </c>
      <c r="B37" s="3387">
        <f>'[2]4个单元汇总表'!$K$21</f>
        <v>0.02</v>
      </c>
      <c r="C37" s="3096" t="s">
        <v>2972</v>
      </c>
      <c r="D37" s="3082"/>
      <c r="E37" s="3081"/>
      <c r="F37" s="3081"/>
      <c r="G37" s="3081"/>
      <c r="H37" s="3081"/>
      <c r="I37" s="3081"/>
      <c r="J37" s="3081"/>
      <c r="K37" s="3080"/>
      <c r="L37" s="3080"/>
      <c r="M37" s="3078"/>
      <c r="N37" s="3078"/>
      <c r="O37" s="3078"/>
      <c r="P37" s="3078"/>
      <c r="Q37" s="3078"/>
      <c r="R37" s="3078"/>
      <c r="S37" s="3078"/>
      <c r="T37" s="3078"/>
      <c r="U37" s="3078"/>
      <c r="V37" s="3078"/>
      <c r="W37" s="3078"/>
      <c r="X37" s="3078"/>
      <c r="Y37" s="3078"/>
      <c r="Z37" s="3078"/>
      <c r="AA37" s="3078"/>
      <c r="AB37" s="3078"/>
      <c r="AC37" s="3078"/>
      <c r="AD37" s="3078"/>
      <c r="AE37" s="3078"/>
      <c r="AF37" s="3078"/>
      <c r="AG37" s="3078"/>
      <c r="AH37" s="3078"/>
      <c r="AI37" s="3078"/>
      <c r="AJ37" s="3078"/>
      <c r="AK37" s="3078"/>
      <c r="AL37" s="3078"/>
      <c r="AM37" s="3078"/>
      <c r="AN37" s="3078"/>
      <c r="AO37" s="3078"/>
      <c r="AP37" s="3078"/>
      <c r="AQ37" s="3078"/>
      <c r="AR37" s="3078"/>
      <c r="AS37" s="3078"/>
      <c r="AT37" s="3078"/>
      <c r="AU37" s="3078"/>
      <c r="AV37" s="3078"/>
      <c r="AW37" s="3078"/>
      <c r="AX37" s="3078"/>
      <c r="AY37" s="3078"/>
      <c r="AZ37" s="3078"/>
    </row>
    <row r="38" spans="1:83" ht="14.25">
      <c r="A38" s="225" t="s">
        <v>279</v>
      </c>
      <c r="B38" s="3386">
        <f>'[2]4个单元汇总表'!$K$22</f>
        <v>0.02</v>
      </c>
      <c r="C38" s="3096" t="s">
        <v>2972</v>
      </c>
      <c r="D38" s="3082"/>
      <c r="E38" s="3081"/>
      <c r="F38" s="3081"/>
      <c r="G38" s="3081"/>
      <c r="H38" s="3081"/>
      <c r="I38" s="3081"/>
      <c r="J38" s="3081"/>
      <c r="K38" s="3080"/>
      <c r="L38" s="3080"/>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8"/>
      <c r="AL38" s="3078"/>
      <c r="AM38" s="3078"/>
      <c r="AN38" s="3078"/>
      <c r="AO38" s="3078"/>
      <c r="AP38" s="3078"/>
      <c r="AQ38" s="3078"/>
      <c r="AR38" s="3078"/>
      <c r="AS38" s="3078"/>
      <c r="AT38" s="3078"/>
      <c r="AU38" s="3078"/>
      <c r="AV38" s="3078"/>
      <c r="AW38" s="3078"/>
      <c r="AX38" s="3078"/>
      <c r="AY38" s="3078"/>
      <c r="AZ38" s="3078"/>
    </row>
    <row r="39" spans="1:83" ht="14.25">
      <c r="A39" s="2339" t="s">
        <v>2435</v>
      </c>
      <c r="B39" s="788">
        <f ca="1">存贷款利率!C4</f>
        <v>1.4999999999999999E-2</v>
      </c>
      <c r="C39" s="3088"/>
      <c r="D39" s="3082"/>
      <c r="E39" s="3081"/>
      <c r="F39" s="3081"/>
      <c r="G39" s="3081"/>
      <c r="H39" s="3081"/>
      <c r="I39" s="3081"/>
      <c r="J39" s="3081"/>
      <c r="K39" s="3080"/>
      <c r="L39" s="3080"/>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8"/>
      <c r="AK39" s="3078"/>
      <c r="AL39" s="3078"/>
      <c r="AM39" s="3078"/>
      <c r="AN39" s="3078"/>
      <c r="AO39" s="3078"/>
      <c r="AP39" s="3078"/>
      <c r="AQ39" s="3078"/>
      <c r="AR39" s="3078"/>
      <c r="AS39" s="3078"/>
      <c r="AT39" s="3078"/>
      <c r="AU39" s="3078"/>
      <c r="AV39" s="3078"/>
      <c r="AW39" s="3078"/>
      <c r="AX39" s="3078"/>
      <c r="AY39" s="3078"/>
      <c r="AZ39" s="3078"/>
    </row>
    <row r="40" spans="1:83" ht="15" thickBot="1">
      <c r="A40" s="2339" t="s">
        <v>2436</v>
      </c>
      <c r="B40" s="2331">
        <f ca="1">存贷款利率!E2</f>
        <v>4.7500000000000001E-2</v>
      </c>
      <c r="C40" s="3096" t="s">
        <v>2973</v>
      </c>
      <c r="D40" s="3082"/>
      <c r="E40" s="3081"/>
      <c r="F40" s="3081"/>
      <c r="G40" s="3081"/>
      <c r="H40" s="3081"/>
      <c r="I40" s="3081"/>
      <c r="J40" s="3081"/>
      <c r="K40" s="3080"/>
      <c r="L40" s="3080"/>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8"/>
      <c r="AK40" s="3078"/>
      <c r="AL40" s="3078"/>
      <c r="AM40" s="3078"/>
      <c r="AN40" s="3078"/>
      <c r="AO40" s="3078"/>
      <c r="AP40" s="3078"/>
      <c r="AQ40" s="3078"/>
      <c r="AR40" s="3078"/>
      <c r="AS40" s="3078"/>
      <c r="AT40" s="3078"/>
      <c r="AU40" s="3078"/>
      <c r="AV40" s="3078"/>
      <c r="AW40" s="3078"/>
      <c r="AX40" s="3078"/>
      <c r="AY40" s="3078"/>
      <c r="AZ40" s="3078"/>
    </row>
    <row r="41" spans="1:83" ht="14.25">
      <c r="A41" s="223" t="s">
        <v>280</v>
      </c>
      <c r="B41" s="234">
        <f>B42+B43</f>
        <v>5.5000000000000007E-2</v>
      </c>
      <c r="C41" s="3084"/>
      <c r="D41" s="3082"/>
      <c r="E41" s="3081"/>
      <c r="F41" s="3081"/>
      <c r="G41" s="3081"/>
      <c r="H41" s="3081"/>
      <c r="I41" s="3081"/>
      <c r="J41" s="3081"/>
      <c r="K41" s="3080"/>
      <c r="L41" s="3080"/>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8"/>
      <c r="AK41" s="3078"/>
      <c r="AL41" s="3078"/>
      <c r="AM41" s="3078"/>
      <c r="AN41" s="3078"/>
      <c r="AO41" s="3078"/>
      <c r="AP41" s="3078"/>
      <c r="AQ41" s="3078"/>
      <c r="AR41" s="3078"/>
      <c r="AS41" s="3078"/>
      <c r="AT41" s="3078"/>
      <c r="AU41" s="3078"/>
      <c r="AV41" s="3078"/>
      <c r="AW41" s="3078"/>
      <c r="AX41" s="3078"/>
      <c r="AY41" s="3078"/>
      <c r="AZ41" s="3078"/>
    </row>
    <row r="42" spans="1:83" ht="14.25">
      <c r="A42" s="965" t="s">
        <v>281</v>
      </c>
      <c r="B42" s="236">
        <v>0.05</v>
      </c>
      <c r="C42" s="3098">
        <f>IF(B2&lt;DATE(2016,5,1),0,B42)</f>
        <v>0.05</v>
      </c>
      <c r="D42" s="3082"/>
      <c r="E42" s="3081"/>
      <c r="F42" s="3081"/>
      <c r="G42" s="3081"/>
      <c r="H42" s="3081"/>
      <c r="I42" s="3081"/>
      <c r="J42" s="3081"/>
      <c r="K42" s="3080"/>
      <c r="L42" s="3080"/>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8"/>
      <c r="AL42" s="3078"/>
      <c r="AM42" s="3078"/>
      <c r="AN42" s="3078"/>
      <c r="AO42" s="3078"/>
      <c r="AP42" s="3078"/>
      <c r="AQ42" s="3078"/>
      <c r="AR42" s="3078"/>
      <c r="AS42" s="3078"/>
      <c r="AT42" s="3078"/>
      <c r="AU42" s="3078"/>
      <c r="AV42" s="3078"/>
      <c r="AW42" s="3078"/>
      <c r="AX42" s="3078"/>
      <c r="AY42" s="3078"/>
      <c r="AZ42" s="3078"/>
    </row>
    <row r="43" spans="1:83" ht="14.25">
      <c r="A43" s="965" t="s">
        <v>282</v>
      </c>
      <c r="B43" s="237">
        <f>B42*(B44+B45+B46)+B47</f>
        <v>5.000000000000001E-3</v>
      </c>
      <c r="C43" s="3084"/>
      <c r="D43" s="3082"/>
      <c r="E43" s="3081"/>
      <c r="F43" s="3081"/>
      <c r="G43" s="3081"/>
      <c r="H43" s="3081"/>
      <c r="I43" s="3081"/>
      <c r="J43" s="3081"/>
      <c r="K43" s="3080"/>
      <c r="L43" s="3080"/>
      <c r="M43" s="3078"/>
      <c r="N43" s="3078"/>
      <c r="O43" s="3078"/>
      <c r="P43" s="3078"/>
      <c r="Q43" s="3078"/>
      <c r="R43" s="3078"/>
      <c r="S43" s="3078"/>
      <c r="T43" s="3078"/>
      <c r="U43" s="3078"/>
      <c r="V43" s="3078"/>
      <c r="W43" s="3078"/>
      <c r="X43" s="3078"/>
      <c r="Y43" s="3078"/>
      <c r="Z43" s="3078"/>
      <c r="AA43" s="3078"/>
      <c r="AB43" s="3078"/>
      <c r="AC43" s="3078"/>
      <c r="AD43" s="3078"/>
      <c r="AE43" s="3078"/>
      <c r="AF43" s="3078"/>
      <c r="AG43" s="3078"/>
      <c r="AH43" s="3078"/>
      <c r="AI43" s="3078"/>
      <c r="AJ43" s="3078"/>
      <c r="AK43" s="3078"/>
      <c r="AL43" s="3078"/>
      <c r="AM43" s="3078"/>
      <c r="AN43" s="3078"/>
      <c r="AO43" s="3078"/>
      <c r="AP43" s="3078"/>
      <c r="AQ43" s="3078"/>
      <c r="AR43" s="3078"/>
      <c r="AS43" s="3078"/>
      <c r="AT43" s="3078"/>
      <c r="AU43" s="3078"/>
      <c r="AV43" s="3078"/>
      <c r="AW43" s="3078"/>
      <c r="AX43" s="3078"/>
      <c r="AY43" s="3078"/>
      <c r="AZ43" s="3078"/>
    </row>
    <row r="44" spans="1:83" ht="14.25">
      <c r="A44" s="235" t="s">
        <v>283</v>
      </c>
      <c r="B44" s="238">
        <v>0.05</v>
      </c>
      <c r="C44" s="3096" t="s">
        <v>2978</v>
      </c>
      <c r="D44" s="3082"/>
      <c r="E44" s="3081"/>
      <c r="F44" s="3081"/>
      <c r="G44" s="3081"/>
      <c r="H44" s="3081"/>
      <c r="I44" s="3081"/>
      <c r="J44" s="3081"/>
      <c r="K44" s="3080"/>
      <c r="L44" s="3080"/>
      <c r="M44" s="3078"/>
      <c r="N44" s="3078"/>
      <c r="O44" s="3078"/>
      <c r="P44" s="3078"/>
      <c r="Q44" s="3078"/>
      <c r="R44" s="3078"/>
      <c r="S44" s="3078"/>
      <c r="T44" s="3078"/>
      <c r="U44" s="3078"/>
      <c r="V44" s="3078"/>
      <c r="W44" s="3078"/>
      <c r="X44" s="3078"/>
      <c r="Y44" s="3078"/>
      <c r="Z44" s="3078"/>
      <c r="AA44" s="3078"/>
      <c r="AB44" s="3078"/>
      <c r="AC44" s="3078"/>
      <c r="AD44" s="3078"/>
      <c r="AE44" s="3078"/>
      <c r="AF44" s="3078"/>
      <c r="AG44" s="3078"/>
      <c r="AH44" s="3078"/>
      <c r="AI44" s="3078"/>
      <c r="AJ44" s="3078"/>
      <c r="AK44" s="3078"/>
      <c r="AL44" s="3078"/>
      <c r="AM44" s="3078"/>
      <c r="AN44" s="3078"/>
      <c r="AO44" s="3078"/>
      <c r="AP44" s="3078"/>
      <c r="AQ44" s="3078"/>
      <c r="AR44" s="3078"/>
      <c r="AS44" s="3078"/>
      <c r="AT44" s="3078"/>
      <c r="AU44" s="3078"/>
      <c r="AV44" s="3078"/>
      <c r="AW44" s="3078"/>
      <c r="AX44" s="3078"/>
      <c r="AY44" s="3078"/>
      <c r="AZ44" s="3078"/>
    </row>
    <row r="45" spans="1:83" ht="14.25">
      <c r="A45" s="235" t="s">
        <v>284</v>
      </c>
      <c r="B45" s="236">
        <v>0.03</v>
      </c>
      <c r="C45" s="3099" t="s">
        <v>2974</v>
      </c>
      <c r="D45" s="3082"/>
      <c r="E45" s="3081"/>
      <c r="F45" s="3081"/>
      <c r="G45" s="3081"/>
      <c r="H45" s="3081"/>
      <c r="I45" s="3081"/>
      <c r="J45" s="3081"/>
      <c r="K45" s="3080"/>
      <c r="L45" s="3080"/>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8"/>
      <c r="AL45" s="3078"/>
      <c r="AM45" s="3078"/>
      <c r="AN45" s="3078"/>
      <c r="AO45" s="3078"/>
      <c r="AP45" s="3078"/>
      <c r="AQ45" s="3078"/>
      <c r="AR45" s="3078"/>
      <c r="AS45" s="3078"/>
      <c r="AT45" s="3078"/>
      <c r="AU45" s="3078"/>
      <c r="AV45" s="3078"/>
      <c r="AW45" s="3078"/>
      <c r="AX45" s="3078"/>
      <c r="AY45" s="3078"/>
      <c r="AZ45" s="3078"/>
    </row>
    <row r="46" spans="1:83" ht="14.25">
      <c r="A46" s="235" t="s">
        <v>285</v>
      </c>
      <c r="B46" s="236">
        <v>0.02</v>
      </c>
      <c r="C46" s="3099" t="s">
        <v>2975</v>
      </c>
      <c r="D46" s="3082"/>
      <c r="E46" s="3081"/>
      <c r="F46" s="3081"/>
      <c r="G46" s="3081"/>
      <c r="H46" s="3081"/>
      <c r="I46" s="3081"/>
      <c r="J46" s="3081"/>
      <c r="K46" s="3080"/>
      <c r="L46" s="3080"/>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8"/>
      <c r="AL46" s="3078"/>
      <c r="AM46" s="3078"/>
      <c r="AN46" s="3078"/>
      <c r="AO46" s="3078"/>
      <c r="AP46" s="3078"/>
      <c r="AQ46" s="3078"/>
      <c r="AR46" s="3078"/>
      <c r="AS46" s="3078"/>
      <c r="AT46" s="3078"/>
      <c r="AU46" s="3078"/>
      <c r="AV46" s="3078"/>
      <c r="AW46" s="3078"/>
      <c r="AX46" s="3078"/>
      <c r="AY46" s="3078"/>
      <c r="AZ46" s="3078"/>
    </row>
    <row r="47" spans="1:83" ht="15" thickBot="1">
      <c r="A47" s="239" t="s">
        <v>286</v>
      </c>
      <c r="B47" s="240"/>
      <c r="C47" s="3094" t="s">
        <v>2982</v>
      </c>
      <c r="D47" s="3082"/>
      <c r="E47" s="3081"/>
      <c r="F47" s="3081"/>
      <c r="G47" s="3081"/>
      <c r="H47" s="3081"/>
      <c r="I47" s="3081"/>
      <c r="J47" s="3081"/>
      <c r="K47" s="3080"/>
      <c r="L47" s="3080"/>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8"/>
      <c r="AK47" s="3078"/>
      <c r="AL47" s="3078"/>
      <c r="AM47" s="3078"/>
      <c r="AN47" s="3078"/>
      <c r="AO47" s="3078"/>
      <c r="AP47" s="3078"/>
      <c r="AQ47" s="3078"/>
      <c r="AR47" s="3078"/>
      <c r="AS47" s="3078"/>
      <c r="AT47" s="3078"/>
      <c r="AU47" s="3078"/>
      <c r="AV47" s="3078"/>
      <c r="AW47" s="3078"/>
      <c r="AX47" s="3078"/>
      <c r="AY47" s="3078"/>
      <c r="AZ47" s="3078"/>
    </row>
    <row r="48" spans="1:83" ht="14.25">
      <c r="A48" s="241" t="s">
        <v>287</v>
      </c>
      <c r="B48" s="242">
        <v>0.03</v>
      </c>
      <c r="C48" s="3099" t="s">
        <v>2974</v>
      </c>
      <c r="D48" s="3082"/>
      <c r="E48" s="3081"/>
      <c r="F48" s="3081"/>
      <c r="G48" s="3081"/>
      <c r="H48" s="3081"/>
      <c r="I48" s="3081"/>
      <c r="J48" s="3081"/>
      <c r="K48" s="3080"/>
      <c r="L48" s="3080"/>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8"/>
      <c r="AK48" s="3078"/>
      <c r="AL48" s="3078"/>
      <c r="AM48" s="3078"/>
      <c r="AN48" s="3078"/>
      <c r="AO48" s="3078"/>
      <c r="AP48" s="3078"/>
      <c r="AQ48" s="3078"/>
      <c r="AR48" s="3078"/>
      <c r="AS48" s="3078"/>
      <c r="AT48" s="3078"/>
      <c r="AU48" s="3078"/>
      <c r="AV48" s="3078"/>
      <c r="AW48" s="3078"/>
      <c r="AX48" s="3078"/>
      <c r="AY48" s="3078"/>
      <c r="AZ48" s="3078"/>
    </row>
    <row r="49" spans="1:52" ht="15" thickBot="1">
      <c r="A49" s="233" t="s">
        <v>288</v>
      </c>
      <c r="B49" s="236">
        <v>5.0000000000000001E-4</v>
      </c>
      <c r="C49" s="3099" t="s">
        <v>2976</v>
      </c>
      <c r="D49" s="3082"/>
      <c r="E49" s="3081"/>
      <c r="F49" s="3081"/>
      <c r="G49" s="3081"/>
      <c r="H49" s="3081"/>
      <c r="I49" s="3081"/>
      <c r="J49" s="3081"/>
      <c r="K49" s="3080"/>
      <c r="L49" s="3080"/>
      <c r="M49" s="3078"/>
      <c r="N49" s="3078"/>
      <c r="O49" s="3078"/>
      <c r="P49" s="3078"/>
      <c r="Q49" s="3078"/>
      <c r="R49" s="3078"/>
      <c r="S49" s="3078"/>
      <c r="T49" s="3078"/>
      <c r="U49" s="3078"/>
      <c r="V49" s="3078"/>
      <c r="W49" s="3078"/>
      <c r="X49" s="3078"/>
      <c r="Y49" s="3078"/>
      <c r="Z49" s="3078"/>
      <c r="AA49" s="3078"/>
      <c r="AB49" s="3078"/>
      <c r="AC49" s="3078"/>
      <c r="AD49" s="3078"/>
      <c r="AE49" s="3078"/>
      <c r="AF49" s="3078"/>
      <c r="AG49" s="3078"/>
      <c r="AH49" s="3078"/>
      <c r="AI49" s="3078"/>
      <c r="AJ49" s="3078"/>
      <c r="AK49" s="3078"/>
      <c r="AL49" s="3078"/>
      <c r="AM49" s="3078"/>
      <c r="AN49" s="3078"/>
      <c r="AO49" s="3078"/>
      <c r="AP49" s="3078"/>
      <c r="AQ49" s="3078"/>
      <c r="AR49" s="3078"/>
      <c r="AS49" s="3078"/>
      <c r="AT49" s="3078"/>
      <c r="AU49" s="3078"/>
      <c r="AV49" s="3078"/>
      <c r="AW49" s="3078"/>
      <c r="AX49" s="3078"/>
      <c r="AY49" s="3078"/>
      <c r="AZ49" s="3078"/>
    </row>
    <row r="50" spans="1:52" ht="14.25">
      <c r="A50" s="243" t="s">
        <v>289</v>
      </c>
      <c r="B50" s="244">
        <v>1.2E-2</v>
      </c>
      <c r="C50" s="3087"/>
      <c r="D50" s="3082"/>
      <c r="E50" s="3081"/>
      <c r="F50" s="3081"/>
      <c r="G50" s="3081"/>
      <c r="H50" s="3081"/>
      <c r="I50" s="3081"/>
      <c r="J50" s="3081"/>
      <c r="K50" s="3080"/>
      <c r="L50" s="3080"/>
      <c r="M50" s="3078"/>
      <c r="N50" s="3078"/>
      <c r="O50" s="3078"/>
      <c r="P50" s="3078"/>
      <c r="Q50" s="3078"/>
      <c r="R50" s="3078"/>
      <c r="S50" s="3078"/>
      <c r="T50" s="3078"/>
      <c r="U50" s="3078"/>
      <c r="V50" s="3078"/>
      <c r="W50" s="3078"/>
      <c r="X50" s="3078"/>
      <c r="Y50" s="3078"/>
      <c r="Z50" s="3078"/>
      <c r="AA50" s="3078"/>
      <c r="AB50" s="3078"/>
      <c r="AC50" s="3078"/>
      <c r="AD50" s="3078"/>
      <c r="AE50" s="3078"/>
      <c r="AF50" s="3078"/>
      <c r="AG50" s="3078"/>
      <c r="AH50" s="3078"/>
      <c r="AI50" s="3078"/>
      <c r="AJ50" s="3078"/>
      <c r="AK50" s="3078"/>
      <c r="AL50" s="3078"/>
      <c r="AM50" s="3078"/>
      <c r="AN50" s="3078"/>
      <c r="AO50" s="3078"/>
      <c r="AP50" s="3078"/>
      <c r="AQ50" s="3078"/>
      <c r="AR50" s="3078"/>
      <c r="AS50" s="3078"/>
      <c r="AT50" s="3078"/>
      <c r="AU50" s="3078"/>
      <c r="AV50" s="3078"/>
      <c r="AW50" s="3078"/>
      <c r="AX50" s="3078"/>
      <c r="AY50" s="3078"/>
      <c r="AZ50" s="3078"/>
    </row>
    <row r="51" spans="1:52" ht="15" thickBot="1">
      <c r="A51" s="228" t="s">
        <v>290</v>
      </c>
      <c r="B51" s="245">
        <v>0.12</v>
      </c>
      <c r="C51" s="3087"/>
      <c r="D51" s="3082"/>
      <c r="E51" s="3081"/>
      <c r="F51" s="3081"/>
      <c r="G51" s="3081"/>
      <c r="H51" s="3081"/>
      <c r="I51" s="3081"/>
      <c r="J51" s="3081"/>
      <c r="K51" s="3080"/>
      <c r="L51" s="3080"/>
      <c r="M51" s="3078"/>
      <c r="N51" s="3078"/>
      <c r="O51" s="3078"/>
      <c r="P51" s="3078"/>
      <c r="Q51" s="3078"/>
      <c r="R51" s="3078"/>
      <c r="S51" s="3078"/>
      <c r="T51" s="3078"/>
      <c r="U51" s="3078"/>
      <c r="V51" s="3078"/>
      <c r="W51" s="3078"/>
      <c r="X51" s="3078"/>
      <c r="Y51" s="3078"/>
      <c r="Z51" s="3078"/>
      <c r="AA51" s="3078"/>
      <c r="AB51" s="3078"/>
      <c r="AC51" s="3078"/>
      <c r="AD51" s="3078"/>
      <c r="AE51" s="3078"/>
      <c r="AF51" s="3078"/>
      <c r="AG51" s="3078"/>
      <c r="AH51" s="3078"/>
      <c r="AI51" s="3078"/>
      <c r="AJ51" s="3078"/>
      <c r="AK51" s="3078"/>
      <c r="AL51" s="3078"/>
      <c r="AM51" s="3078"/>
      <c r="AN51" s="3078"/>
      <c r="AO51" s="3078"/>
      <c r="AP51" s="3078"/>
      <c r="AQ51" s="3078"/>
      <c r="AR51" s="3078"/>
      <c r="AS51" s="3078"/>
      <c r="AT51" s="3078"/>
      <c r="AU51" s="3078"/>
      <c r="AV51" s="3078"/>
      <c r="AW51" s="3078"/>
      <c r="AX51" s="3078"/>
      <c r="AY51" s="3078"/>
      <c r="AZ51" s="3078"/>
    </row>
    <row r="52" spans="1:52" ht="14.25">
      <c r="A52" s="243" t="s">
        <v>291</v>
      </c>
      <c r="B52" s="246">
        <f>SUMIF(A54:A63,B53,B54:B63)</f>
        <v>1.5</v>
      </c>
      <c r="C52" s="3087"/>
      <c r="D52" s="3082"/>
      <c r="E52" s="3081"/>
      <c r="F52" s="3081"/>
      <c r="G52" s="3081"/>
      <c r="H52" s="3081"/>
      <c r="I52" s="3081"/>
      <c r="J52" s="3081"/>
      <c r="K52" s="3080"/>
      <c r="L52" s="3080"/>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8"/>
      <c r="AK52" s="3078"/>
      <c r="AL52" s="3078"/>
      <c r="AM52" s="3078"/>
      <c r="AN52" s="3078"/>
      <c r="AO52" s="3078"/>
      <c r="AP52" s="3078"/>
      <c r="AQ52" s="3078"/>
      <c r="AR52" s="3078"/>
      <c r="AS52" s="3078"/>
      <c r="AT52" s="3078"/>
      <c r="AU52" s="3078"/>
      <c r="AV52" s="3078"/>
      <c r="AW52" s="3078"/>
      <c r="AX52" s="3078"/>
      <c r="AY52" s="3078"/>
      <c r="AZ52" s="3078"/>
    </row>
    <row r="53" spans="1:52" ht="27">
      <c r="A53" s="225" t="s">
        <v>292</v>
      </c>
      <c r="B53" s="247" t="s">
        <v>1398</v>
      </c>
      <c r="C53" s="3089" t="s">
        <v>2870</v>
      </c>
      <c r="D53" s="3100" t="s">
        <v>2979</v>
      </c>
      <c r="E53" s="3081"/>
      <c r="F53" s="3081"/>
      <c r="G53" s="3081"/>
      <c r="H53" s="3081"/>
      <c r="I53" s="3081"/>
      <c r="J53" s="3081"/>
      <c r="K53" s="3080"/>
      <c r="L53" s="3080"/>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8"/>
      <c r="AK53" s="3078"/>
      <c r="AL53" s="3078"/>
      <c r="AM53" s="3078"/>
      <c r="AN53" s="3078"/>
      <c r="AO53" s="3078"/>
      <c r="AP53" s="3078"/>
      <c r="AQ53" s="3078"/>
      <c r="AR53" s="3078"/>
      <c r="AS53" s="3078"/>
      <c r="AT53" s="3078"/>
      <c r="AU53" s="3078"/>
      <c r="AV53" s="3078"/>
      <c r="AW53" s="3078"/>
      <c r="AX53" s="3078"/>
      <c r="AY53" s="3078"/>
      <c r="AZ53" s="3078"/>
    </row>
    <row r="54" spans="1:52" ht="14.25">
      <c r="A54" s="2772" t="s">
        <v>2871</v>
      </c>
      <c r="B54" s="183"/>
      <c r="C54" s="3086">
        <v>30</v>
      </c>
      <c r="D54" s="3090"/>
      <c r="E54" s="3081"/>
      <c r="F54" s="3081"/>
      <c r="G54" s="3081"/>
      <c r="H54" s="3081"/>
      <c r="I54" s="3081"/>
      <c r="J54" s="3081"/>
      <c r="K54" s="3080"/>
      <c r="L54" s="3080"/>
      <c r="M54" s="3078"/>
      <c r="N54" s="3078"/>
      <c r="O54" s="3078"/>
      <c r="P54" s="3078"/>
      <c r="Q54" s="3078"/>
      <c r="R54" s="3078"/>
      <c r="S54" s="3078"/>
      <c r="T54" s="3078"/>
      <c r="U54" s="3078"/>
      <c r="V54" s="3078"/>
      <c r="W54" s="3078"/>
      <c r="X54" s="3078"/>
      <c r="Y54" s="3078"/>
      <c r="Z54" s="3078"/>
      <c r="AA54" s="3078"/>
      <c r="AB54" s="3078"/>
      <c r="AC54" s="3078"/>
      <c r="AD54" s="3078"/>
      <c r="AE54" s="3078"/>
      <c r="AF54" s="3078"/>
      <c r="AG54" s="3078"/>
      <c r="AH54" s="3078"/>
      <c r="AI54" s="3078"/>
      <c r="AJ54" s="3078"/>
      <c r="AK54" s="3078"/>
      <c r="AL54" s="3078"/>
      <c r="AM54" s="3078"/>
      <c r="AN54" s="3078"/>
      <c r="AO54" s="3078"/>
      <c r="AP54" s="3078"/>
      <c r="AQ54" s="3078"/>
      <c r="AR54" s="3078"/>
      <c r="AS54" s="3078"/>
      <c r="AT54" s="3078"/>
      <c r="AU54" s="3078"/>
      <c r="AV54" s="3078"/>
      <c r="AW54" s="3078"/>
      <c r="AX54" s="3078"/>
      <c r="AY54" s="3078"/>
      <c r="AZ54" s="3078"/>
    </row>
    <row r="55" spans="1:52" ht="14.25">
      <c r="A55" s="2772" t="s">
        <v>2872</v>
      </c>
      <c r="B55" s="183"/>
      <c r="C55" s="3086">
        <v>24</v>
      </c>
      <c r="D55" s="3090"/>
      <c r="E55" s="3081"/>
      <c r="F55" s="3081"/>
      <c r="G55" s="3081"/>
      <c r="H55" s="3081"/>
      <c r="I55" s="3091"/>
      <c r="J55" s="3081"/>
      <c r="K55" s="3080"/>
      <c r="L55" s="3080"/>
      <c r="M55" s="3078"/>
      <c r="N55" s="3078"/>
      <c r="O55" s="3078"/>
      <c r="P55" s="3078"/>
      <c r="Q55" s="3078"/>
      <c r="R55" s="3078"/>
      <c r="S55" s="3078"/>
      <c r="T55" s="3078"/>
      <c r="U55" s="3078"/>
      <c r="V55" s="3078"/>
      <c r="W55" s="3078"/>
      <c r="X55" s="3078"/>
      <c r="Y55" s="3078"/>
      <c r="Z55" s="3078"/>
      <c r="AA55" s="3078"/>
      <c r="AB55" s="3078"/>
      <c r="AC55" s="3078"/>
      <c r="AD55" s="3078"/>
      <c r="AE55" s="3078"/>
      <c r="AF55" s="3078"/>
      <c r="AG55" s="3078"/>
      <c r="AH55" s="3078"/>
      <c r="AI55" s="3078"/>
      <c r="AJ55" s="3078"/>
      <c r="AK55" s="3078"/>
      <c r="AL55" s="3078"/>
      <c r="AM55" s="3078"/>
      <c r="AN55" s="3078"/>
      <c r="AO55" s="3078"/>
      <c r="AP55" s="3078"/>
      <c r="AQ55" s="3078"/>
      <c r="AR55" s="3078"/>
      <c r="AS55" s="3078"/>
      <c r="AT55" s="3078"/>
      <c r="AU55" s="3078"/>
      <c r="AV55" s="3078"/>
      <c r="AW55" s="3078"/>
      <c r="AX55" s="3078"/>
      <c r="AY55" s="3078"/>
      <c r="AZ55" s="3078"/>
    </row>
    <row r="56" spans="1:52" ht="14.25">
      <c r="A56" s="2772" t="s">
        <v>2873</v>
      </c>
      <c r="B56" s="183"/>
      <c r="C56" s="3086">
        <v>18</v>
      </c>
      <c r="D56" s="3090"/>
      <c r="E56" s="3081"/>
      <c r="F56" s="3081"/>
      <c r="G56" s="3081"/>
      <c r="H56" s="3081"/>
      <c r="I56" s="3081"/>
      <c r="J56" s="3081"/>
      <c r="K56" s="3080"/>
      <c r="L56" s="3080"/>
      <c r="M56" s="3078"/>
      <c r="N56" s="3078"/>
      <c r="O56" s="3078"/>
      <c r="P56" s="3078"/>
      <c r="Q56" s="3078"/>
      <c r="R56" s="3078"/>
      <c r="S56" s="3078"/>
      <c r="T56" s="3078"/>
      <c r="U56" s="3078"/>
      <c r="V56" s="3078"/>
      <c r="W56" s="3078"/>
      <c r="X56" s="3078"/>
      <c r="Y56" s="3078"/>
      <c r="Z56" s="3078"/>
      <c r="AA56" s="3078"/>
      <c r="AB56" s="3078"/>
      <c r="AC56" s="3078"/>
      <c r="AD56" s="3078"/>
      <c r="AE56" s="3078"/>
      <c r="AF56" s="3078"/>
      <c r="AG56" s="3078"/>
      <c r="AH56" s="3078"/>
      <c r="AI56" s="3078"/>
      <c r="AJ56" s="3078"/>
      <c r="AK56" s="3078"/>
      <c r="AL56" s="3078"/>
      <c r="AM56" s="3078"/>
      <c r="AN56" s="3078"/>
      <c r="AO56" s="3078"/>
      <c r="AP56" s="3078"/>
      <c r="AQ56" s="3078"/>
      <c r="AR56" s="3078"/>
      <c r="AS56" s="3078"/>
      <c r="AT56" s="3078"/>
      <c r="AU56" s="3078"/>
      <c r="AV56" s="3078"/>
      <c r="AW56" s="3078"/>
      <c r="AX56" s="3078"/>
      <c r="AY56" s="3078"/>
      <c r="AZ56" s="3078"/>
    </row>
    <row r="57" spans="1:52" ht="14.25">
      <c r="A57" s="2772" t="s">
        <v>2874</v>
      </c>
      <c r="B57" s="183"/>
      <c r="C57" s="3086">
        <v>12</v>
      </c>
      <c r="D57" s="3090"/>
      <c r="E57" s="3081"/>
      <c r="F57" s="3081"/>
      <c r="G57" s="3081"/>
      <c r="H57" s="3081"/>
      <c r="I57" s="3081"/>
      <c r="J57" s="3081"/>
      <c r="K57" s="3080"/>
      <c r="L57" s="3080"/>
      <c r="M57" s="3078"/>
      <c r="N57" s="3078"/>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c r="AK57" s="3078"/>
      <c r="AL57" s="3078"/>
      <c r="AM57" s="3078"/>
      <c r="AN57" s="3078"/>
      <c r="AO57" s="3078"/>
      <c r="AP57" s="3078"/>
      <c r="AQ57" s="3078"/>
      <c r="AR57" s="3078"/>
      <c r="AS57" s="3078"/>
      <c r="AT57" s="3078"/>
      <c r="AU57" s="3078"/>
      <c r="AV57" s="3078"/>
      <c r="AW57" s="3078"/>
      <c r="AX57" s="3078"/>
      <c r="AY57" s="3078"/>
      <c r="AZ57" s="3078"/>
    </row>
    <row r="58" spans="1:52" ht="14.25">
      <c r="A58" s="2772" t="s">
        <v>2875</v>
      </c>
      <c r="B58" s="183"/>
      <c r="C58" s="3086">
        <v>3</v>
      </c>
      <c r="D58" s="3090"/>
      <c r="E58" s="3081"/>
      <c r="F58" s="3081"/>
      <c r="G58" s="3081"/>
      <c r="H58" s="3081"/>
      <c r="I58" s="3081"/>
      <c r="J58" s="3081"/>
      <c r="K58" s="3080"/>
      <c r="L58" s="3080"/>
      <c r="M58" s="3078"/>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c r="AK58" s="3078"/>
      <c r="AL58" s="3078"/>
      <c r="AM58" s="3078"/>
      <c r="AN58" s="3078"/>
      <c r="AO58" s="3078"/>
      <c r="AP58" s="3078"/>
      <c r="AQ58" s="3078"/>
      <c r="AR58" s="3078"/>
      <c r="AS58" s="3078"/>
      <c r="AT58" s="3078"/>
      <c r="AU58" s="3078"/>
      <c r="AV58" s="3078"/>
      <c r="AW58" s="3078"/>
      <c r="AX58" s="3078"/>
      <c r="AY58" s="3078"/>
      <c r="AZ58" s="3078"/>
    </row>
    <row r="59" spans="1:52" ht="14.25">
      <c r="A59" s="2772" t="s">
        <v>2876</v>
      </c>
      <c r="B59" s="183">
        <v>1.5</v>
      </c>
      <c r="C59" s="3086">
        <v>1.5</v>
      </c>
      <c r="D59" s="3090"/>
      <c r="E59" s="3081"/>
      <c r="F59" s="3081"/>
      <c r="G59" s="3081"/>
      <c r="H59" s="3081"/>
      <c r="I59" s="3081"/>
      <c r="J59" s="3081"/>
      <c r="K59" s="3080"/>
      <c r="L59" s="3080"/>
      <c r="M59" s="3078"/>
      <c r="N59" s="3078"/>
      <c r="O59" s="3078"/>
      <c r="P59" s="3078"/>
      <c r="Q59" s="3078"/>
      <c r="R59" s="3078"/>
      <c r="S59" s="3078"/>
      <c r="T59" s="3078"/>
      <c r="U59" s="3078"/>
      <c r="V59" s="3078"/>
      <c r="W59" s="3078"/>
      <c r="X59" s="3078"/>
      <c r="Y59" s="3078"/>
      <c r="Z59" s="3078"/>
      <c r="AA59" s="3078"/>
      <c r="AB59" s="3078"/>
      <c r="AC59" s="3078"/>
      <c r="AD59" s="3078"/>
      <c r="AE59" s="3078"/>
      <c r="AF59" s="3078"/>
      <c r="AG59" s="3078"/>
      <c r="AH59" s="3078"/>
      <c r="AI59" s="3078"/>
      <c r="AJ59" s="3078"/>
      <c r="AK59" s="3078"/>
      <c r="AL59" s="3078"/>
      <c r="AM59" s="3078"/>
      <c r="AN59" s="3078"/>
      <c r="AO59" s="3078"/>
      <c r="AP59" s="3078"/>
      <c r="AQ59" s="3078"/>
      <c r="AR59" s="3078"/>
      <c r="AS59" s="3078"/>
      <c r="AT59" s="3078"/>
      <c r="AU59" s="3078"/>
      <c r="AV59" s="3078"/>
      <c r="AW59" s="3078"/>
      <c r="AX59" s="3078"/>
      <c r="AY59" s="3078"/>
      <c r="AZ59" s="3078"/>
    </row>
    <row r="60" spans="1:52" ht="14.25">
      <c r="A60" s="2772" t="s">
        <v>2877</v>
      </c>
      <c r="B60" s="183"/>
      <c r="C60" s="3081"/>
      <c r="D60" s="3082"/>
      <c r="E60" s="3081"/>
      <c r="F60" s="3081"/>
      <c r="G60" s="3081"/>
      <c r="H60" s="3081"/>
      <c r="I60" s="3081"/>
      <c r="J60" s="3081"/>
      <c r="K60" s="3080"/>
      <c r="L60" s="3080"/>
      <c r="M60" s="3078"/>
      <c r="N60" s="3078"/>
      <c r="O60" s="3078"/>
      <c r="P60" s="3078"/>
      <c r="Q60" s="3078"/>
      <c r="R60" s="3078"/>
      <c r="S60" s="3078"/>
      <c r="T60" s="3078"/>
      <c r="U60" s="3078"/>
      <c r="V60" s="3078"/>
      <c r="W60" s="3078"/>
      <c r="X60" s="3078"/>
      <c r="Y60" s="3078"/>
      <c r="Z60" s="3078"/>
      <c r="AA60" s="3078"/>
      <c r="AB60" s="3078"/>
      <c r="AC60" s="3078"/>
      <c r="AD60" s="3078"/>
      <c r="AE60" s="3078"/>
      <c r="AF60" s="3078"/>
      <c r="AG60" s="3078"/>
      <c r="AH60" s="3078"/>
      <c r="AI60" s="3078"/>
      <c r="AJ60" s="3078"/>
      <c r="AK60" s="3078"/>
      <c r="AL60" s="3078"/>
      <c r="AM60" s="3078"/>
      <c r="AN60" s="3078"/>
      <c r="AO60" s="3078"/>
      <c r="AP60" s="3078"/>
      <c r="AQ60" s="3078"/>
      <c r="AR60" s="3078"/>
      <c r="AS60" s="3078"/>
      <c r="AT60" s="3078"/>
      <c r="AU60" s="3078"/>
      <c r="AV60" s="3078"/>
      <c r="AW60" s="3078"/>
      <c r="AX60" s="3078"/>
      <c r="AY60" s="3078"/>
      <c r="AZ60" s="3078"/>
    </row>
    <row r="61" spans="1:52" ht="14.25">
      <c r="A61" s="2772" t="s">
        <v>2878</v>
      </c>
      <c r="B61" s="183"/>
      <c r="C61" s="3081"/>
      <c r="D61" s="3082"/>
      <c r="E61" s="3081"/>
      <c r="F61" s="3081"/>
      <c r="G61" s="3081"/>
      <c r="H61" s="3081"/>
      <c r="I61" s="3081"/>
      <c r="J61" s="3081"/>
      <c r="K61" s="3080"/>
      <c r="L61" s="3080"/>
      <c r="M61" s="3078"/>
      <c r="N61" s="3078"/>
      <c r="O61" s="3078"/>
      <c r="P61" s="3078"/>
      <c r="Q61" s="3078"/>
      <c r="R61" s="3078"/>
      <c r="S61" s="3078"/>
      <c r="T61" s="3078"/>
      <c r="U61" s="3078"/>
      <c r="V61" s="3078"/>
      <c r="W61" s="3078"/>
      <c r="X61" s="3078"/>
      <c r="Y61" s="3078"/>
      <c r="Z61" s="3078"/>
      <c r="AA61" s="3078"/>
      <c r="AB61" s="3078"/>
      <c r="AC61" s="3078"/>
      <c r="AD61" s="3078"/>
      <c r="AE61" s="3078"/>
      <c r="AF61" s="3078"/>
      <c r="AG61" s="3078"/>
      <c r="AH61" s="3078"/>
      <c r="AI61" s="3078"/>
      <c r="AJ61" s="3078"/>
      <c r="AK61" s="3078"/>
      <c r="AL61" s="3078"/>
      <c r="AM61" s="3078"/>
      <c r="AN61" s="3078"/>
      <c r="AO61" s="3078"/>
      <c r="AP61" s="3078"/>
      <c r="AQ61" s="3078"/>
      <c r="AR61" s="3078"/>
      <c r="AS61" s="3078"/>
      <c r="AT61" s="3078"/>
      <c r="AU61" s="3078"/>
      <c r="AV61" s="3078"/>
      <c r="AW61" s="3078"/>
      <c r="AX61" s="3078"/>
      <c r="AY61" s="3078"/>
      <c r="AZ61" s="3078"/>
    </row>
    <row r="62" spans="1:52" ht="14.25">
      <c r="A62" s="2772" t="s">
        <v>2879</v>
      </c>
      <c r="B62" s="183"/>
      <c r="C62" s="3081"/>
      <c r="D62" s="3082"/>
      <c r="E62" s="3081"/>
      <c r="F62" s="3081"/>
      <c r="G62" s="3081"/>
      <c r="H62" s="3081"/>
      <c r="I62" s="3081"/>
      <c r="J62" s="3081"/>
      <c r="K62" s="3080"/>
      <c r="L62" s="3080"/>
      <c r="M62" s="3078"/>
      <c r="N62" s="3078"/>
      <c r="O62" s="3078"/>
      <c r="P62" s="3078"/>
      <c r="Q62" s="3078"/>
      <c r="R62" s="3078"/>
      <c r="S62" s="3078"/>
      <c r="T62" s="3078"/>
      <c r="U62" s="3078"/>
      <c r="V62" s="3078"/>
      <c r="W62" s="3078"/>
      <c r="X62" s="3078"/>
      <c r="Y62" s="3078"/>
      <c r="Z62" s="3078"/>
      <c r="AA62" s="3078"/>
      <c r="AB62" s="3078"/>
      <c r="AC62" s="3078"/>
      <c r="AD62" s="3078"/>
      <c r="AE62" s="3078"/>
      <c r="AF62" s="3078"/>
      <c r="AG62" s="3078"/>
      <c r="AH62" s="3078"/>
      <c r="AI62" s="3078"/>
      <c r="AJ62" s="3078"/>
      <c r="AK62" s="3078"/>
      <c r="AL62" s="3078"/>
      <c r="AM62" s="3078"/>
      <c r="AN62" s="3078"/>
      <c r="AO62" s="3078"/>
      <c r="AP62" s="3078"/>
      <c r="AQ62" s="3078"/>
      <c r="AR62" s="3078"/>
      <c r="AS62" s="3078"/>
      <c r="AT62" s="3078"/>
      <c r="AU62" s="3078"/>
      <c r="AV62" s="3078"/>
      <c r="AW62" s="3078"/>
      <c r="AX62" s="3078"/>
      <c r="AY62" s="3078"/>
      <c r="AZ62" s="3078"/>
    </row>
    <row r="63" spans="1:52" ht="15" thickBot="1">
      <c r="A63" s="2773" t="s">
        <v>2880</v>
      </c>
      <c r="B63" s="248"/>
      <c r="C63" s="3081"/>
      <c r="D63" s="3082"/>
      <c r="E63" s="3081"/>
      <c r="F63" s="3081"/>
      <c r="G63" s="3081"/>
      <c r="H63" s="3081"/>
      <c r="I63" s="3081"/>
      <c r="J63" s="3081"/>
      <c r="K63" s="3080"/>
      <c r="L63" s="3080"/>
      <c r="M63" s="3078"/>
      <c r="N63" s="3078"/>
      <c r="O63" s="3078"/>
      <c r="P63" s="3078"/>
      <c r="Q63" s="3078"/>
      <c r="R63" s="3078"/>
      <c r="S63" s="3078"/>
      <c r="T63" s="3078"/>
      <c r="U63" s="3078"/>
      <c r="V63" s="3078"/>
      <c r="W63" s="3078"/>
      <c r="X63" s="3078"/>
      <c r="Y63" s="3078"/>
      <c r="Z63" s="3078"/>
      <c r="AA63" s="3078"/>
      <c r="AB63" s="3078"/>
      <c r="AC63" s="3078"/>
      <c r="AD63" s="3078"/>
      <c r="AE63" s="3078"/>
      <c r="AF63" s="3078"/>
      <c r="AG63" s="3078"/>
      <c r="AH63" s="3078"/>
      <c r="AI63" s="3078"/>
      <c r="AJ63" s="3078"/>
      <c r="AK63" s="3078"/>
      <c r="AL63" s="3078"/>
      <c r="AM63" s="3078"/>
      <c r="AN63" s="3078"/>
      <c r="AO63" s="3078"/>
      <c r="AP63" s="3078"/>
      <c r="AQ63" s="3078"/>
      <c r="AR63" s="3078"/>
      <c r="AS63" s="3078"/>
      <c r="AT63" s="3078"/>
      <c r="AU63" s="3078"/>
      <c r="AV63" s="3078"/>
      <c r="AW63" s="3078"/>
      <c r="AX63" s="3078"/>
      <c r="AY63" s="3078"/>
      <c r="AZ63" s="3078"/>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74" priority="12" stopIfTrue="1" operator="containsText" text="自行计算">
      <formula>NOT(ISERROR(SEARCH("自行计算",T6)))</formula>
    </cfRule>
    <cfRule type="containsText" dxfId="273" priority="13" stopIfTrue="1" operator="containsText" text="自行计算">
      <formula>NOT(ISERROR(SEARCH("自行计算",T6)))</formula>
    </cfRule>
  </conditionalFormatting>
  <conditionalFormatting sqref="T6:T13">
    <cfRule type="containsText" dxfId="272" priority="10" stopIfTrue="1" operator="containsText" text="自行计算">
      <formula>NOT(ISERROR(SEARCH("自行计算",T6)))</formula>
    </cfRule>
    <cfRule type="containsText" dxfId="271" priority="11" stopIfTrue="1" operator="containsText" text="自行计算">
      <formula>NOT(ISERROR(SEARCH("自行计算",T6)))</formula>
    </cfRule>
  </conditionalFormatting>
  <conditionalFormatting sqref="T12:T13">
    <cfRule type="containsText" dxfId="270" priority="4" stopIfTrue="1" operator="containsText" text="自行计算">
      <formula>NOT(ISERROR(SEARCH("自行计算",T12)))</formula>
    </cfRule>
    <cfRule type="containsText" dxfId="269" priority="5" stopIfTrue="1" operator="containsText" text="自行计算">
      <formula>NOT(ISERROR(SEARCH("自行计算",T12)))</formula>
    </cfRule>
  </conditionalFormatting>
  <conditionalFormatting sqref="T12:T13">
    <cfRule type="containsText" dxfId="268" priority="2" stopIfTrue="1" operator="containsText" text="自行计算">
      <formula>NOT(ISERROR(SEARCH("自行计算",T12)))</formula>
    </cfRule>
    <cfRule type="containsText" dxfId="267" priority="3" stopIfTrue="1" operator="containsText" text="自行计算">
      <formula>NOT(ISERROR(SEARCH("自行计算",T12)))</formula>
    </cfRule>
  </conditionalFormatting>
  <conditionalFormatting sqref="T6:T15">
    <cfRule type="expression" dxfId="26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2"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2"/>
  </cols>
  <sheetData>
    <row r="1" spans="1:18" s="3106" customFormat="1" ht="19.5" thickBot="1">
      <c r="A1" s="3877" t="s">
        <v>1651</v>
      </c>
      <c r="B1" s="3878"/>
      <c r="C1" s="3878"/>
      <c r="D1" s="3878"/>
      <c r="E1" s="3878"/>
      <c r="F1" s="3878"/>
      <c r="G1" s="3878"/>
      <c r="H1" s="3101"/>
      <c r="I1" s="3102"/>
      <c r="J1" s="3103"/>
      <c r="K1" s="3101"/>
      <c r="L1" s="3102"/>
      <c r="M1" s="3103"/>
      <c r="N1" s="3101"/>
      <c r="O1" s="3102"/>
      <c r="P1" s="3103"/>
      <c r="Q1" s="3104"/>
      <c r="R1" s="3105"/>
    </row>
    <row r="2" spans="1:18" ht="14.25" thickBot="1">
      <c r="A2" s="3107"/>
      <c r="B2" s="3108"/>
      <c r="C2" s="3109" t="s">
        <v>1652</v>
      </c>
      <c r="D2" s="3110"/>
      <c r="E2" s="3107"/>
      <c r="F2" s="3111"/>
      <c r="G2" s="3109" t="s">
        <v>1653</v>
      </c>
      <c r="H2" s="3112"/>
      <c r="I2" s="3112"/>
      <c r="J2" s="3112"/>
      <c r="K2" s="3112"/>
      <c r="L2" s="3112"/>
      <c r="M2" s="3112"/>
      <c r="N2" s="3112"/>
      <c r="O2" s="3112"/>
      <c r="P2" s="3112"/>
      <c r="Q2" s="3112"/>
      <c r="R2" s="3112"/>
    </row>
    <row r="3" spans="1:18" ht="40.5">
      <c r="A3" s="3113" t="s">
        <v>1654</v>
      </c>
      <c r="B3" s="3114" t="s">
        <v>1641</v>
      </c>
      <c r="C3" s="3115" t="s">
        <v>2886</v>
      </c>
      <c r="D3" s="3116"/>
      <c r="E3" s="3117" t="s">
        <v>1654</v>
      </c>
      <c r="F3" s="3118" t="s">
        <v>1642</v>
      </c>
      <c r="G3" s="3119" t="s">
        <v>2885</v>
      </c>
      <c r="H3" s="3112"/>
      <c r="I3" s="3112"/>
      <c r="J3" s="3112"/>
      <c r="K3" s="3112"/>
      <c r="L3" s="3112"/>
      <c r="M3" s="3112"/>
      <c r="N3" s="3112"/>
      <c r="O3" s="3112"/>
      <c r="P3" s="3112"/>
      <c r="Q3" s="3112"/>
      <c r="R3" s="3112"/>
    </row>
    <row r="4" spans="1:18" ht="67.5">
      <c r="A4" s="3117"/>
      <c r="B4" s="3120" t="s">
        <v>1655</v>
      </c>
      <c r="C4" s="3362" t="s">
        <v>3159</v>
      </c>
      <c r="D4" s="3116"/>
      <c r="E4" s="3121"/>
      <c r="F4" s="3122" t="s">
        <v>1656</v>
      </c>
      <c r="G4" s="3123" t="s">
        <v>2882</v>
      </c>
      <c r="H4" s="3112"/>
      <c r="I4" s="3112"/>
      <c r="J4" s="3112"/>
      <c r="K4" s="3112"/>
      <c r="L4" s="3112"/>
      <c r="M4" s="3112"/>
      <c r="N4" s="3112"/>
      <c r="O4" s="3112"/>
      <c r="P4" s="3112"/>
      <c r="Q4" s="3112"/>
      <c r="R4" s="3112"/>
    </row>
    <row r="5" spans="1:18" ht="54">
      <c r="A5" s="3117"/>
      <c r="B5" s="3120" t="s">
        <v>1657</v>
      </c>
      <c r="C5" s="3362" t="s">
        <v>3160</v>
      </c>
      <c r="D5" s="3116"/>
      <c r="E5" s="3121"/>
      <c r="F5" s="3120" t="s">
        <v>2525</v>
      </c>
      <c r="G5" s="3123" t="s">
        <v>2883</v>
      </c>
      <c r="H5" s="3112"/>
      <c r="I5" s="3112"/>
      <c r="J5" s="3112"/>
      <c r="K5" s="3112"/>
      <c r="L5" s="3112"/>
      <c r="M5" s="3112"/>
      <c r="N5" s="3112"/>
      <c r="O5" s="3112"/>
      <c r="P5" s="3112"/>
      <c r="Q5" s="3112"/>
      <c r="R5" s="3112"/>
    </row>
    <row r="6" spans="1:18" ht="67.5">
      <c r="A6" s="3117"/>
      <c r="B6" s="3120" t="s">
        <v>1643</v>
      </c>
      <c r="C6" s="3363" t="s">
        <v>3155</v>
      </c>
      <c r="D6" s="3116"/>
      <c r="E6" s="3121"/>
      <c r="F6" s="3120" t="s">
        <v>2526</v>
      </c>
      <c r="G6" s="3123" t="s">
        <v>2881</v>
      </c>
      <c r="H6" s="3112"/>
      <c r="I6" s="3112"/>
      <c r="J6" s="3112"/>
      <c r="K6" s="3112"/>
      <c r="L6" s="3112"/>
      <c r="M6" s="3112"/>
      <c r="N6" s="3112"/>
      <c r="O6" s="3112"/>
      <c r="P6" s="3112"/>
      <c r="Q6" s="3112"/>
      <c r="R6" s="3112"/>
    </row>
    <row r="7" spans="1:18" ht="149.25" thickBot="1">
      <c r="A7" s="3117"/>
      <c r="B7" s="3120" t="s">
        <v>2525</v>
      </c>
      <c r="C7" s="3363" t="s">
        <v>3158</v>
      </c>
      <c r="D7" s="3124"/>
      <c r="E7" s="3125"/>
      <c r="F7" s="3126" t="s">
        <v>1658</v>
      </c>
      <c r="G7" s="3127" t="s">
        <v>2884</v>
      </c>
      <c r="H7" s="3112"/>
      <c r="I7" s="3112"/>
      <c r="J7" s="3112"/>
      <c r="K7" s="3112"/>
      <c r="L7" s="3112"/>
      <c r="M7" s="3112"/>
      <c r="N7" s="3112"/>
      <c r="O7" s="3112"/>
      <c r="P7" s="3112"/>
      <c r="Q7" s="3112"/>
      <c r="R7" s="3112"/>
    </row>
    <row r="8" spans="1:18" ht="67.5">
      <c r="A8" s="3117"/>
      <c r="B8" s="3120" t="s">
        <v>2526</v>
      </c>
      <c r="C8" s="3363" t="s">
        <v>3157</v>
      </c>
      <c r="D8" s="3124"/>
      <c r="E8" s="3124"/>
      <c r="F8" s="3128"/>
      <c r="G8" s="3128"/>
      <c r="H8" s="3112"/>
      <c r="I8" s="3112"/>
      <c r="J8" s="3112"/>
      <c r="K8" s="3112"/>
      <c r="L8" s="3112"/>
      <c r="M8" s="3112"/>
      <c r="N8" s="3112"/>
      <c r="O8" s="3112"/>
      <c r="P8" s="3112"/>
      <c r="Q8" s="3112"/>
      <c r="R8" s="3112"/>
    </row>
    <row r="9" spans="1:18" ht="81">
      <c r="A9" s="3117"/>
      <c r="B9" s="3120" t="s">
        <v>1644</v>
      </c>
      <c r="C9" s="3362" t="s">
        <v>3156</v>
      </c>
      <c r="D9" s="3116"/>
      <c r="E9" s="3124"/>
      <c r="F9" s="3128"/>
      <c r="G9" s="3128"/>
      <c r="H9" s="3112"/>
      <c r="I9" s="3112"/>
      <c r="J9" s="3112"/>
      <c r="K9" s="3112"/>
      <c r="L9" s="3112"/>
      <c r="M9" s="3112"/>
      <c r="N9" s="3112"/>
      <c r="O9" s="3112"/>
      <c r="P9" s="3112"/>
      <c r="Q9" s="3112"/>
      <c r="R9" s="3112"/>
    </row>
    <row r="10" spans="1:18" s="3134" customFormat="1" ht="14.25" thickBot="1">
      <c r="A10" s="3129"/>
      <c r="B10" s="3130" t="s">
        <v>1659</v>
      </c>
      <c r="C10" s="3364" t="s">
        <v>3161</v>
      </c>
      <c r="D10" s="3116"/>
      <c r="E10" s="3116"/>
      <c r="F10" s="3128"/>
      <c r="G10" s="3128"/>
      <c r="H10" s="3131"/>
      <c r="I10" s="3132"/>
      <c r="J10" s="3133"/>
      <c r="K10" s="3131"/>
      <c r="L10" s="3132"/>
      <c r="M10" s="3133"/>
      <c r="N10" s="3131"/>
      <c r="O10" s="3132"/>
      <c r="P10" s="3133"/>
      <c r="Q10" s="3131"/>
      <c r="R10" s="3132"/>
    </row>
    <row r="11" spans="1:18" s="3134" customFormat="1">
      <c r="A11" s="3135"/>
      <c r="B11" s="3124"/>
      <c r="C11" s="3116"/>
      <c r="D11" s="3116"/>
      <c r="E11" s="3116"/>
      <c r="F11" s="3124"/>
      <c r="G11" s="3136"/>
      <c r="H11" s="3131"/>
      <c r="I11" s="3132"/>
      <c r="J11" s="3133"/>
      <c r="K11" s="3131"/>
      <c r="L11" s="3132"/>
      <c r="M11" s="3133"/>
      <c r="N11" s="3131"/>
      <c r="O11" s="3132"/>
      <c r="P11" s="3133"/>
      <c r="Q11" s="3131"/>
      <c r="R11" s="3132"/>
    </row>
    <row r="12" spans="1:18" s="3106" customFormat="1" ht="18.75">
      <c r="A12" s="3135"/>
      <c r="B12" s="3124"/>
      <c r="C12" s="3116"/>
      <c r="D12" s="3137"/>
      <c r="E12" s="3116"/>
      <c r="F12" s="3124"/>
      <c r="G12" s="3136"/>
      <c r="H12" s="3138"/>
      <c r="I12" s="3139"/>
      <c r="J12" s="3138"/>
      <c r="K12" s="3138"/>
      <c r="L12" s="3140"/>
      <c r="M12" s="3138"/>
      <c r="N12" s="3141"/>
      <c r="O12" s="3142"/>
      <c r="P12" s="3143"/>
      <c r="Q12" s="3141"/>
      <c r="R12" s="3105"/>
    </row>
    <row r="13" spans="1:18" ht="19.5" thickBot="1">
      <c r="A13" s="3144" t="s">
        <v>1660</v>
      </c>
      <c r="B13" s="3137"/>
      <c r="C13" s="3137"/>
      <c r="D13" s="3110"/>
      <c r="E13" s="3137"/>
      <c r="F13" s="3137"/>
      <c r="G13" s="3137"/>
    </row>
    <row r="14" spans="1:18" ht="14.25" thickBot="1">
      <c r="A14" s="3149"/>
      <c r="B14" s="3149"/>
      <c r="C14" s="3150" t="s">
        <v>1652</v>
      </c>
      <c r="D14" s="3116"/>
      <c r="E14" s="3151"/>
      <c r="F14" s="3151"/>
      <c r="G14" s="3109" t="s">
        <v>1653</v>
      </c>
    </row>
    <row r="15" spans="1:18" ht="40.5">
      <c r="A15" s="3152" t="s">
        <v>1645</v>
      </c>
      <c r="B15" s="3153" t="s">
        <v>1641</v>
      </c>
      <c r="C15" s="3154" t="str">
        <f>C3</f>
        <v>估价对象周边居住用地比例、居住小区规模和社区发展完善程度，综合评价居住社区成熟度一般</v>
      </c>
      <c r="D15" s="3116"/>
      <c r="E15" s="3155" t="s">
        <v>1646</v>
      </c>
      <c r="F15" s="3153" t="s">
        <v>1661</v>
      </c>
      <c r="G15" s="3156" t="str">
        <f>G3</f>
        <v>估价对象位于XX开发区，园区建设成熟度XX，产业集聚程度XX</v>
      </c>
    </row>
    <row r="16" spans="1:18" ht="67.5">
      <c r="A16" s="3157"/>
      <c r="B16" s="3158" t="s">
        <v>1655</v>
      </c>
      <c r="C16" s="3159" t="str">
        <f>C4</f>
        <v>周边有万达广场（通州店）、华联商厦（新华大街店）、京客隆超市（东关店）、华联超市（新华大街店）等商业服务设施，分布较为集中，综合考虑商业繁华度较好</v>
      </c>
      <c r="D16" s="3116"/>
      <c r="E16" s="3160"/>
      <c r="F16" s="3161" t="s">
        <v>1656</v>
      </c>
      <c r="G16" s="3162" t="str">
        <f>G4</f>
        <v>估价对象周边道路状况、公共交通通达情况、停车便捷程度，综合评价交通便捷度较好</v>
      </c>
    </row>
    <row r="17" spans="1:7" ht="54">
      <c r="A17" s="3157"/>
      <c r="B17" s="3158" t="s">
        <v>1657</v>
      </c>
      <c r="C17" s="3159" t="str">
        <f>C5</f>
        <v>周边有京贸中心、东长安街写字楼、绿地中央广场（通州）、通州富力中心等多个办公楼项目，办公集聚程度较好。</v>
      </c>
      <c r="D17" s="3124"/>
      <c r="E17" s="3160"/>
      <c r="F17" s="3161" t="s">
        <v>1662</v>
      </c>
      <c r="G17" s="3163"/>
    </row>
    <row r="18" spans="1:7" ht="67.5">
      <c r="A18" s="3157"/>
      <c r="B18" s="3161" t="s">
        <v>1643</v>
      </c>
      <c r="C18" s="3162" t="str">
        <f>C6</f>
        <v>周边有通322路、342路、589路、667路、804路、808路、通19路、通41路、通62路等多条公交线路通过，距地铁6号线（北运河西站）约1公里，综合评价交通便捷度较好</v>
      </c>
      <c r="D18" s="3124"/>
      <c r="E18" s="3160"/>
      <c r="F18" s="3161" t="s">
        <v>1658</v>
      </c>
      <c r="G18" s="3162" t="str">
        <f>G7</f>
        <v>该园区内是否有污染型企业，绿化情况，卫生条件，整体环境状况判断</v>
      </c>
    </row>
    <row r="19" spans="1:7" ht="27">
      <c r="A19" s="3157"/>
      <c r="B19" s="3161" t="s">
        <v>1647</v>
      </c>
      <c r="C19" s="3163"/>
      <c r="D19" s="3116"/>
      <c r="E19" s="3160"/>
      <c r="F19" s="3120" t="s">
        <v>2525</v>
      </c>
      <c r="G19" s="3162" t="str">
        <f>G5</f>
        <v>估价对象所在区域公共配套设施齐备情况</v>
      </c>
    </row>
    <row r="20" spans="1:7" ht="81">
      <c r="A20" s="3157"/>
      <c r="B20" s="3161" t="s">
        <v>1648</v>
      </c>
      <c r="C20" s="3159" t="str">
        <f>C9</f>
        <v>周边2公里内有自然水域北运河、潮白河，有运河奥体公园、西海子公园等自然公园，绿化条件好；周边2公里内有运河文化广场、北京物资学院（乔庄校区）等人文场所。综合考虑自然环境与人文环境好。</v>
      </c>
      <c r="D20" s="3124"/>
      <c r="E20" s="3160"/>
      <c r="F20" s="3120" t="s">
        <v>2526</v>
      </c>
      <c r="G20" s="3162" t="str">
        <f>G6</f>
        <v>估价对象所在区域基础设施水平</v>
      </c>
    </row>
    <row r="21" spans="1:7" ht="148.5">
      <c r="A21" s="3157"/>
      <c r="B21" s="3120" t="s">
        <v>2525</v>
      </c>
      <c r="C21" s="3162"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16"/>
      <c r="E21" s="3160"/>
      <c r="F21" s="3161" t="s">
        <v>1649</v>
      </c>
      <c r="G21" s="3164"/>
    </row>
    <row r="22" spans="1:7" ht="67.5">
      <c r="A22" s="3157"/>
      <c r="B22" s="3120" t="s">
        <v>2526</v>
      </c>
      <c r="C22" s="3162" t="str">
        <f>C8</f>
        <v>估价对象所在区域内基础设施配套条件达到“七通”（即通路、通上水、通下水、通电、通讯、通燃气、通热力），能够保证工作、生产需要，基础设施配套完善度好。</v>
      </c>
      <c r="D22" s="3116"/>
      <c r="E22" s="3160"/>
      <c r="F22" s="3161" t="s">
        <v>1659</v>
      </c>
      <c r="G22" s="3163"/>
    </row>
    <row r="23" spans="1:7" ht="15" thickBot="1">
      <c r="A23" s="3157"/>
      <c r="B23" s="3161" t="s">
        <v>1649</v>
      </c>
      <c r="C23" s="3164"/>
      <c r="E23" s="3165"/>
      <c r="F23" s="3166" t="s">
        <v>1663</v>
      </c>
      <c r="G23" s="3167"/>
    </row>
    <row r="24" spans="1:7" ht="14.25" thickBot="1">
      <c r="A24" s="3168"/>
      <c r="B24" s="3166" t="s">
        <v>1650</v>
      </c>
      <c r="C24" s="3169" t="str">
        <f>C10</f>
        <v>城市主干道——新华东街</v>
      </c>
      <c r="E24" s="3170"/>
      <c r="F24" s="3170"/>
      <c r="G24" s="3171"/>
    </row>
    <row r="25" spans="1:7">
      <c r="E25" s="3112"/>
      <c r="F25" s="3112"/>
      <c r="G25" s="3112"/>
    </row>
    <row r="26" spans="1:7">
      <c r="E26" s="3112"/>
      <c r="F26" s="3112"/>
      <c r="G26" s="3112"/>
    </row>
    <row r="27" spans="1:7">
      <c r="E27" s="3112"/>
      <c r="F27" s="3112"/>
      <c r="G27" s="3112"/>
    </row>
    <row r="28" spans="1:7">
      <c r="E28" s="3112"/>
      <c r="F28" s="3112"/>
      <c r="G28" s="3112"/>
    </row>
    <row r="29" spans="1:7">
      <c r="E29" s="3112"/>
      <c r="F29" s="3112"/>
      <c r="G29" s="3112"/>
    </row>
    <row r="30" spans="1:7">
      <c r="E30" s="3112"/>
      <c r="F30" s="3112"/>
      <c r="G30" s="3112"/>
    </row>
    <row r="31" spans="1:7">
      <c r="E31" s="3112"/>
      <c r="F31" s="3112"/>
      <c r="G31" s="3112"/>
    </row>
    <row r="32" spans="1: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73" customWidth="1"/>
    <col min="2" max="16384" width="14.625" style="3173"/>
  </cols>
  <sheetData>
    <row r="1" spans="1:10" ht="16.5">
      <c r="A1" s="3172" t="s">
        <v>2821</v>
      </c>
      <c r="B1" s="3172">
        <f>SUM(B14:B23)</f>
        <v>771700</v>
      </c>
      <c r="C1" s="3181"/>
      <c r="D1" s="3181"/>
      <c r="E1" s="3181"/>
      <c r="F1" s="3181"/>
      <c r="G1" s="3182"/>
      <c r="H1" s="3182"/>
      <c r="I1" s="3182"/>
      <c r="J1" s="3182"/>
    </row>
    <row r="2" spans="1:10" ht="16.5">
      <c r="A2" s="3172" t="s">
        <v>2822</v>
      </c>
      <c r="B2" s="3172">
        <f>SUM(C14:C23)</f>
        <v>81070.11</v>
      </c>
      <c r="C2" s="3181"/>
      <c r="D2" s="3181"/>
      <c r="E2" s="3181"/>
      <c r="F2" s="3181"/>
      <c r="G2" s="3182"/>
      <c r="H2" s="3182"/>
      <c r="I2" s="3182"/>
      <c r="J2" s="3182"/>
    </row>
    <row r="3" spans="1:10" ht="16.5">
      <c r="A3" s="3172" t="s">
        <v>2823</v>
      </c>
      <c r="B3" s="3174">
        <f>项目基本情况!D3</f>
        <v>44545</v>
      </c>
      <c r="C3" s="3181"/>
      <c r="D3" s="3181"/>
      <c r="E3" s="3181"/>
      <c r="F3" s="3181"/>
      <c r="G3" s="3182"/>
      <c r="H3" s="3182"/>
      <c r="I3" s="3182"/>
      <c r="J3" s="3182"/>
    </row>
    <row r="4" spans="1:10" ht="33">
      <c r="A4" s="3172" t="s">
        <v>2824</v>
      </c>
      <c r="B4" s="3172" t="s">
        <v>2825</v>
      </c>
      <c r="C4" s="3172" t="s">
        <v>2826</v>
      </c>
      <c r="D4" s="3172" t="s">
        <v>2827</v>
      </c>
      <c r="E4" s="3181"/>
      <c r="F4" s="3181"/>
      <c r="G4" s="3182"/>
      <c r="H4" s="3182"/>
      <c r="I4" s="3182"/>
      <c r="J4" s="3182"/>
    </row>
    <row r="5" spans="1:10" ht="16.5">
      <c r="A5" s="3172" t="s">
        <v>2828</v>
      </c>
      <c r="B5" s="3172">
        <f ca="1">SUM(D14:D23)</f>
        <v>410701</v>
      </c>
      <c r="C5" s="3172">
        <f ca="1">ROUND(B5*10000/$B$1,0)</f>
        <v>5322</v>
      </c>
      <c r="D5" s="3172">
        <f ca="1">ROUND(B5*10000/$B$2,0)</f>
        <v>50660</v>
      </c>
      <c r="E5" s="3181"/>
      <c r="F5" s="3181"/>
      <c r="G5" s="3182"/>
      <c r="H5" s="3182"/>
      <c r="I5" s="3182"/>
      <c r="J5" s="3182"/>
    </row>
    <row r="6" spans="1:10" ht="16.5">
      <c r="A6" s="3172" t="s">
        <v>2829</v>
      </c>
      <c r="B6" s="3172">
        <f>SUM(G14:G23)</f>
        <v>0</v>
      </c>
      <c r="C6" s="3172">
        <f t="shared" ref="C6:C8" si="0">ROUND(B6*10000/$B$1,0)</f>
        <v>0</v>
      </c>
      <c r="D6" s="3172">
        <f t="shared" ref="D6:D8" si="1">ROUND(B6*10000/$B$2,0)</f>
        <v>0</v>
      </c>
      <c r="E6" s="3181"/>
      <c r="F6" s="3181"/>
      <c r="G6" s="3182"/>
      <c r="H6" s="3182"/>
      <c r="I6" s="3182"/>
      <c r="J6" s="3182"/>
    </row>
    <row r="7" spans="1:10" ht="16.5">
      <c r="A7" s="3172" t="s">
        <v>2830</v>
      </c>
      <c r="B7" s="3172">
        <f>SUM(H14:H23)</f>
        <v>0</v>
      </c>
      <c r="C7" s="3172">
        <f t="shared" si="0"/>
        <v>0</v>
      </c>
      <c r="D7" s="3172">
        <f t="shared" si="1"/>
        <v>0</v>
      </c>
      <c r="E7" s="3181"/>
      <c r="F7" s="3181"/>
      <c r="G7" s="3182"/>
      <c r="H7" s="3182"/>
      <c r="I7" s="3182"/>
      <c r="J7" s="3182"/>
    </row>
    <row r="8" spans="1:10" ht="16.5">
      <c r="A8" s="3172" t="s">
        <v>2831</v>
      </c>
      <c r="B8" s="3172">
        <f>SUM(I14:I23)</f>
        <v>0</v>
      </c>
      <c r="C8" s="3172">
        <f t="shared" si="0"/>
        <v>0</v>
      </c>
      <c r="D8" s="3172">
        <f t="shared" si="1"/>
        <v>0</v>
      </c>
      <c r="E8" s="3181"/>
      <c r="F8" s="3181"/>
      <c r="G8" s="3182"/>
      <c r="H8" s="3182"/>
      <c r="I8" s="3182"/>
      <c r="J8" s="3182"/>
    </row>
    <row r="9" spans="1:10" ht="16.5">
      <c r="A9" s="3172" t="s">
        <v>2832</v>
      </c>
      <c r="B9" s="3180"/>
      <c r="C9" s="3181"/>
      <c r="D9" s="3181"/>
      <c r="E9" s="3181"/>
      <c r="F9" s="3181"/>
      <c r="G9" s="3182"/>
      <c r="H9" s="3182"/>
      <c r="I9" s="3182"/>
      <c r="J9" s="3182"/>
    </row>
    <row r="10" spans="1:10" ht="16.5">
      <c r="A10" s="3172" t="s">
        <v>2833</v>
      </c>
      <c r="B10" s="3180"/>
      <c r="C10" s="3181"/>
      <c r="D10" s="3181"/>
      <c r="E10" s="3181"/>
      <c r="F10" s="3181"/>
      <c r="G10" s="3182"/>
      <c r="H10" s="3182"/>
      <c r="I10" s="3182"/>
      <c r="J10" s="3182"/>
    </row>
    <row r="11" spans="1:10" ht="16.5">
      <c r="A11" s="3172" t="s">
        <v>2850</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2849</v>
      </c>
      <c r="B13" s="3176" t="s">
        <v>2821</v>
      </c>
      <c r="C13" s="3176" t="s">
        <v>2822</v>
      </c>
      <c r="D13" s="3176" t="s">
        <v>2834</v>
      </c>
      <c r="E13" s="3172" t="s">
        <v>2848</v>
      </c>
      <c r="F13" s="3172" t="s">
        <v>2827</v>
      </c>
      <c r="G13" s="3176" t="s">
        <v>2835</v>
      </c>
      <c r="H13" s="3176" t="s">
        <v>2836</v>
      </c>
      <c r="I13" s="3176" t="s">
        <v>2837</v>
      </c>
      <c r="J13" s="3182"/>
    </row>
    <row r="14" spans="1:10" ht="16.5">
      <c r="A14" s="3177" t="s">
        <v>2847</v>
      </c>
      <c r="B14" s="3178">
        <f>结果表!L38</f>
        <v>771700</v>
      </c>
      <c r="C14" s="3178">
        <f>结果表!K38</f>
        <v>81070.11</v>
      </c>
      <c r="D14" s="3178">
        <f ca="1">结果表!C42</f>
        <v>410701</v>
      </c>
      <c r="E14" s="3178">
        <f ca="1">ROUND(D14*10000/B14,0)</f>
        <v>5322</v>
      </c>
      <c r="F14" s="3178">
        <f ca="1">ROUND(D14*10000/C14,0)</f>
        <v>50660</v>
      </c>
      <c r="G14" s="3178" t="str">
        <f>结果表!C44</f>
        <v>——</v>
      </c>
      <c r="H14" s="3178" t="str">
        <f>结果表!C45</f>
        <v>——</v>
      </c>
      <c r="I14" s="3178" t="str">
        <f>结果表!C46</f>
        <v>——</v>
      </c>
      <c r="J14" s="3182"/>
    </row>
    <row r="15" spans="1:10" ht="16.5">
      <c r="A15" s="3177" t="s">
        <v>2838</v>
      </c>
      <c r="B15" s="3179"/>
      <c r="C15" s="3179"/>
      <c r="D15" s="3179"/>
      <c r="E15" s="3178" t="e">
        <f t="shared" ref="E15:E23" si="2">ROUND(D15*10000/B15,0)</f>
        <v>#DIV/0!</v>
      </c>
      <c r="F15" s="3178" t="e">
        <f t="shared" ref="F15:F23" si="3">ROUND(D15*10000/C15,0)</f>
        <v>#DIV/0!</v>
      </c>
      <c r="G15" s="2755"/>
      <c r="H15" s="2755"/>
      <c r="I15" s="3179"/>
      <c r="J15" s="3182"/>
    </row>
    <row r="16" spans="1:10" ht="16.5">
      <c r="A16" s="3177" t="s">
        <v>2839</v>
      </c>
      <c r="B16" s="3179"/>
      <c r="C16" s="3179"/>
      <c r="D16" s="3179"/>
      <c r="E16" s="3178" t="e">
        <f t="shared" si="2"/>
        <v>#DIV/0!</v>
      </c>
      <c r="F16" s="3178" t="e">
        <f t="shared" si="3"/>
        <v>#DIV/0!</v>
      </c>
      <c r="G16" s="2755"/>
      <c r="H16" s="2755"/>
      <c r="I16" s="3179"/>
      <c r="J16" s="3182"/>
    </row>
    <row r="17" spans="1:10" ht="16.5">
      <c r="A17" s="3177" t="s">
        <v>2840</v>
      </c>
      <c r="B17" s="3179"/>
      <c r="C17" s="3179"/>
      <c r="D17" s="3179"/>
      <c r="E17" s="3178" t="e">
        <f t="shared" si="2"/>
        <v>#DIV/0!</v>
      </c>
      <c r="F17" s="3178" t="e">
        <f t="shared" si="3"/>
        <v>#DIV/0!</v>
      </c>
      <c r="G17" s="2755"/>
      <c r="H17" s="2755"/>
      <c r="I17" s="3179"/>
      <c r="J17" s="3182"/>
    </row>
    <row r="18" spans="1:10" ht="16.5">
      <c r="A18" s="3177" t="s">
        <v>2841</v>
      </c>
      <c r="B18" s="3179"/>
      <c r="C18" s="3179"/>
      <c r="D18" s="3179"/>
      <c r="E18" s="3178" t="e">
        <f t="shared" si="2"/>
        <v>#DIV/0!</v>
      </c>
      <c r="F18" s="3178" t="e">
        <f t="shared" si="3"/>
        <v>#DIV/0!</v>
      </c>
      <c r="G18" s="3179"/>
      <c r="H18" s="3179"/>
      <c r="I18" s="3179"/>
      <c r="J18" s="3182"/>
    </row>
    <row r="19" spans="1:10" ht="16.5">
      <c r="A19" s="3177" t="s">
        <v>2842</v>
      </c>
      <c r="B19" s="3179"/>
      <c r="C19" s="3179"/>
      <c r="D19" s="3179"/>
      <c r="E19" s="3178" t="e">
        <f t="shared" si="2"/>
        <v>#DIV/0!</v>
      </c>
      <c r="F19" s="3178" t="e">
        <f t="shared" si="3"/>
        <v>#DIV/0!</v>
      </c>
      <c r="G19" s="3179"/>
      <c r="H19" s="3179"/>
      <c r="I19" s="3179"/>
      <c r="J19" s="3182"/>
    </row>
    <row r="20" spans="1:10" ht="16.5">
      <c r="A20" s="3177" t="s">
        <v>2843</v>
      </c>
      <c r="B20" s="3179"/>
      <c r="C20" s="3179"/>
      <c r="D20" s="3179"/>
      <c r="E20" s="3178" t="e">
        <f t="shared" si="2"/>
        <v>#DIV/0!</v>
      </c>
      <c r="F20" s="3178" t="e">
        <f t="shared" si="3"/>
        <v>#DIV/0!</v>
      </c>
      <c r="G20" s="3179"/>
      <c r="H20" s="3179"/>
      <c r="I20" s="3179"/>
      <c r="J20" s="3182"/>
    </row>
    <row r="21" spans="1:10" ht="16.5">
      <c r="A21" s="3177" t="s">
        <v>2844</v>
      </c>
      <c r="B21" s="3179"/>
      <c r="C21" s="3179"/>
      <c r="D21" s="3179"/>
      <c r="E21" s="3178" t="e">
        <f t="shared" si="2"/>
        <v>#DIV/0!</v>
      </c>
      <c r="F21" s="3178" t="e">
        <f t="shared" si="3"/>
        <v>#DIV/0!</v>
      </c>
      <c r="G21" s="3179"/>
      <c r="H21" s="3179"/>
      <c r="I21" s="3179"/>
      <c r="J21" s="3182"/>
    </row>
    <row r="22" spans="1:10" ht="16.5">
      <c r="A22" s="3177" t="s">
        <v>2845</v>
      </c>
      <c r="B22" s="3179"/>
      <c r="C22" s="3179"/>
      <c r="D22" s="3179"/>
      <c r="E22" s="3178" t="e">
        <f t="shared" si="2"/>
        <v>#DIV/0!</v>
      </c>
      <c r="F22" s="3178" t="e">
        <f t="shared" si="3"/>
        <v>#DIV/0!</v>
      </c>
      <c r="G22" s="3179"/>
      <c r="H22" s="3179"/>
      <c r="I22" s="3179"/>
      <c r="J22" s="3182"/>
    </row>
    <row r="23" spans="1:10" ht="16.5">
      <c r="A23" s="3177" t="s">
        <v>2846</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879" t="s">
        <v>3069</v>
      </c>
      <c r="B1" s="3879"/>
      <c r="C1" s="3879"/>
      <c r="D1" s="3879"/>
    </row>
    <row r="2" spans="1:4" ht="28.5">
      <c r="A2" s="3320"/>
      <c r="B2" s="3320" t="s">
        <v>3041</v>
      </c>
      <c r="C2" s="3320" t="s">
        <v>3042</v>
      </c>
      <c r="D2" s="3320" t="s">
        <v>3043</v>
      </c>
    </row>
    <row r="3" spans="1:4" ht="39" customHeight="1">
      <c r="A3" s="3320" t="s">
        <v>3044</v>
      </c>
      <c r="B3" s="3320">
        <f ca="1">土储要求测算表!J12</f>
        <v>14470</v>
      </c>
      <c r="C3" s="3320" t="s">
        <v>3045</v>
      </c>
      <c r="D3" s="3320" t="s">
        <v>3045</v>
      </c>
    </row>
    <row r="4" spans="1:4" ht="39" customHeight="1">
      <c r="A4" s="3320" t="s">
        <v>3046</v>
      </c>
      <c r="B4" s="3320">
        <f ca="1">土储要求测算表!J13</f>
        <v>13595</v>
      </c>
      <c r="C4" s="3320">
        <f>土储要求测算表!H10</f>
        <v>302100</v>
      </c>
      <c r="D4" s="3320">
        <f ca="1">ROUND(B4*C4/10000,2)</f>
        <v>410704.95</v>
      </c>
    </row>
    <row r="5" spans="1:4" ht="14.25">
      <c r="A5" s="3320" t="s">
        <v>3047</v>
      </c>
      <c r="B5" s="3320" t="s">
        <v>3048</v>
      </c>
      <c r="C5" s="3320">
        <f>C4</f>
        <v>302100</v>
      </c>
      <c r="D5" s="3321">
        <f ca="1">D4</f>
        <v>410704.95</v>
      </c>
    </row>
    <row r="6" spans="1:4" ht="14.25">
      <c r="A6" s="3322"/>
      <c r="B6" s="3322"/>
      <c r="C6" s="3322"/>
      <c r="D6" s="3322"/>
    </row>
    <row r="7" spans="1:4" ht="28.5">
      <c r="A7" s="3320"/>
      <c r="B7" s="3320" t="s">
        <v>3049</v>
      </c>
      <c r="C7" s="3320" t="s">
        <v>3050</v>
      </c>
      <c r="D7" s="3320" t="s">
        <v>3043</v>
      </c>
    </row>
    <row r="8" spans="1:4" ht="28.5">
      <c r="A8" s="3320" t="s">
        <v>3052</v>
      </c>
      <c r="B8" s="3320">
        <f ca="1">ROUND(B3*0.25,0)</f>
        <v>3618</v>
      </c>
      <c r="C8" s="3320" t="str">
        <f>C3</f>
        <v>——</v>
      </c>
      <c r="D8" s="3320" t="str">
        <f>D3</f>
        <v>——</v>
      </c>
    </row>
    <row r="9" spans="1:4" ht="28.5">
      <c r="A9" s="3320" t="s">
        <v>3053</v>
      </c>
      <c r="B9" s="3320">
        <f ca="1">ROUND(B4*0.25,0)</f>
        <v>3399</v>
      </c>
      <c r="C9" s="3320">
        <f>C4</f>
        <v>302100</v>
      </c>
      <c r="D9" s="3320">
        <f ca="1">ROUND(B9*C9/10000,2)</f>
        <v>102683.79</v>
      </c>
    </row>
    <row r="10" spans="1:4" ht="28.5">
      <c r="A10" s="3320" t="s">
        <v>3051</v>
      </c>
      <c r="B10" s="3320" t="s">
        <v>3048</v>
      </c>
      <c r="C10" s="3320">
        <f>C9</f>
        <v>302100</v>
      </c>
      <c r="D10" s="3321">
        <f ca="1">D9</f>
        <v>102683.79</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2"/>
  <sheetViews>
    <sheetView workbookViewId="0">
      <selection activeCell="J9" sqref="J9"/>
    </sheetView>
  </sheetViews>
  <sheetFormatPr defaultColWidth="9" defaultRowHeight="15.75"/>
  <cols>
    <col min="1" max="1" width="10.75" style="3317" customWidth="1"/>
    <col min="2" max="2" width="7.5" style="3317" customWidth="1"/>
    <col min="3" max="3" width="9" style="3317" customWidth="1"/>
    <col min="4" max="4" width="6.125" style="3317" customWidth="1"/>
    <col min="5" max="5" width="7.625" style="3317" customWidth="1"/>
    <col min="6" max="6" width="7.75" style="3317" customWidth="1"/>
    <col min="7" max="7" width="6.125" style="3317" customWidth="1"/>
    <col min="8" max="8" width="9.875" style="3317" customWidth="1"/>
    <col min="9" max="9" width="14.5" style="3318" customWidth="1"/>
    <col min="10" max="10" width="8.5" style="3318" customWidth="1"/>
    <col min="11" max="11" width="7.75" style="3319" customWidth="1"/>
    <col min="12" max="14" width="12.5" style="3317" customWidth="1"/>
    <col min="15" max="15" width="5.625" style="3317" customWidth="1"/>
    <col min="16" max="16384" width="9" style="3317"/>
  </cols>
  <sheetData>
    <row r="1" spans="1:16" s="3272" customFormat="1" ht="14.25">
      <c r="A1" s="3880" t="s">
        <v>3166</v>
      </c>
      <c r="B1" s="3880"/>
      <c r="C1" s="3880"/>
      <c r="D1" s="3880"/>
      <c r="E1" s="3880"/>
      <c r="F1" s="3880"/>
      <c r="G1" s="3880"/>
      <c r="H1" s="3880"/>
      <c r="I1" s="3881"/>
      <c r="J1" s="3880"/>
      <c r="K1" s="3881"/>
    </row>
    <row r="2" spans="1:16" s="3272" customFormat="1" ht="36">
      <c r="A2" s="3273" t="s">
        <v>2996</v>
      </c>
      <c r="B2" s="3274" t="s">
        <v>2997</v>
      </c>
      <c r="C2" s="3275" t="s">
        <v>2998</v>
      </c>
      <c r="D2" s="3276" t="s">
        <v>2999</v>
      </c>
      <c r="E2" s="3276" t="s">
        <v>3000</v>
      </c>
      <c r="F2" s="3276" t="s">
        <v>3001</v>
      </c>
      <c r="G2" s="3276" t="s">
        <v>3002</v>
      </c>
      <c r="H2" s="3276" t="s">
        <v>3003</v>
      </c>
      <c r="I2" s="3276" t="s">
        <v>3004</v>
      </c>
      <c r="J2" s="3277" t="s">
        <v>3005</v>
      </c>
      <c r="K2" s="3278" t="s">
        <v>3006</v>
      </c>
    </row>
    <row r="3" spans="1:16" s="3284" customFormat="1" ht="10.5">
      <c r="A3" s="3276" t="s">
        <v>3007</v>
      </c>
      <c r="B3" s="3279">
        <f>基准地价商业!C6</f>
        <v>10160</v>
      </c>
      <c r="C3" s="3280">
        <f>基准地价商业!C7</f>
        <v>1</v>
      </c>
      <c r="D3" s="3276">
        <f>基准地价商业!C16</f>
        <v>-6</v>
      </c>
      <c r="E3" s="3281">
        <f>基准地价商业!C18</f>
        <v>1</v>
      </c>
      <c r="F3" s="3281">
        <f>基准地价商业!C19</f>
        <v>1.3963000000000001</v>
      </c>
      <c r="G3" s="3281">
        <f ca="1">基准地价商业!C20</f>
        <v>1</v>
      </c>
      <c r="H3" s="3281">
        <f>基准地价商业!C21</f>
        <v>0.79569999999999996</v>
      </c>
      <c r="I3" s="3281">
        <f>基准地价商业!C24</f>
        <v>1.0589</v>
      </c>
      <c r="J3" s="3282">
        <f t="shared" ref="J3:J4" ca="1" si="0">ROUND((B3*C3+D3)*E3*F3*G3*H3*I3,0)</f>
        <v>11946</v>
      </c>
      <c r="K3" s="3283">
        <f t="shared" ref="K3:K10" ca="1" si="1">J3*0.25</f>
        <v>2986.5</v>
      </c>
    </row>
    <row r="4" spans="1:16" s="3284" customFormat="1" ht="10.5">
      <c r="A4" s="3276" t="s">
        <v>1665</v>
      </c>
      <c r="B4" s="3279">
        <f>基准地价办公!C6</f>
        <v>10110</v>
      </c>
      <c r="C4" s="3280">
        <v>1</v>
      </c>
      <c r="D4" s="3276">
        <f>基准地价办公!C16</f>
        <v>-6</v>
      </c>
      <c r="E4" s="3281">
        <f>基准地价办公!C18</f>
        <v>1</v>
      </c>
      <c r="F4" s="3281">
        <f>基准地价办公!C19</f>
        <v>1.3963000000000001</v>
      </c>
      <c r="G4" s="3281">
        <f ca="1">基准地价办公!C20</f>
        <v>1</v>
      </c>
      <c r="H4" s="3281">
        <f>基准地价办公!C21</f>
        <v>0.79710000000000003</v>
      </c>
      <c r="I4" s="3281">
        <f>基准地价办公!C24</f>
        <v>1.0571999999999999</v>
      </c>
      <c r="J4" s="3282">
        <f t="shared" ca="1" si="0"/>
        <v>11889</v>
      </c>
      <c r="K4" s="3283">
        <f t="shared" ca="1" si="1"/>
        <v>2972.25</v>
      </c>
      <c r="L4" s="3285"/>
      <c r="M4" s="3371"/>
      <c r="N4" s="3371"/>
    </row>
    <row r="5" spans="1:16" s="3284" customFormat="1" ht="10.5">
      <c r="A5" s="3389" t="s">
        <v>3227</v>
      </c>
      <c r="B5" s="3279">
        <f>B4</f>
        <v>10110</v>
      </c>
      <c r="C5" s="3280">
        <f>C4</f>
        <v>1</v>
      </c>
      <c r="D5" s="3389">
        <f>D4</f>
        <v>-6</v>
      </c>
      <c r="E5" s="3281">
        <f>基准地价商务公寓!C18</f>
        <v>1</v>
      </c>
      <c r="F5" s="3281">
        <f>F4</f>
        <v>1.3963000000000001</v>
      </c>
      <c r="G5" s="3281">
        <f ca="1">G4</f>
        <v>1</v>
      </c>
      <c r="H5" s="3281">
        <f>H4</f>
        <v>0.79710000000000003</v>
      </c>
      <c r="I5" s="3281">
        <f>I4</f>
        <v>1.0571999999999999</v>
      </c>
      <c r="J5" s="3282">
        <f ca="1">基准地价商务公寓!C29</f>
        <v>11889</v>
      </c>
      <c r="K5" s="3283"/>
      <c r="L5" s="3371"/>
      <c r="M5" s="3371"/>
      <c r="N5" s="3371"/>
    </row>
    <row r="6" spans="1:16" s="3272" customFormat="1" ht="14.25">
      <c r="A6" s="3882" t="s">
        <v>3032</v>
      </c>
      <c r="B6" s="3882"/>
      <c r="C6" s="3882"/>
      <c r="D6" s="3882"/>
      <c r="E6" s="3882"/>
      <c r="F6" s="3882"/>
      <c r="G6" s="3882"/>
      <c r="H6" s="3882"/>
      <c r="I6" s="3882"/>
      <c r="J6" s="3882" t="s">
        <v>3008</v>
      </c>
      <c r="K6" s="3882"/>
    </row>
    <row r="7" spans="1:16" s="3272" customFormat="1" ht="27">
      <c r="A7" s="3273" t="s">
        <v>3009</v>
      </c>
      <c r="B7" s="3275" t="s">
        <v>3010</v>
      </c>
      <c r="C7" s="3274" t="s">
        <v>3011</v>
      </c>
      <c r="D7" s="3274" t="s">
        <v>3012</v>
      </c>
      <c r="E7" s="3274" t="s">
        <v>3013</v>
      </c>
      <c r="F7" s="3274" t="s">
        <v>3014</v>
      </c>
      <c r="G7" s="3274" t="s">
        <v>3015</v>
      </c>
      <c r="H7" s="3274" t="s">
        <v>3016</v>
      </c>
      <c r="I7" s="3274" t="s">
        <v>3017</v>
      </c>
      <c r="J7" s="3286" t="s">
        <v>3005</v>
      </c>
      <c r="K7" s="3287" t="s">
        <v>3006</v>
      </c>
    </row>
    <row r="8" spans="1:16" s="3295" customFormat="1" ht="14.25" hidden="1">
      <c r="A8" s="3288" t="s">
        <v>3018</v>
      </c>
      <c r="B8" s="3289"/>
      <c r="C8" s="3290"/>
      <c r="D8" s="3291"/>
      <c r="E8" s="3291"/>
      <c r="F8" s="3291"/>
      <c r="G8" s="3291"/>
      <c r="H8" s="3290"/>
      <c r="I8" s="3292"/>
      <c r="J8" s="3293"/>
      <c r="K8" s="3294">
        <f t="shared" si="1"/>
        <v>0</v>
      </c>
    </row>
    <row r="9" spans="1:16" s="3295" customFormat="1" ht="14.25">
      <c r="A9" s="3288" t="s">
        <v>3019</v>
      </c>
      <c r="B9" s="3289">
        <f>剩余法商业!C8</f>
        <v>32600</v>
      </c>
      <c r="C9" s="3290">
        <v>0</v>
      </c>
      <c r="D9" s="3289">
        <v>0</v>
      </c>
      <c r="E9" s="3289">
        <v>0</v>
      </c>
      <c r="F9" s="3289">
        <v>0</v>
      </c>
      <c r="G9" s="3289">
        <v>0</v>
      </c>
      <c r="H9" s="3290">
        <v>0</v>
      </c>
      <c r="I9" s="3292">
        <f t="shared" ref="I9:I10" si="2">B9</f>
        <v>32600</v>
      </c>
      <c r="J9" s="3296">
        <f ca="1">剩余法商业!C37</f>
        <v>15551</v>
      </c>
      <c r="K9" s="3294">
        <f t="shared" ca="1" si="1"/>
        <v>3887.75</v>
      </c>
    </row>
    <row r="10" spans="1:16" s="3272" customFormat="1" ht="14.25">
      <c r="A10" s="3274" t="s">
        <v>3020</v>
      </c>
      <c r="B10" s="3289">
        <f>剩余法办公!C8</f>
        <v>29537</v>
      </c>
      <c r="C10" s="3297">
        <f>H10</f>
        <v>302100</v>
      </c>
      <c r="D10" s="3291">
        <v>0</v>
      </c>
      <c r="E10" s="3297">
        <v>0</v>
      </c>
      <c r="F10" s="3297">
        <v>0</v>
      </c>
      <c r="G10" s="3297">
        <v>0</v>
      </c>
      <c r="H10" s="3297">
        <f>'数据-汇总表'!F20</f>
        <v>302100</v>
      </c>
      <c r="I10" s="3292">
        <f t="shared" si="2"/>
        <v>29537</v>
      </c>
      <c r="J10" s="3296">
        <f ca="1">剩余法办公!C37</f>
        <v>14326</v>
      </c>
      <c r="K10" s="3294">
        <f t="shared" ca="1" si="1"/>
        <v>3581.5</v>
      </c>
    </row>
    <row r="11" spans="1:16" s="3272" customFormat="1" ht="22.5">
      <c r="A11" s="3298" t="s">
        <v>3021</v>
      </c>
      <c r="B11" s="3299" t="s">
        <v>3022</v>
      </c>
      <c r="C11" s="3299" t="s">
        <v>3023</v>
      </c>
      <c r="D11" s="3299" t="s">
        <v>3024</v>
      </c>
      <c r="E11" s="3299" t="s">
        <v>3023</v>
      </c>
      <c r="F11" s="3299"/>
      <c r="G11" s="3299"/>
      <c r="H11" s="3299" t="s">
        <v>3025</v>
      </c>
      <c r="I11" s="3299" t="s">
        <v>3026</v>
      </c>
      <c r="J11" s="3299" t="s">
        <v>3027</v>
      </c>
      <c r="K11" s="3299" t="s">
        <v>3006</v>
      </c>
    </row>
    <row r="12" spans="1:16" s="3272" customFormat="1" ht="14.25">
      <c r="A12" s="3274" t="s">
        <v>3226</v>
      </c>
      <c r="B12" s="3300">
        <f ca="1">J3</f>
        <v>11946</v>
      </c>
      <c r="C12" s="3384">
        <v>0.3</v>
      </c>
      <c r="D12" s="3301">
        <f ca="1">J9</f>
        <v>15551</v>
      </c>
      <c r="E12" s="3302">
        <f t="shared" ref="E12:E13" si="3">1-C12</f>
        <v>0.7</v>
      </c>
      <c r="F12" s="3291"/>
      <c r="G12" s="3302"/>
      <c r="H12" s="3297">
        <v>0</v>
      </c>
      <c r="I12" s="3303">
        <v>0</v>
      </c>
      <c r="J12" s="3296">
        <f ca="1">ROUND(B12*C12+D12*E12,0)</f>
        <v>14470</v>
      </c>
      <c r="K12" s="3304">
        <f ca="1">ROUND(J12*0.25,0)</f>
        <v>3618</v>
      </c>
      <c r="L12" s="3305"/>
      <c r="M12" s="3305">
        <v>12385</v>
      </c>
      <c r="N12" s="3305"/>
      <c r="O12" s="3305"/>
    </row>
    <row r="13" spans="1:16" s="3272" customFormat="1" ht="14.25">
      <c r="A13" s="3274" t="s">
        <v>1665</v>
      </c>
      <c r="B13" s="3300">
        <f ca="1">J4</f>
        <v>11889</v>
      </c>
      <c r="C13" s="3384">
        <v>0.3</v>
      </c>
      <c r="D13" s="3301">
        <f ca="1">J10</f>
        <v>14326</v>
      </c>
      <c r="E13" s="3302">
        <f t="shared" si="3"/>
        <v>0.7</v>
      </c>
      <c r="F13" s="3291"/>
      <c r="G13" s="3302"/>
      <c r="H13" s="3297">
        <f>H10</f>
        <v>302100</v>
      </c>
      <c r="I13" s="3303">
        <f ca="1">ROUND(J13*H13/10000,2)</f>
        <v>410704.95</v>
      </c>
      <c r="J13" s="3296">
        <f ca="1">ROUND(B13*C13+D13*E13,0)</f>
        <v>13595</v>
      </c>
      <c r="K13" s="3304">
        <f ca="1">ROUND(J13*0.25,0)</f>
        <v>3399</v>
      </c>
      <c r="L13" s="3368">
        <f ca="1">K13*H13/10000</f>
        <v>102683.79</v>
      </c>
      <c r="M13" s="3368">
        <v>11192</v>
      </c>
      <c r="N13" s="3368"/>
      <c r="P13" s="3306"/>
    </row>
    <row r="14" spans="1:16" s="3272" customFormat="1" ht="14.25">
      <c r="A14" s="3780" t="s">
        <v>3227</v>
      </c>
      <c r="B14" s="3781">
        <f ca="1">J5</f>
        <v>11889</v>
      </c>
      <c r="C14" s="3782">
        <v>0.3</v>
      </c>
      <c r="D14" s="3783">
        <f ca="1">剩余法商务公寓!B3</f>
        <v>20998</v>
      </c>
      <c r="E14" s="3784">
        <v>0.7</v>
      </c>
      <c r="F14" s="3785"/>
      <c r="G14" s="3784"/>
      <c r="H14" s="3786">
        <f>'数据-汇总表'!F19</f>
        <v>167500</v>
      </c>
      <c r="I14" s="3303">
        <f ca="1">ROUND(J14*H14/10000,2)</f>
        <v>305938.75</v>
      </c>
      <c r="J14" s="3296">
        <f ca="1">ROUND(B14*C14+D14*E14,0)</f>
        <v>18265</v>
      </c>
      <c r="K14" s="3304">
        <f ca="1">ROUND(J14*0.25,0)</f>
        <v>4566</v>
      </c>
      <c r="L14" s="3368"/>
      <c r="M14" s="3368"/>
      <c r="N14" s="3368"/>
      <c r="P14" s="3306"/>
    </row>
    <row r="15" spans="1:16" s="3272" customFormat="1" ht="14.25">
      <c r="A15" s="3307" t="s">
        <v>3026</v>
      </c>
      <c r="B15" s="3308"/>
      <c r="C15" s="3308"/>
      <c r="D15" s="3308"/>
      <c r="E15" s="3308"/>
      <c r="F15" s="3308"/>
      <c r="G15" s="3308"/>
      <c r="H15" s="3308"/>
      <c r="I15" s="3309">
        <f ca="1">I14+I13</f>
        <v>716643.7</v>
      </c>
      <c r="J15" s="3308"/>
      <c r="K15" s="3310"/>
    </row>
    <row r="16" spans="1:16" s="3272" customFormat="1" ht="14.25">
      <c r="A16" s="3276" t="s">
        <v>3029</v>
      </c>
      <c r="B16" s="3311"/>
      <c r="C16" s="3311"/>
      <c r="D16" s="3311"/>
      <c r="E16" s="3311"/>
      <c r="F16" s="3311"/>
      <c r="G16" s="3311"/>
      <c r="H16" s="3311"/>
      <c r="I16" s="3303">
        <f ca="1">ROUND(K13*H13/10000,2)</f>
        <v>102683.79</v>
      </c>
      <c r="J16" s="3311"/>
      <c r="K16" s="3312"/>
    </row>
    <row r="17" spans="1:11" s="3272" customFormat="1" ht="14.25">
      <c r="A17" s="3276" t="s">
        <v>3030</v>
      </c>
      <c r="B17" s="3311"/>
      <c r="C17" s="3311"/>
      <c r="D17" s="3311"/>
      <c r="E17" s="3311"/>
      <c r="F17" s="3311"/>
      <c r="G17" s="3311"/>
      <c r="H17" s="3311"/>
      <c r="I17" s="3313">
        <v>809900</v>
      </c>
      <c r="J17" s="3311"/>
      <c r="K17" s="3312"/>
    </row>
    <row r="18" spans="1:11" s="3272" customFormat="1" ht="14.25">
      <c r="A18" s="3276" t="s">
        <v>3031</v>
      </c>
      <c r="B18" s="3311"/>
      <c r="C18" s="3311"/>
      <c r="D18" s="3311"/>
      <c r="E18" s="3311"/>
      <c r="F18" s="3311"/>
      <c r="G18" s="3311"/>
      <c r="H18" s="3311"/>
      <c r="I18" s="3333">
        <f ca="1">I16+I17</f>
        <v>912583.79</v>
      </c>
      <c r="J18" s="3311"/>
      <c r="K18" s="3312"/>
    </row>
    <row r="19" spans="1:11" s="3314" customFormat="1">
      <c r="I19" s="3315"/>
      <c r="J19" s="3315"/>
      <c r="K19" s="3316"/>
    </row>
    <row r="21" spans="1:11">
      <c r="I21" s="3318">
        <v>199429</v>
      </c>
    </row>
    <row r="22" spans="1:11">
      <c r="I22" s="3367">
        <f ca="1">L13</f>
        <v>102683.79</v>
      </c>
    </row>
  </sheetData>
  <mergeCells count="3">
    <mergeCell ref="A1:K1"/>
    <mergeCell ref="A6:I6"/>
    <mergeCell ref="J6:K6"/>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927" t="str">
        <f>项目基本情况!K2</f>
        <v>北京市储备国有建设用地使用权</v>
      </c>
      <c r="B2" s="3928"/>
      <c r="C2" s="3929"/>
      <c r="D2" s="3929"/>
      <c r="E2" s="3929"/>
      <c r="F2" s="3929"/>
      <c r="G2" s="3928"/>
      <c r="H2" s="3928"/>
      <c r="I2" s="3930"/>
      <c r="J2" s="1910"/>
      <c r="K2" s="1909"/>
      <c r="L2" s="1909"/>
      <c r="M2" s="1909"/>
      <c r="N2" s="1909"/>
      <c r="O2" s="1909"/>
      <c r="P2" s="1909"/>
      <c r="Q2" s="1909"/>
      <c r="R2" s="1909"/>
      <c r="S2" s="1909"/>
      <c r="T2" s="1909"/>
      <c r="U2" s="1909"/>
      <c r="V2" s="1909"/>
    </row>
    <row r="3" spans="1:22" ht="14.25">
      <c r="A3" s="3920" t="s">
        <v>296</v>
      </c>
      <c r="B3" s="3921"/>
      <c r="C3" s="3921"/>
      <c r="D3" s="3921"/>
      <c r="E3" s="3921"/>
      <c r="F3" s="3921"/>
      <c r="G3" s="3921"/>
      <c r="H3" s="3921"/>
      <c r="I3" s="3921"/>
      <c r="J3" s="1910"/>
      <c r="K3" s="1909"/>
      <c r="L3" s="1909"/>
      <c r="M3" s="1909"/>
      <c r="N3" s="1909"/>
      <c r="O3" s="1909"/>
      <c r="P3" s="1909"/>
      <c r="Q3" s="1909"/>
      <c r="R3" s="1909"/>
      <c r="S3" s="1909"/>
      <c r="T3" s="1909"/>
      <c r="U3" s="1909"/>
      <c r="V3" s="1909"/>
    </row>
    <row r="4" spans="1:22" ht="14.25">
      <c r="A4" s="254" t="s">
        <v>297</v>
      </c>
      <c r="B4" s="255" t="s">
        <v>298</v>
      </c>
      <c r="C4" s="256" t="s">
        <v>3153</v>
      </c>
      <c r="D4" s="256" t="s">
        <v>3154</v>
      </c>
      <c r="E4" s="3886" t="s">
        <v>299</v>
      </c>
      <c r="F4" s="3887"/>
      <c r="G4" s="3887"/>
      <c r="H4" s="3887"/>
      <c r="I4" s="3922"/>
      <c r="J4" s="1910"/>
      <c r="K4" s="1909"/>
      <c r="L4" s="318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885" t="s">
        <v>300</v>
      </c>
      <c r="B5" s="3914">
        <v>25</v>
      </c>
      <c r="C5" s="3912">
        <v>3</v>
      </c>
      <c r="D5" s="3916">
        <v>7</v>
      </c>
      <c r="E5" s="257" t="s">
        <v>301</v>
      </c>
      <c r="F5" s="258"/>
      <c r="G5" s="258"/>
      <c r="H5" s="258"/>
      <c r="I5" s="259"/>
      <c r="J5" s="1910"/>
      <c r="K5" s="1909"/>
      <c r="L5" s="1909"/>
      <c r="M5" s="1909"/>
      <c r="N5" s="1909"/>
      <c r="O5" s="1909"/>
      <c r="P5" s="1909"/>
      <c r="Q5" s="1909"/>
      <c r="R5" s="1909"/>
      <c r="S5" s="1909"/>
      <c r="T5" s="1909"/>
      <c r="U5" s="1909"/>
      <c r="V5" s="1909"/>
    </row>
    <row r="6" spans="1:22" ht="14.25">
      <c r="A6" s="3885"/>
      <c r="B6" s="3914"/>
      <c r="C6" s="3915"/>
      <c r="D6" s="3916"/>
      <c r="E6" s="257" t="s">
        <v>302</v>
      </c>
      <c r="F6" s="258"/>
      <c r="G6" s="258"/>
      <c r="H6" s="258"/>
      <c r="I6" s="259"/>
      <c r="J6" s="1910"/>
      <c r="K6" s="1909"/>
      <c r="L6" s="1909"/>
      <c r="M6" s="1909"/>
      <c r="N6" s="1909"/>
      <c r="O6" s="1909"/>
      <c r="P6" s="1909"/>
      <c r="Q6" s="1909"/>
      <c r="R6" s="1909"/>
      <c r="S6" s="1909"/>
      <c r="T6" s="1909"/>
      <c r="U6" s="1909"/>
      <c r="V6" s="1909"/>
    </row>
    <row r="7" spans="1:22" ht="14.25">
      <c r="A7" s="3885"/>
      <c r="B7" s="3914"/>
      <c r="C7" s="3913"/>
      <c r="D7" s="3916"/>
      <c r="E7" s="257" t="s">
        <v>303</v>
      </c>
      <c r="F7" s="258"/>
      <c r="G7" s="258"/>
      <c r="H7" s="258"/>
      <c r="I7" s="259"/>
      <c r="J7" s="1910"/>
      <c r="K7" s="1909"/>
      <c r="L7" s="1909"/>
      <c r="M7" s="1909"/>
      <c r="N7" s="1909"/>
      <c r="O7" s="1909"/>
      <c r="P7" s="1909"/>
      <c r="Q7" s="1909"/>
      <c r="R7" s="1909"/>
      <c r="S7" s="1909"/>
      <c r="T7" s="1909"/>
      <c r="U7" s="1909"/>
      <c r="V7" s="1909"/>
    </row>
    <row r="8" spans="1:22" ht="14.25">
      <c r="A8" s="3885" t="s">
        <v>304</v>
      </c>
      <c r="B8" s="3914">
        <v>15</v>
      </c>
      <c r="C8" s="3912"/>
      <c r="D8" s="3916"/>
      <c r="E8" s="257" t="s">
        <v>305</v>
      </c>
      <c r="F8" s="258"/>
      <c r="G8" s="258"/>
      <c r="H8" s="258"/>
      <c r="I8" s="259"/>
      <c r="J8" s="1910"/>
      <c r="K8" s="1909"/>
      <c r="L8" s="1909"/>
      <c r="M8" s="1909"/>
      <c r="N8" s="1909"/>
      <c r="O8" s="1909"/>
      <c r="P8" s="1909"/>
      <c r="Q8" s="1909"/>
      <c r="R8" s="1909"/>
      <c r="S8" s="1909"/>
      <c r="T8" s="1909"/>
      <c r="U8" s="1909"/>
      <c r="V8" s="1909"/>
    </row>
    <row r="9" spans="1:22" ht="14.25">
      <c r="A9" s="3885"/>
      <c r="B9" s="3914"/>
      <c r="C9" s="3913"/>
      <c r="D9" s="3916"/>
      <c r="E9" s="257" t="s">
        <v>306</v>
      </c>
      <c r="F9" s="258"/>
      <c r="G9" s="258"/>
      <c r="H9" s="258"/>
      <c r="I9" s="259"/>
      <c r="J9" s="1910"/>
      <c r="K9" s="1909"/>
      <c r="L9" s="1909"/>
      <c r="M9" s="1909"/>
      <c r="N9" s="1909"/>
      <c r="O9" s="1909"/>
      <c r="P9" s="1909"/>
      <c r="Q9" s="1909"/>
      <c r="R9" s="1909"/>
      <c r="S9" s="1909"/>
      <c r="T9" s="1909"/>
      <c r="U9" s="1909"/>
      <c r="V9" s="1909"/>
    </row>
    <row r="10" spans="1:22" ht="14.25">
      <c r="A10" s="3885" t="s">
        <v>307</v>
      </c>
      <c r="B10" s="3914">
        <v>15</v>
      </c>
      <c r="C10" s="3912"/>
      <c r="D10" s="3916"/>
      <c r="E10" s="257" t="s">
        <v>308</v>
      </c>
      <c r="F10" s="258"/>
      <c r="G10" s="258"/>
      <c r="H10" s="258"/>
      <c r="I10" s="259"/>
      <c r="J10" s="1910"/>
      <c r="K10" s="1909"/>
      <c r="L10" s="1909"/>
      <c r="M10" s="1909"/>
      <c r="N10" s="1909"/>
      <c r="O10" s="1909"/>
      <c r="P10" s="1909"/>
      <c r="Q10" s="1909"/>
      <c r="R10" s="1909"/>
      <c r="S10" s="1909"/>
      <c r="T10" s="1909"/>
      <c r="U10" s="1909"/>
      <c r="V10" s="1909"/>
    </row>
    <row r="11" spans="1:22" ht="14.25">
      <c r="A11" s="3885"/>
      <c r="B11" s="3914"/>
      <c r="C11" s="3913"/>
      <c r="D11" s="3916"/>
      <c r="E11" s="257" t="s">
        <v>309</v>
      </c>
      <c r="F11" s="258"/>
      <c r="G11" s="258"/>
      <c r="H11" s="258"/>
      <c r="I11" s="259"/>
      <c r="J11" s="1910"/>
      <c r="K11" s="1909"/>
      <c r="L11" s="1909"/>
      <c r="M11" s="1909"/>
      <c r="N11" s="1909"/>
      <c r="O11" s="1909"/>
      <c r="P11" s="1909"/>
      <c r="Q11" s="1909"/>
      <c r="R11" s="1909"/>
      <c r="S11" s="1909"/>
      <c r="T11" s="1909"/>
      <c r="U11" s="1909"/>
      <c r="V11" s="1909"/>
    </row>
    <row r="12" spans="1:22" ht="14.25">
      <c r="A12" s="3885" t="s">
        <v>310</v>
      </c>
      <c r="B12" s="3914">
        <v>15</v>
      </c>
      <c r="C12" s="3912"/>
      <c r="D12" s="3916"/>
      <c r="E12" s="257" t="s">
        <v>311</v>
      </c>
      <c r="F12" s="258"/>
      <c r="G12" s="258"/>
      <c r="H12" s="258"/>
      <c r="I12" s="259"/>
      <c r="J12" s="1910"/>
      <c r="K12" s="1909"/>
      <c r="L12" s="1909"/>
      <c r="M12" s="1909"/>
      <c r="N12" s="1909"/>
      <c r="O12" s="1909"/>
      <c r="P12" s="1909"/>
      <c r="Q12" s="1909"/>
      <c r="R12" s="1909"/>
      <c r="S12" s="1909"/>
      <c r="T12" s="1909"/>
      <c r="U12" s="1909"/>
      <c r="V12" s="1909"/>
    </row>
    <row r="13" spans="1:22" ht="14.25">
      <c r="A13" s="3885"/>
      <c r="B13" s="3914"/>
      <c r="C13" s="3913"/>
      <c r="D13" s="3916"/>
      <c r="E13" s="257" t="s">
        <v>312</v>
      </c>
      <c r="F13" s="258"/>
      <c r="G13" s="258"/>
      <c r="H13" s="258"/>
      <c r="I13" s="259"/>
      <c r="J13" s="1910"/>
      <c r="K13" s="1909"/>
      <c r="L13" s="1909"/>
      <c r="M13" s="1909"/>
      <c r="N13" s="1909"/>
      <c r="O13" s="1909"/>
      <c r="P13" s="1909"/>
      <c r="Q13" s="1909"/>
      <c r="R13" s="1909"/>
      <c r="S13" s="1909"/>
      <c r="T13" s="1909"/>
      <c r="U13" s="1909"/>
      <c r="V13" s="1909"/>
    </row>
    <row r="14" spans="1:22" ht="14.25">
      <c r="A14" s="3885" t="s">
        <v>313</v>
      </c>
      <c r="B14" s="3914">
        <v>30</v>
      </c>
      <c r="C14" s="3912"/>
      <c r="D14" s="3916"/>
      <c r="E14" s="257" t="s">
        <v>314</v>
      </c>
      <c r="F14" s="258"/>
      <c r="G14" s="258"/>
      <c r="H14" s="258"/>
      <c r="I14" s="259"/>
      <c r="J14" s="1910"/>
      <c r="K14" s="1909"/>
      <c r="L14" s="1909"/>
      <c r="M14" s="1909"/>
      <c r="N14" s="1909"/>
      <c r="O14" s="1909"/>
      <c r="P14" s="1909"/>
      <c r="Q14" s="1909"/>
      <c r="R14" s="1909"/>
      <c r="S14" s="1909"/>
      <c r="T14" s="1909"/>
      <c r="U14" s="1909"/>
      <c r="V14" s="1909"/>
    </row>
    <row r="15" spans="1:22" ht="14.25">
      <c r="A15" s="3885"/>
      <c r="B15" s="3914"/>
      <c r="C15" s="3915"/>
      <c r="D15" s="3916"/>
      <c r="E15" s="257" t="s">
        <v>315</v>
      </c>
      <c r="F15" s="258"/>
      <c r="G15" s="258"/>
      <c r="H15" s="258"/>
      <c r="I15" s="259"/>
      <c r="J15" s="1910"/>
      <c r="K15" s="1909"/>
      <c r="L15" s="1909"/>
      <c r="M15" s="1909"/>
      <c r="N15" s="1909"/>
      <c r="O15" s="1909"/>
      <c r="P15" s="1909"/>
      <c r="Q15" s="1909"/>
      <c r="R15" s="1909"/>
      <c r="S15" s="1909"/>
      <c r="T15" s="1909"/>
      <c r="U15" s="1909"/>
      <c r="V15" s="1909"/>
    </row>
    <row r="16" spans="1:22" ht="14.25">
      <c r="A16" s="3885"/>
      <c r="B16" s="3914"/>
      <c r="C16" s="3913"/>
      <c r="D16" s="3916"/>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917" t="s">
        <v>2956</v>
      </c>
      <c r="F18" s="3918"/>
      <c r="G18" s="3918"/>
      <c r="H18" s="3918"/>
      <c r="I18" s="3918"/>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359167</v>
      </c>
      <c r="D19" s="267">
        <f ca="1">SUMIF(INDIRECT("'"&amp;D4&amp;"'"&amp;"!A:A"),结果表!B19,INDIRECT("'"&amp;D4&amp;"'"&amp;"!B:B"))</f>
        <v>432787</v>
      </c>
      <c r="E19" s="264" t="s">
        <v>321</v>
      </c>
      <c r="F19" s="265" t="s">
        <v>320</v>
      </c>
      <c r="G19" s="268">
        <f ca="1">ROUND(C19*$C$18+D19*$D$18,0)</f>
        <v>410701</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11889</v>
      </c>
      <c r="D20" s="273">
        <f ca="1">SUMIF(INDIRECT("'"&amp;D4&amp;"'"&amp;"!A:A"),结果表!B20,INDIRECT("'"&amp;D4&amp;"'"&amp;"!B:B"))</f>
        <v>14326</v>
      </c>
      <c r="E20" s="270"/>
      <c r="F20" s="271" t="s">
        <v>323</v>
      </c>
      <c r="G20" s="274">
        <f ca="1">ROUND(C20*$C$18+D20*$D$18,0)</f>
        <v>13595</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44303</v>
      </c>
      <c r="D21" s="148">
        <f ca="1">SUMIF(INDIRECT("'"&amp;D4&amp;"'"&amp;"!A:A"),结果表!B21,INDIRECT("'"&amp;D4&amp;"'"&amp;"!B:B"))</f>
        <v>136368</v>
      </c>
      <c r="E21" s="270"/>
      <c r="F21" s="276" t="s">
        <v>325</v>
      </c>
      <c r="G21" s="278">
        <f ca="1">ROUND(C21*$C$18+D21*$D$18,0)</f>
        <v>108749</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0.2049742877268792</v>
      </c>
      <c r="E22" s="280"/>
      <c r="F22" s="281"/>
      <c r="G22" s="282">
        <f ca="1">ROUND(G19/('数据-汇总表'!D3/666.67),0)</f>
        <v>3377</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891"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892"/>
      <c r="B25" s="1273" t="s">
        <v>329</v>
      </c>
      <c r="C25" s="286">
        <f>IF(B30=0,0,C30)</f>
        <v>0</v>
      </c>
      <c r="D25" s="287"/>
      <c r="E25" s="307"/>
      <c r="F25" s="307"/>
      <c r="G25" s="307"/>
      <c r="H25" s="307"/>
      <c r="I25" s="307"/>
      <c r="J25" s="1909"/>
      <c r="K25" s="1207" t="str">
        <f ca="1">项目基本情况!B16&amp;"国有建设用地使用权价格："&amp;O38&amp;"万元"</f>
        <v>储备国有建设用地使用权价格：410701万元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大写金额：人民币肆拾壹亿零柒佰零壹万元整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单位面积地价：50660元/平方米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楼面地价：5322元/平方米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2992"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919" t="s">
        <v>2958</v>
      </c>
      <c r="B31" s="3919"/>
      <c r="C31" s="3919"/>
      <c r="D31" s="3919"/>
      <c r="E31" s="3919"/>
      <c r="F31" s="3919"/>
      <c r="G31" s="3919"/>
      <c r="H31" s="3919"/>
      <c r="I31" s="3919"/>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2993" t="s">
        <v>1676</v>
      </c>
      <c r="C32" s="262">
        <f ca="1">G19-C24</f>
        <v>410701</v>
      </c>
      <c r="D32" s="2994"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5322</v>
      </c>
      <c r="D33" s="1332" t="s">
        <v>1679</v>
      </c>
      <c r="E33" s="3891"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50660</v>
      </c>
      <c r="D34" s="1334" t="s">
        <v>1679</v>
      </c>
      <c r="E34" s="3935"/>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3377</v>
      </c>
      <c r="D35" s="1337" t="s">
        <v>1681</v>
      </c>
      <c r="E35" s="3936"/>
      <c r="F35" s="297" t="s">
        <v>340</v>
      </c>
      <c r="G35" s="968"/>
      <c r="H35" s="967" t="s">
        <v>341</v>
      </c>
      <c r="I35" s="307"/>
      <c r="J35" s="1909"/>
      <c r="K35" s="3909" t="s">
        <v>348</v>
      </c>
      <c r="L35" s="3909" t="s">
        <v>349</v>
      </c>
      <c r="M35" s="1216" t="s">
        <v>350</v>
      </c>
      <c r="N35" s="3909" t="s">
        <v>351</v>
      </c>
      <c r="O35" s="3909" t="s">
        <v>352</v>
      </c>
      <c r="P35" s="1909"/>
      <c r="V35" s="1909"/>
    </row>
    <row r="36" spans="1:26" ht="16.5" customHeight="1">
      <c r="A36" s="299" t="s">
        <v>342</v>
      </c>
      <c r="B36" s="300" t="s">
        <v>331</v>
      </c>
      <c r="C36" s="301" t="s">
        <v>343</v>
      </c>
      <c r="D36" s="301" t="s">
        <v>344</v>
      </c>
      <c r="E36" s="302" t="s">
        <v>345</v>
      </c>
      <c r="F36" s="307"/>
      <c r="G36" s="307"/>
      <c r="H36" s="307"/>
      <c r="I36" s="307"/>
      <c r="J36" s="1911"/>
      <c r="K36" s="3910"/>
      <c r="L36" s="3910"/>
      <c r="M36" s="1218" t="s">
        <v>353</v>
      </c>
      <c r="N36" s="3910"/>
      <c r="O36" s="3910"/>
      <c r="P36" s="1909"/>
      <c r="V36" s="1909"/>
    </row>
    <row r="37" spans="1:26" ht="16.5" customHeight="1" thickBot="1">
      <c r="A37" s="1212" t="s">
        <v>346</v>
      </c>
      <c r="B37" s="303"/>
      <c r="C37" s="290"/>
      <c r="D37" s="290"/>
      <c r="E37" s="291"/>
      <c r="F37" s="307"/>
      <c r="G37" s="307"/>
      <c r="H37" s="307"/>
      <c r="I37" s="307"/>
      <c r="J37" s="1911"/>
      <c r="K37" s="3911"/>
      <c r="L37" s="3911"/>
      <c r="M37" s="1219"/>
      <c r="N37" s="3911"/>
      <c r="O37" s="3911"/>
      <c r="P37" s="1909"/>
      <c r="V37" s="1909"/>
    </row>
    <row r="38" spans="1:26" ht="16.5" customHeight="1" thickBot="1">
      <c r="A38" s="1212" t="s">
        <v>347</v>
      </c>
      <c r="B38" s="303"/>
      <c r="C38" s="290"/>
      <c r="D38" s="290"/>
      <c r="E38" s="291"/>
      <c r="F38" s="307"/>
      <c r="G38" s="307"/>
      <c r="H38" s="307"/>
      <c r="I38" s="307"/>
      <c r="J38" s="1911"/>
      <c r="K38" s="1220">
        <f>'数据-汇总表'!D3</f>
        <v>81070.11</v>
      </c>
      <c r="L38" s="1221">
        <f>'数据-汇总表'!E3</f>
        <v>771700</v>
      </c>
      <c r="M38" s="1221">
        <f ca="1">C34</f>
        <v>50660</v>
      </c>
      <c r="N38" s="1221">
        <f ca="1">C33</f>
        <v>5322</v>
      </c>
      <c r="O38" s="1222">
        <f ca="1">C32</f>
        <v>410701</v>
      </c>
      <c r="P38" s="1909"/>
      <c r="V38" s="1909"/>
    </row>
    <row r="39" spans="1:26" ht="16.5" customHeight="1" thickBot="1">
      <c r="A39" s="1217"/>
      <c r="B39" s="304"/>
      <c r="C39" s="305"/>
      <c r="D39" s="305"/>
      <c r="E39" s="306"/>
      <c r="F39" s="307"/>
      <c r="G39" s="307"/>
      <c r="H39" s="307"/>
      <c r="I39" s="307"/>
      <c r="J39" s="1911"/>
      <c r="K39" s="3949" t="str">
        <f>MID(A44,3,LEN(A44)-2)</f>
        <v/>
      </c>
      <c r="L39" s="3950"/>
      <c r="M39" s="3950"/>
      <c r="N39" s="3951"/>
      <c r="O39" s="1339" t="str">
        <f>C44</f>
        <v>——</v>
      </c>
      <c r="P39" s="1909"/>
      <c r="V39" s="1909"/>
    </row>
    <row r="40" spans="1:26" ht="19.5" thickBot="1">
      <c r="A40" s="103" t="s">
        <v>862</v>
      </c>
      <c r="B40" s="307"/>
      <c r="C40" s="307"/>
      <c r="D40" s="307"/>
      <c r="E40" s="307"/>
      <c r="F40" s="307"/>
      <c r="G40" s="307"/>
      <c r="H40" s="307"/>
      <c r="I40" s="307"/>
      <c r="J40" s="1911"/>
      <c r="K40" s="3949" t="str">
        <f t="shared" ref="K40:K41" si="0">MID(A45,3,LEN(A45)-2)</f>
        <v/>
      </c>
      <c r="L40" s="3950"/>
      <c r="M40" s="3950"/>
      <c r="N40" s="3951"/>
      <c r="O40" s="1339" t="str">
        <f>C45</f>
        <v>——</v>
      </c>
      <c r="P40" s="1909"/>
      <c r="V40" s="1909"/>
    </row>
    <row r="41" spans="1:26" ht="16.5" thickBot="1">
      <c r="A41" s="308" t="s">
        <v>354</v>
      </c>
      <c r="B41" s="309"/>
      <c r="C41" s="310" t="s">
        <v>355</v>
      </c>
      <c r="D41" s="311" t="s">
        <v>356</v>
      </c>
      <c r="E41" s="311" t="s">
        <v>357</v>
      </c>
      <c r="F41" s="312" t="s">
        <v>358</v>
      </c>
      <c r="G41" s="307"/>
      <c r="H41" s="307"/>
      <c r="I41" s="307"/>
      <c r="J41" s="1911"/>
      <c r="K41" s="3949" t="str">
        <f t="shared" si="0"/>
        <v/>
      </c>
      <c r="L41" s="3950"/>
      <c r="M41" s="3950"/>
      <c r="N41" s="3951"/>
      <c r="O41" s="1339" t="str">
        <f>C46</f>
        <v>——</v>
      </c>
      <c r="P41" s="1909"/>
      <c r="V41" s="1909"/>
    </row>
    <row r="42" spans="1:26" ht="29.25">
      <c r="A42" s="3893" t="s">
        <v>2053</v>
      </c>
      <c r="B42" s="3894"/>
      <c r="C42" s="260">
        <f ca="1">C32</f>
        <v>410701</v>
      </c>
      <c r="D42" s="313">
        <f ca="1">C33</f>
        <v>5322</v>
      </c>
      <c r="E42" s="313">
        <f ca="1">C34</f>
        <v>50660</v>
      </c>
      <c r="F42" s="314">
        <f ca="1">C35</f>
        <v>3377</v>
      </c>
      <c r="G42" s="307"/>
      <c r="H42" s="307"/>
      <c r="I42" s="315"/>
      <c r="J42" s="1911"/>
      <c r="K42" s="1223" t="s">
        <v>359</v>
      </c>
      <c r="L42" s="1928" t="s">
        <v>360</v>
      </c>
      <c r="M42" s="1224" t="s">
        <v>361</v>
      </c>
      <c r="N42" s="1929" t="s">
        <v>362</v>
      </c>
      <c r="O42" s="1930" t="s">
        <v>363</v>
      </c>
      <c r="P42" s="1909"/>
      <c r="V42" s="1909"/>
    </row>
    <row r="43" spans="1:26" ht="30">
      <c r="A43" s="3904" t="s">
        <v>2708</v>
      </c>
      <c r="B43" s="3905"/>
      <c r="C43" s="260">
        <f>IF(H33="正常操作",G33+G34+G35,G34+G35)</f>
        <v>0</v>
      </c>
      <c r="D43" s="313" t="s">
        <v>43</v>
      </c>
      <c r="E43" s="313" t="s">
        <v>44</v>
      </c>
      <c r="F43" s="314" t="s">
        <v>44</v>
      </c>
      <c r="G43" s="2581" t="s">
        <v>941</v>
      </c>
      <c r="H43" s="307"/>
      <c r="I43" s="315"/>
      <c r="J43" s="1911"/>
      <c r="K43" s="1225" t="str">
        <f>C4</f>
        <v>基准地价办公</v>
      </c>
      <c r="L43" s="1226">
        <f ca="1">IF(L42="估价结果/万元",C19,C20)</f>
        <v>359167</v>
      </c>
      <c r="M43" s="1227">
        <f>C18</f>
        <v>0.3</v>
      </c>
      <c r="N43" s="1228">
        <f ca="1">IF(N42="测算结果/万元",G19,G20)</f>
        <v>410701</v>
      </c>
      <c r="O43" s="1229">
        <f ca="1">IF(O42="最终结果/万元",C32,C33)</f>
        <v>410701</v>
      </c>
      <c r="P43" s="1909"/>
      <c r="V43" s="1909"/>
    </row>
    <row r="44" spans="1:26" ht="18.75" thickBot="1">
      <c r="A44" s="3893" t="str">
        <f>IF(OR(项目基本情况!E8="抵押价格",项目基本情况!E8="已注销及未注销"),"3.抵押价格","——")</f>
        <v>——</v>
      </c>
      <c r="B44" s="3894"/>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432787</v>
      </c>
      <c r="M44" s="1232">
        <f>D18</f>
        <v>0.7</v>
      </c>
      <c r="N44" s="1233"/>
      <c r="O44" s="1234"/>
      <c r="P44" s="1909"/>
      <c r="V44" s="1909"/>
    </row>
    <row r="45" spans="1:26" ht="15">
      <c r="A45" s="3899" t="str">
        <f>IF(项目基本情况!E8="已注销及未注销","4.抵押担保权已注销时的抵押价格",IF(项目基本情况!E8="已注销","3.抵押担保权已注销时的抵押价格","——"))</f>
        <v>——</v>
      </c>
      <c r="B45" s="3900"/>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895" t="str">
        <f>IF(项目基本情况!E9="抵押净值",IF(A45="——","4.抵押净值","5.抵押净值"),"——")</f>
        <v>——</v>
      </c>
      <c r="B46" s="3896"/>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943" t="s">
        <v>372</v>
      </c>
      <c r="B63" s="3944"/>
      <c r="C63" s="3945"/>
      <c r="D63" s="337">
        <f ca="1">ROUND(C42*F63,0)</f>
        <v>410701</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901" t="s">
        <v>376</v>
      </c>
      <c r="B64" s="3902"/>
      <c r="C64" s="3902"/>
      <c r="D64" s="3902"/>
      <c r="E64" s="3902"/>
      <c r="F64" s="3902"/>
      <c r="G64" s="3903"/>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897" t="s">
        <v>384</v>
      </c>
      <c r="B66" s="3898"/>
      <c r="C66" s="3898"/>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958" t="s">
        <v>383</v>
      </c>
      <c r="M66" s="3959"/>
      <c r="N66" s="2310"/>
      <c r="O66" s="2311"/>
      <c r="P66" s="2312"/>
      <c r="Q66" s="1909"/>
      <c r="R66" s="1909"/>
      <c r="S66" s="1909"/>
      <c r="T66" s="1909"/>
      <c r="U66" s="1909"/>
      <c r="V66" s="1909"/>
    </row>
    <row r="67" spans="1:22" ht="25.5" customHeight="1">
      <c r="A67" s="348" t="s">
        <v>387</v>
      </c>
      <c r="B67" s="3888" t="s">
        <v>388</v>
      </c>
      <c r="C67" s="3888"/>
      <c r="D67" s="349">
        <v>0</v>
      </c>
      <c r="E67" s="40" t="s">
        <v>389</v>
      </c>
      <c r="F67" s="61" t="s">
        <v>21</v>
      </c>
      <c r="G67" s="3946"/>
      <c r="H67" s="2995" t="s">
        <v>2959</v>
      </c>
      <c r="I67" s="2997"/>
      <c r="J67" s="1916"/>
      <c r="K67" s="1888">
        <v>2</v>
      </c>
      <c r="L67" s="3952" t="s">
        <v>386</v>
      </c>
      <c r="M67" s="3952"/>
      <c r="N67" s="1277">
        <f>'数据-取费表'!B2</f>
        <v>44545</v>
      </c>
      <c r="O67" s="1277"/>
      <c r="P67" s="1277"/>
      <c r="Q67" s="1909"/>
      <c r="R67" s="1909"/>
      <c r="S67" s="1909"/>
      <c r="T67" s="1909"/>
      <c r="U67" s="1909"/>
      <c r="V67" s="1909"/>
    </row>
    <row r="68" spans="1:22" ht="25.5" customHeight="1">
      <c r="A68" s="350"/>
      <c r="B68" s="3888" t="s">
        <v>391</v>
      </c>
      <c r="C68" s="3888"/>
      <c r="D68" s="351"/>
      <c r="E68" s="76"/>
      <c r="F68" s="352"/>
      <c r="G68" s="3947"/>
      <c r="H68" s="2996" t="s">
        <v>2960</v>
      </c>
      <c r="I68" s="2997"/>
      <c r="J68" s="1916"/>
      <c r="K68" s="1888">
        <v>3</v>
      </c>
      <c r="L68" s="3952" t="s">
        <v>390</v>
      </c>
      <c r="M68" s="3952"/>
      <c r="N68" s="1245">
        <f ca="1">C42</f>
        <v>410701</v>
      </c>
      <c r="O68" s="1245"/>
      <c r="P68" s="1245"/>
      <c r="Q68" s="1909"/>
      <c r="R68" s="1909"/>
      <c r="S68" s="1909"/>
      <c r="T68" s="1909"/>
      <c r="U68" s="1909"/>
      <c r="V68" s="1909"/>
    </row>
    <row r="69" spans="1:22" ht="23.45" customHeight="1">
      <c r="A69" s="353"/>
      <c r="B69" s="3888" t="s">
        <v>392</v>
      </c>
      <c r="C69" s="3888"/>
      <c r="D69" s="354"/>
      <c r="E69" s="72"/>
      <c r="F69" s="352"/>
      <c r="G69" s="3948"/>
      <c r="H69" s="2996" t="s">
        <v>2961</v>
      </c>
      <c r="I69" s="2997"/>
      <c r="J69" s="1916"/>
      <c r="K69" s="1246">
        <v>4</v>
      </c>
      <c r="L69" s="3962" t="s">
        <v>2860</v>
      </c>
      <c r="M69" s="3963"/>
      <c r="N69" s="1247" t="str">
        <f>C44</f>
        <v>——</v>
      </c>
      <c r="O69" s="1247"/>
      <c r="P69" s="1247"/>
      <c r="Q69" s="1909"/>
      <c r="R69" s="1909"/>
      <c r="S69" s="1909"/>
      <c r="T69" s="1909"/>
      <c r="U69" s="1909"/>
      <c r="V69" s="1909"/>
    </row>
    <row r="70" spans="1:22" ht="24" customHeight="1">
      <c r="A70" s="355" t="s">
        <v>393</v>
      </c>
      <c r="B70" s="3888" t="s">
        <v>394</v>
      </c>
      <c r="C70" s="3888"/>
      <c r="D70" s="354">
        <f ca="1">ROUND(D63*'数据-取费表'!B41/(1+'数据-取费表'!C42),0)</f>
        <v>21513</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889" t="s">
        <v>2990</v>
      </c>
      <c r="C71" s="3890"/>
      <c r="D71" s="354">
        <f ca="1">ROUND(D63*'数据-取费表'!B41/(1+'数据-取费表'!C42),0)</f>
        <v>21513</v>
      </c>
      <c r="E71" s="17" t="s">
        <v>395</v>
      </c>
      <c r="F71" s="356">
        <f>'数据-取费表'!B41</f>
        <v>5.5000000000000007E-2</v>
      </c>
      <c r="G71" s="357"/>
      <c r="H71" s="307"/>
      <c r="I71" s="1244"/>
      <c r="J71" s="1916"/>
      <c r="K71" s="2762" t="s">
        <v>396</v>
      </c>
      <c r="L71" s="3964" t="s">
        <v>397</v>
      </c>
      <c r="M71" s="3964"/>
      <c r="N71" s="2762" t="s">
        <v>398</v>
      </c>
      <c r="O71" s="2762" t="s">
        <v>399</v>
      </c>
      <c r="P71" s="2762" t="s">
        <v>400</v>
      </c>
      <c r="Q71" s="1909"/>
      <c r="R71" s="1909"/>
      <c r="S71" s="1909"/>
      <c r="T71" s="1909"/>
      <c r="U71" s="1909"/>
      <c r="V71" s="1909"/>
    </row>
    <row r="72" spans="1:22" ht="12" customHeight="1">
      <c r="A72" s="355" t="s">
        <v>403</v>
      </c>
      <c r="B72" s="3889" t="s">
        <v>2991</v>
      </c>
      <c r="C72" s="3890"/>
      <c r="D72" s="354">
        <f ca="1">C86</f>
        <v>21513</v>
      </c>
      <c r="E72" s="72" t="s">
        <v>404</v>
      </c>
      <c r="F72" s="356">
        <f>'数据-取费表'!B41</f>
        <v>5.5000000000000007E-2</v>
      </c>
      <c r="G72" s="357"/>
      <c r="H72" s="1250"/>
      <c r="I72" s="1244"/>
      <c r="J72" s="1916"/>
      <c r="K72" s="1888">
        <v>1</v>
      </c>
      <c r="L72" s="3939" t="s">
        <v>402</v>
      </c>
      <c r="M72" s="3939"/>
      <c r="N72" s="1248" t="b">
        <f>D66</f>
        <v>0</v>
      </c>
      <c r="O72" s="1771" t="str">
        <f>E66</f>
        <v>销售额×税（费）率</v>
      </c>
      <c r="P72" s="1249">
        <f>F66</f>
        <v>5.5000000000000007E-2</v>
      </c>
      <c r="Q72" s="1909"/>
      <c r="R72" s="1909"/>
      <c r="S72" s="1909"/>
      <c r="T72" s="1909"/>
      <c r="U72" s="1909"/>
      <c r="V72" s="1909"/>
    </row>
    <row r="73" spans="1:22" ht="24" customHeight="1">
      <c r="A73" s="3934" t="s">
        <v>406</v>
      </c>
      <c r="B73" s="3898"/>
      <c r="C73" s="3898"/>
      <c r="D73" s="358">
        <f ca="1">IF(H73="个人住宅",0,ROUND(D63*I73,0))</f>
        <v>205</v>
      </c>
      <c r="E73" s="17" t="s">
        <v>407</v>
      </c>
      <c r="F73" s="356" t="str">
        <f>IF(H73="正常",I73,"免征")</f>
        <v>免征</v>
      </c>
      <c r="G73" s="357"/>
      <c r="H73" s="188"/>
      <c r="I73" s="356">
        <f>'数据-取费表'!B49</f>
        <v>5.0000000000000001E-4</v>
      </c>
      <c r="J73" s="1916"/>
      <c r="K73" s="1888">
        <v>2</v>
      </c>
      <c r="L73" s="3939" t="s">
        <v>405</v>
      </c>
      <c r="M73" s="3939"/>
      <c r="N73" s="1248">
        <f t="shared" ref="N73:P74" ca="1" si="1">D73</f>
        <v>205</v>
      </c>
      <c r="O73" s="1771" t="str">
        <f t="shared" si="1"/>
        <v>销售额×税（费）率</v>
      </c>
      <c r="P73" s="1249" t="str">
        <f t="shared" si="1"/>
        <v>免征</v>
      </c>
      <c r="Q73" s="1909"/>
      <c r="R73" s="1909"/>
      <c r="S73" s="1909"/>
      <c r="T73" s="1909"/>
      <c r="U73" s="1909"/>
      <c r="V73" s="1909"/>
    </row>
    <row r="74" spans="1:22" ht="24.75">
      <c r="A74" s="3934" t="s">
        <v>409</v>
      </c>
      <c r="B74" s="3898"/>
      <c r="C74" s="3898"/>
      <c r="D74" s="358">
        <f ca="1">IF(H74="个人住宅",D75,D76)</f>
        <v>232828</v>
      </c>
      <c r="E74" s="17" t="s">
        <v>410</v>
      </c>
      <c r="F74" s="356" t="str">
        <f>IF(H74="正常",F76,"免征")</f>
        <v>免征</v>
      </c>
      <c r="G74" s="969" t="s">
        <v>411</v>
      </c>
      <c r="H74" s="359"/>
      <c r="I74" s="41"/>
      <c r="J74" s="1916"/>
      <c r="K74" s="1888">
        <v>3</v>
      </c>
      <c r="L74" s="3939" t="s">
        <v>408</v>
      </c>
      <c r="M74" s="3939"/>
      <c r="N74" s="1248">
        <f t="shared" ca="1" si="1"/>
        <v>232828</v>
      </c>
      <c r="O74" s="1771" t="str">
        <f t="shared" si="1"/>
        <v>增值额×税（费）率</v>
      </c>
      <c r="P74" s="1251" t="str">
        <f t="shared" si="1"/>
        <v>免征</v>
      </c>
      <c r="Q74" s="1909"/>
      <c r="R74" s="1909"/>
      <c r="S74" s="1909"/>
      <c r="T74" s="1909"/>
      <c r="U74" s="1909"/>
      <c r="V74" s="1909"/>
    </row>
    <row r="75" spans="1:22" ht="12.75">
      <c r="A75" s="355" t="s">
        <v>412</v>
      </c>
      <c r="B75" s="3886" t="s">
        <v>413</v>
      </c>
      <c r="C75" s="3922"/>
      <c r="D75" s="360">
        <v>0</v>
      </c>
      <c r="E75" s="40" t="s">
        <v>414</v>
      </c>
      <c r="F75" s="361"/>
      <c r="G75" s="357"/>
      <c r="H75" s="41"/>
      <c r="I75" s="41"/>
      <c r="J75" s="1916"/>
      <c r="K75" s="2756">
        <f>IF(H77="非个人房产","",4)</f>
        <v>4</v>
      </c>
      <c r="L75" s="3939" t="str">
        <f>IF(H77="非个人房产","——","个人所得税")</f>
        <v>个人所得税</v>
      </c>
      <c r="M75" s="3939"/>
      <c r="N75" s="1252">
        <f>D77</f>
        <v>0</v>
      </c>
      <c r="O75" s="1784" t="str">
        <f>E77</f>
        <v>差额计税</v>
      </c>
      <c r="P75" s="1253">
        <f>F77</f>
        <v>0.01</v>
      </c>
      <c r="Q75" s="1909"/>
      <c r="R75" s="1909"/>
      <c r="S75" s="1909"/>
      <c r="T75" s="1909"/>
      <c r="U75" s="1909"/>
      <c r="V75" s="1909"/>
    </row>
    <row r="76" spans="1:22" ht="24.75">
      <c r="A76" s="355" t="s">
        <v>393</v>
      </c>
      <c r="B76" s="3886" t="s">
        <v>416</v>
      </c>
      <c r="C76" s="3887"/>
      <c r="D76" s="358">
        <f ca="1">IF(H76="转让取得",C99,C115)</f>
        <v>232828</v>
      </c>
      <c r="E76" s="17" t="s">
        <v>417</v>
      </c>
      <c r="F76" s="52" t="s">
        <v>21</v>
      </c>
      <c r="G76" s="357"/>
      <c r="H76" s="359"/>
      <c r="I76" s="41"/>
      <c r="J76" s="1916"/>
      <c r="K76" s="2756" t="str">
        <f>IF(项目基本情况!K6="上海银行",IF(K75="",4,K75+1),"")</f>
        <v/>
      </c>
      <c r="L76" s="3954" t="str">
        <f>IF(项目基本情况!K6="上海银行","其他处置费用","")</f>
        <v/>
      </c>
      <c r="M76" s="3955"/>
      <c r="N76" s="1248" t="str">
        <f>IF(项目基本情况!K6="上海银行",N89,"")</f>
        <v/>
      </c>
      <c r="O76" s="3956" t="str">
        <f>IF(项目基本情况!K6="上海银行","包含处置中涉及的律师、诉讼、拍卖、评估等费用","")</f>
        <v/>
      </c>
      <c r="P76" s="3957"/>
      <c r="Q76" s="1909"/>
      <c r="R76" s="1909"/>
      <c r="S76" s="1909"/>
      <c r="T76" s="1909"/>
      <c r="U76" s="1909"/>
      <c r="V76" s="1909"/>
    </row>
    <row r="77" spans="1:22" ht="24.75" thickBot="1">
      <c r="A77" s="3941" t="s">
        <v>419</v>
      </c>
      <c r="B77" s="3942"/>
      <c r="C77" s="3942"/>
      <c r="D77" s="3000">
        <f>IF(H77="非个人房产","——",IF(H77="个人住宅（满五唯一有凭证）",0,IF(H77="个人其他（无凭证）",ROUND(D63*F77,0),ROUND(C84*F77,0))))</f>
        <v>0</v>
      </c>
      <c r="E77" s="3001" t="str">
        <f>IF(H77="非个人房产","——",IF(H77="个人其他（无凭证）","销售额×税（费）率",IF(H77="个人住宅（满五唯一有凭证）","免征","差额计税")))</f>
        <v>差额计税</v>
      </c>
      <c r="F77" s="3002">
        <f>IF(OR(H77="非个人房产",H77="个人住宅（满五唯一有凭证）"),"——",IF(H77="个人其他（有凭证）",20%,1%))</f>
        <v>0.01</v>
      </c>
      <c r="G77" s="970" t="s">
        <v>411</v>
      </c>
      <c r="H77" s="2999"/>
      <c r="I77" s="2998" t="s">
        <v>2962</v>
      </c>
      <c r="J77" s="1916"/>
      <c r="K77" s="3940">
        <f>IF(AND(K75="",K76=""),4,IF(项目基本情况!K6="上海银行",K76+1,K75+1))</f>
        <v>5</v>
      </c>
      <c r="L77" s="3939" t="s">
        <v>2861</v>
      </c>
      <c r="M77" s="2761" t="s">
        <v>415</v>
      </c>
      <c r="N77" s="1254"/>
      <c r="O77" s="1255">
        <f ca="1">SUMIF(N72:N76,"&lt;9e307")</f>
        <v>233033</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940"/>
      <c r="L78" s="3939"/>
      <c r="M78" s="2761" t="s">
        <v>418</v>
      </c>
      <c r="N78" s="1254"/>
      <c r="O78" s="1255" t="str">
        <f ca="1">NUMBERSTRING(INT(O77*10000),2)&amp;"元整"</f>
        <v>贰拾叁亿叁仟零叁拾叁万元整</v>
      </c>
      <c r="P78" s="1256"/>
      <c r="Q78" s="1909"/>
      <c r="R78" s="1909"/>
      <c r="S78" s="1909"/>
      <c r="T78" s="1909"/>
      <c r="U78" s="1909"/>
      <c r="V78" s="1909"/>
    </row>
    <row r="79" spans="1:22" ht="13.5" thickBot="1">
      <c r="A79" s="3906" t="s">
        <v>420</v>
      </c>
      <c r="B79" s="3906"/>
      <c r="C79" s="3906"/>
      <c r="D79" s="3906"/>
      <c r="E79" s="3906"/>
      <c r="F79" s="41"/>
      <c r="G79" s="41"/>
      <c r="H79" s="989"/>
      <c r="I79" s="307"/>
      <c r="J79" s="1916"/>
      <c r="K79" s="3960">
        <f>K77+1</f>
        <v>6</v>
      </c>
      <c r="L79" s="3939" t="s">
        <v>2862</v>
      </c>
      <c r="M79" s="2761" t="s">
        <v>415</v>
      </c>
      <c r="N79" s="1254"/>
      <c r="O79" s="1255" t="e">
        <f ca="1">N69-O77</f>
        <v>#VALUE!</v>
      </c>
      <c r="P79" s="1256"/>
      <c r="Q79" s="1909"/>
      <c r="R79" s="1909"/>
      <c r="S79" s="1909"/>
      <c r="T79" s="1909"/>
      <c r="U79" s="1909"/>
      <c r="V79" s="1909"/>
    </row>
    <row r="80" spans="1:22" ht="12.75">
      <c r="A80" s="3907" t="s">
        <v>421</v>
      </c>
      <c r="B80" s="3908"/>
      <c r="C80" s="980"/>
      <c r="D80" s="980" t="s">
        <v>422</v>
      </c>
      <c r="E80" s="362" t="s">
        <v>423</v>
      </c>
      <c r="F80" s="41"/>
      <c r="G80" s="41"/>
      <c r="H80" s="989"/>
      <c r="I80" s="307"/>
      <c r="J80" s="1909"/>
      <c r="K80" s="3961"/>
      <c r="L80" s="3939"/>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391144</v>
      </c>
      <c r="D81" s="365"/>
      <c r="E81" s="366"/>
      <c r="F81" s="41"/>
      <c r="G81" s="41"/>
      <c r="H81" s="989"/>
      <c r="I81" s="307"/>
      <c r="J81" s="1909"/>
      <c r="K81" s="2756">
        <f>K79+1</f>
        <v>7</v>
      </c>
      <c r="L81" s="3937" t="s">
        <v>2863</v>
      </c>
      <c r="M81" s="3938"/>
      <c r="N81" s="1258"/>
      <c r="O81" s="1259" t="e">
        <f ca="1">ROUND(O79*10000/'数据-汇总表'!E3,0)</f>
        <v>#VALUE!</v>
      </c>
      <c r="P81" s="1260"/>
      <c r="Q81" s="1909"/>
      <c r="R81" s="1909"/>
      <c r="S81" s="1909"/>
      <c r="T81" s="1909"/>
      <c r="U81" s="1909"/>
      <c r="V81" s="1909"/>
    </row>
    <row r="82" spans="1:26" ht="13.5" thickTop="1">
      <c r="A82" s="367" t="s">
        <v>1812</v>
      </c>
      <c r="B82" s="368" t="s">
        <v>425</v>
      </c>
      <c r="C82" s="369">
        <f ca="1">D63</f>
        <v>410701</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953"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953"/>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391144</v>
      </c>
      <c r="D85" s="370" t="s">
        <v>19</v>
      </c>
      <c r="E85" s="371"/>
      <c r="F85" s="41"/>
      <c r="G85" s="41"/>
      <c r="H85" s="989"/>
      <c r="I85" s="307"/>
      <c r="J85" s="1909"/>
      <c r="K85" s="3953"/>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21513</v>
      </c>
      <c r="D86" s="381">
        <f>'数据-取费表'!B41</f>
        <v>5.5000000000000007E-2</v>
      </c>
      <c r="E86" s="382"/>
      <c r="F86" s="41"/>
      <c r="G86" s="41"/>
      <c r="H86" s="989"/>
      <c r="I86" s="307"/>
      <c r="J86" s="1909"/>
      <c r="K86" s="3953"/>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953"/>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932" t="s">
        <v>430</v>
      </c>
      <c r="B88" s="3933"/>
      <c r="C88" s="3933"/>
      <c r="D88" s="3933"/>
      <c r="E88" s="3933"/>
      <c r="F88" s="3933"/>
      <c r="G88" s="3933"/>
      <c r="H88" s="3933"/>
      <c r="I88" s="1267"/>
      <c r="J88" s="1917"/>
      <c r="K88" s="3953"/>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907" t="s">
        <v>421</v>
      </c>
      <c r="B89" s="3908"/>
      <c r="C89" s="980"/>
      <c r="D89" s="980" t="s">
        <v>422</v>
      </c>
      <c r="E89" s="383" t="s">
        <v>431</v>
      </c>
      <c r="F89" s="384"/>
      <c r="G89" s="384"/>
      <c r="H89" s="385"/>
      <c r="I89" s="1268"/>
      <c r="J89" s="1919"/>
      <c r="K89" s="3953"/>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391144</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1956</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889" t="s">
        <v>439</v>
      </c>
      <c r="F94" s="3888"/>
      <c r="G94" s="3888"/>
      <c r="H94" s="3931"/>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1956</v>
      </c>
      <c r="D96" s="398">
        <f>'数据-取费表'!B43</f>
        <v>5.000000000000001E-3</v>
      </c>
      <c r="E96" s="3923" t="s">
        <v>2410</v>
      </c>
      <c r="F96" s="3924"/>
      <c r="G96" s="3924"/>
      <c r="H96" s="3925"/>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389188</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198.97137014314927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232828</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932" t="s">
        <v>446</v>
      </c>
      <c r="B101" s="3933"/>
      <c r="C101" s="3933"/>
      <c r="D101" s="3933"/>
      <c r="E101" s="3933"/>
      <c r="F101" s="3933"/>
      <c r="G101" s="3933"/>
      <c r="H101" s="3933"/>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907" t="s">
        <v>421</v>
      </c>
      <c r="B102" s="3908"/>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391144</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1956</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31"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883" t="s">
        <v>2954</v>
      </c>
      <c r="H108" s="3884"/>
      <c r="I108" s="2857"/>
      <c r="J108" s="1914"/>
      <c r="K108" s="3231"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926" t="s">
        <v>454</v>
      </c>
      <c r="F109" s="3924"/>
      <c r="G109" s="3924"/>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62">
        <v>0</v>
      </c>
      <c r="E110" s="3926" t="s">
        <v>456</v>
      </c>
      <c r="F110" s="3924"/>
      <c r="G110" s="3924"/>
      <c r="H110" s="3925"/>
      <c r="I110" s="11"/>
      <c r="J110" s="1914"/>
      <c r="K110" s="3232"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1956</v>
      </c>
      <c r="D111" s="398">
        <f>'数据-取费表'!B43</f>
        <v>5.000000000000001E-3</v>
      </c>
      <c r="E111" s="3923" t="s">
        <v>2410</v>
      </c>
      <c r="F111" s="3924"/>
      <c r="G111" s="3924"/>
      <c r="H111" s="3925"/>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926" t="s">
        <v>2433</v>
      </c>
      <c r="F112" s="3924"/>
      <c r="G112" s="3924"/>
      <c r="H112" s="3925"/>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389188</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198.97137014314927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232828</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65" priority="21" stopIfTrue="1" operator="equal">
      <formula>25</formula>
    </cfRule>
  </conditionalFormatting>
  <conditionalFormatting sqref="C8:C9">
    <cfRule type="cellIs" dxfId="264" priority="19" stopIfTrue="1" operator="equal">
      <formula>15</formula>
    </cfRule>
  </conditionalFormatting>
  <conditionalFormatting sqref="C14:C16">
    <cfRule type="cellIs" dxfId="263" priority="13" stopIfTrue="1" operator="equal">
      <formula>30</formula>
    </cfRule>
  </conditionalFormatting>
  <conditionalFormatting sqref="D5:D7">
    <cfRule type="cellIs" dxfId="262" priority="10" stopIfTrue="1" operator="equal">
      <formula>25</formula>
    </cfRule>
  </conditionalFormatting>
  <conditionalFormatting sqref="D8:D9">
    <cfRule type="cellIs" dxfId="261" priority="9" stopIfTrue="1" operator="equal">
      <formula>15</formula>
    </cfRule>
  </conditionalFormatting>
  <conditionalFormatting sqref="C10:D13">
    <cfRule type="cellIs" dxfId="260" priority="8" stopIfTrue="1" operator="equal">
      <formula>15</formula>
    </cfRule>
  </conditionalFormatting>
  <conditionalFormatting sqref="D14:D16">
    <cfRule type="cellIs" dxfId="259" priority="6" stopIfTrue="1" operator="equal">
      <formula>30</formula>
    </cfRule>
  </conditionalFormatting>
  <conditionalFormatting sqref="C108">
    <cfRule type="expression" dxfId="258" priority="3" stopIfTrue="1">
      <formula>$H$106&lt;&gt;"仅含出让金"</formula>
    </cfRule>
  </conditionalFormatting>
  <conditionalFormatting sqref="C109">
    <cfRule type="expression" dxfId="257" priority="2" stopIfTrue="1">
      <formula>$H$109="由企业提供"</formula>
    </cfRule>
  </conditionalFormatting>
  <conditionalFormatting sqref="I33">
    <cfRule type="expression" dxfId="25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788" t="str">
        <f>项目基本情况!B1</f>
        <v>北京市储备国有建设用地使用权预评估</v>
      </c>
      <c r="C37" s="3788"/>
      <c r="D37" s="3788"/>
      <c r="E37" s="3788"/>
      <c r="F37" s="3788"/>
      <c r="G37" s="3788"/>
      <c r="H37" s="3788"/>
      <c r="I37" s="3788"/>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t="e">
        <f>MATCH(B1,'数据-取费表'!A6:A16,0)+5</f>
        <v>#N/A</v>
      </c>
      <c r="L1" s="288"/>
      <c r="M1" s="288"/>
      <c r="N1" s="288"/>
      <c r="O1" s="288"/>
      <c r="P1" s="288"/>
      <c r="Q1" s="288"/>
      <c r="R1" s="288"/>
      <c r="S1" s="288"/>
      <c r="T1" s="288"/>
      <c r="U1" s="288"/>
      <c r="V1" s="288"/>
      <c r="W1" s="288"/>
      <c r="X1" s="288"/>
      <c r="Y1" s="288"/>
      <c r="Z1" s="288"/>
    </row>
    <row r="2" spans="1:31" s="1922" customFormat="1" ht="18" customHeight="1">
      <c r="A2" s="1981" t="s">
        <v>459</v>
      </c>
      <c r="B2" s="1985" t="e">
        <f ca="1">C36</f>
        <v>#N/A</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#N/A</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t="e">
        <f ca="1">IF(B1="",'数据-取费表'!P16,INDIRECT("'数据-取费表'!p"&amp;$K$1)+INDIRECT("'数据-取费表'!t"&amp;$K$1))</f>
        <v>#N/A</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t="e">
        <f ca="1">ROUND(C13*F14,0)</f>
        <v>#N/A</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t="e">
        <f ca="1">ROUND(IF(B1="",SUMIF('数据-取费表'!C:C,"住宅",'数据-取费表'!P:P)*F15,IF(INDIRECT("'数据-取费表'!c"&amp;$K$1)="住宅",INDIRECT("'数据-取费表'!P"&amp;$K$1)*F15,0)),0)</f>
        <v>#N/A</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t="e">
        <f ca="1">ROUND(D16*E16/10000,0)</f>
        <v>#N/A</v>
      </c>
      <c r="D16" s="2559" t="e">
        <f ca="1">IF(B1="",'数据-汇总表'!E3,INDIRECT("'数据-取费表'!K"&amp;$K$1)+INDIRECT("'数据-取费表'!S"&amp;$K$1))</f>
        <v>#N/A</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t="e">
        <f ca="1">ROUND(C13*F17,0)</f>
        <v>#N/A</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t="e">
        <f ca="1">SUM(C13:C17)</f>
        <v>#N/A</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t="e">
        <f ca="1">ROUND(D19*E19/10000,0)</f>
        <v>#N/A</v>
      </c>
      <c r="D19" s="2569" t="e">
        <f ca="1">D16</f>
        <v>#N/A</v>
      </c>
      <c r="E19" s="2523">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t="e">
        <f ca="1">C21+C22-IF(B1="",'数据-取费表'!B29,IF(G20="已全部缴纳",C21+C22,H20))</f>
        <v>#N/A</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t="e">
        <f ca="1">ROUND(D21*E21/10000,0)</f>
        <v>#N/A</v>
      </c>
      <c r="D21" s="2559" t="e">
        <f ca="1">IF(B1="",'数据-汇总表'!E5,IF(INDIRECT("'数据-取费表'!c"&amp;$K$1)="住宅",INDIRECT("'数据-取费表'!k"&amp;$K$1),0))</f>
        <v>#N/A</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t="e">
        <f ca="1">ROUND(D22*E22/10000,0)</f>
        <v>#N/A</v>
      </c>
      <c r="D22" s="2559" t="e">
        <f ca="1">IF(B1="",'数据-汇总表'!E6,IF(INDIRECT("'数据-取费表'!c"&amp;$K$1)="住宅",INDIRECT("'数据-取费表'!s"&amp;$K$1),INDIRECT("'数据-取费表'!k"&amp;$K$1)+INDIRECT("'数据-取费表'!s"&amp;$K$1)))</f>
        <v>#N/A</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t="e">
        <f ca="1">ROUND((C18+C19+C20)*F23,0)</f>
        <v>#N/A</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2806</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t="e">
        <f ca="1">C28</f>
        <v>#N/A</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t="e">
        <f ca="1">ROUND(IF('数据-取费表'!B22&lt;=1,(C18+C19+C20+C23+C24)*F26*'数据-取费表'!B24/2,(C18+C19+C20+C23+C24)*(POWER((1+F26),'数据-取费表'!B24/2)-1)),0)</f>
        <v>#N/A</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t="e">
        <f ca="1">C31</f>
        <v>#N/A</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t="e">
        <f ca="1">C18+C19+C20+C23+C24+C26+C29</f>
        <v>#N/A</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t="e">
        <f ca="1">C35</f>
        <v>#N/A</v>
      </c>
      <c r="D33" s="459" t="e">
        <f ca="1">C34</f>
        <v>#N/A</v>
      </c>
      <c r="E33" s="461" t="s">
        <v>487</v>
      </c>
      <c r="F33" s="471" t="e">
        <f ca="1">IF(B1="",'数据-取费表'!Q16,INDIRECT("'数据-取费表'!q"&amp;$K$1))</f>
        <v>#N/A</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t="e">
        <f ca="1">ROUND((1+C25)*F33,4)</f>
        <v>#N/A</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t="e">
        <f ca="1">ROUND((C18+C19+C20+C23+C24)*F33,0)</f>
        <v>#N/A</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t="e">
        <f ca="1">ROUND((C6-C30-C33)/(1+D30+D33),0)</f>
        <v>#N/A</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t="e">
        <f ca="1">ROUND(C36*10000/D19,0)</f>
        <v>#N/A</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84"/>
      <c r="M6" s="3184"/>
      <c r="N6" s="3184"/>
      <c r="O6" s="3184"/>
      <c r="P6" s="3184"/>
      <c r="Q6" s="3184"/>
      <c r="R6" s="3184"/>
      <c r="S6" s="3184"/>
      <c r="T6" s="3184"/>
      <c r="U6" s="3184"/>
      <c r="V6" s="3184"/>
      <c r="W6" s="3184"/>
      <c r="X6" s="3184"/>
      <c r="Y6" s="3184"/>
      <c r="Z6" s="3184"/>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84"/>
      <c r="M11" s="3184"/>
      <c r="N11" s="3184"/>
      <c r="O11" s="3184"/>
      <c r="P11" s="3184"/>
      <c r="Q11" s="3184"/>
      <c r="R11" s="3184"/>
      <c r="S11" s="3184"/>
      <c r="T11" s="3184"/>
      <c r="U11" s="3184"/>
      <c r="V11" s="3184"/>
      <c r="W11" s="3184"/>
      <c r="X11" s="3184"/>
      <c r="Y11" s="3184"/>
      <c r="Z11" s="3184"/>
    </row>
    <row r="12" spans="1:41" s="1965" customFormat="1" ht="13.5" customHeight="1">
      <c r="A12" s="426" t="s">
        <v>462</v>
      </c>
      <c r="B12" s="436" t="s">
        <v>463</v>
      </c>
      <c r="C12" s="437" t="s">
        <v>467</v>
      </c>
      <c r="D12" s="438" t="s">
        <v>468</v>
      </c>
      <c r="E12" s="438" t="s">
        <v>469</v>
      </c>
      <c r="F12" s="438" t="s">
        <v>470</v>
      </c>
      <c r="G12" s="436"/>
      <c r="H12" s="439"/>
      <c r="I12" s="439"/>
      <c r="J12" s="439"/>
      <c r="K12" s="440"/>
      <c r="L12" s="3185"/>
      <c r="M12" s="3185"/>
      <c r="N12" s="3185"/>
      <c r="O12" s="3185"/>
      <c r="P12" s="3185"/>
      <c r="Q12" s="3185"/>
      <c r="R12" s="3185"/>
      <c r="S12" s="3185"/>
      <c r="T12" s="3185"/>
      <c r="U12" s="3185"/>
      <c r="V12" s="3185"/>
      <c r="W12" s="3185"/>
      <c r="X12" s="3185"/>
      <c r="Y12" s="3185"/>
      <c r="Z12" s="3185"/>
    </row>
    <row r="13" spans="1:41" s="1996" customFormat="1" ht="13.5" customHeight="1">
      <c r="A13" s="1560" t="s">
        <v>1836</v>
      </c>
      <c r="B13" s="441" t="s">
        <v>471</v>
      </c>
      <c r="C13" s="442">
        <f ca="1">IF(B1="",'数据-取费表'!M16,INDIRECT("'数据-取费表'!M"&amp;$K$1)+INDIRECT("'数据-取费表'!t"&amp;$K$1))</f>
        <v>402600</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12078</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10050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15434</v>
      </c>
      <c r="D16" s="443">
        <f ca="1">IF(B1="",'数据-汇总表'!E3,INDIRECT("'数据-取费表'!K"&amp;$K$1)+INDIRECT("'数据-取费表'!S"&amp;$K$1))</f>
        <v>771700</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6039</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446201</v>
      </c>
      <c r="D18" s="453"/>
      <c r="E18" s="454"/>
      <c r="F18" s="454"/>
      <c r="G18" s="1279" t="s">
        <v>2413</v>
      </c>
      <c r="H18" s="439"/>
      <c r="I18" s="439"/>
      <c r="J18" s="439"/>
      <c r="K18" s="440"/>
      <c r="L18" s="3187"/>
      <c r="M18" s="3187"/>
      <c r="N18" s="3187"/>
      <c r="O18" s="3187"/>
      <c r="P18" s="3187"/>
      <c r="Q18" s="3187"/>
      <c r="R18" s="3187"/>
      <c r="S18" s="3187"/>
      <c r="T18" s="3187"/>
      <c r="U18" s="3187"/>
      <c r="V18" s="3187"/>
      <c r="W18" s="3187"/>
      <c r="X18" s="3187"/>
      <c r="Y18" s="3187"/>
      <c r="Z18" s="3187"/>
    </row>
    <row r="19" spans="1:26" s="1999" customFormat="1" ht="13.5" customHeight="1">
      <c r="A19" s="1561" t="s">
        <v>1842</v>
      </c>
      <c r="B19" s="451" t="s">
        <v>485</v>
      </c>
      <c r="C19" s="452">
        <f ca="1">ROUND(C18*F19,0)</f>
        <v>8924</v>
      </c>
      <c r="D19" s="454"/>
      <c r="E19" s="454"/>
      <c r="F19" s="458">
        <f>'数据-取费表'!B37</f>
        <v>0.02</v>
      </c>
      <c r="G19" s="436" t="s">
        <v>495</v>
      </c>
      <c r="H19" s="439"/>
      <c r="I19" s="439"/>
      <c r="J19" s="439"/>
      <c r="K19" s="440"/>
      <c r="L19" s="3189"/>
      <c r="M19" s="3189"/>
      <c r="N19" s="3189"/>
      <c r="O19" s="3187"/>
      <c r="P19" s="3187"/>
      <c r="Q19" s="3187"/>
      <c r="R19" s="3187"/>
      <c r="S19" s="3187"/>
      <c r="T19" s="3187"/>
      <c r="U19" s="3187"/>
      <c r="V19" s="3187"/>
      <c r="W19" s="3187"/>
      <c r="X19" s="3187"/>
      <c r="Y19" s="3187"/>
      <c r="Z19" s="3187"/>
    </row>
    <row r="20" spans="1:26" s="1999" customFormat="1" ht="13.5" customHeight="1">
      <c r="A20" s="1561" t="s">
        <v>1843</v>
      </c>
      <c r="B20" s="451" t="s">
        <v>496</v>
      </c>
      <c r="C20" s="2741">
        <f>F20</f>
        <v>0.02</v>
      </c>
      <c r="D20" s="461" t="s">
        <v>497</v>
      </c>
      <c r="E20" s="461"/>
      <c r="F20" s="478">
        <f>'数据-取费表'!B38</f>
        <v>0.02</v>
      </c>
      <c r="G20" s="1279" t="s">
        <v>498</v>
      </c>
      <c r="H20" s="439"/>
      <c r="I20" s="439"/>
      <c r="J20" s="439"/>
      <c r="K20" s="440"/>
      <c r="L20" s="3189"/>
      <c r="M20" s="3189"/>
      <c r="N20" s="3189"/>
      <c r="O20" s="3187"/>
      <c r="P20" s="3187"/>
      <c r="Q20" s="3187"/>
      <c r="R20" s="3187"/>
      <c r="S20" s="3187"/>
      <c r="T20" s="3187"/>
      <c r="U20" s="3187"/>
      <c r="V20" s="3187"/>
      <c r="W20" s="3187"/>
      <c r="X20" s="3187"/>
      <c r="Y20" s="3187"/>
      <c r="Z20" s="3187"/>
    </row>
    <row r="21" spans="1:26" s="2001" customFormat="1" ht="13.5" customHeight="1">
      <c r="A21" s="1561" t="s">
        <v>1846</v>
      </c>
      <c r="B21" s="453" t="s">
        <v>486</v>
      </c>
      <c r="C21" s="462">
        <f ca="1">C22</f>
        <v>32810</v>
      </c>
      <c r="D21" s="459">
        <f ca="1">C23</f>
        <v>1.4E-3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195" t="s">
        <v>2434</v>
      </c>
      <c r="M21" s="3196"/>
      <c r="N21" s="3196"/>
      <c r="O21" s="3196"/>
      <c r="P21" s="3196"/>
      <c r="Q21" s="3189"/>
      <c r="R21" s="3189"/>
      <c r="S21" s="3189"/>
      <c r="T21" s="3189"/>
      <c r="U21" s="3189"/>
      <c r="V21" s="3189"/>
      <c r="W21" s="3189"/>
      <c r="X21" s="3189"/>
      <c r="Y21" s="3189"/>
      <c r="Z21" s="3189"/>
    </row>
    <row r="22" spans="1:26" s="2000" customFormat="1" ht="13.5" customHeight="1">
      <c r="A22" s="1560" t="s">
        <v>1836</v>
      </c>
      <c r="B22" s="1280" t="s">
        <v>2416</v>
      </c>
      <c r="C22" s="479">
        <f ca="1">ROUND(IF('数据-取费表'!B22&lt;=1,(C18+C19)*F21*'数据-取费表'!B20/2,(C18+C19)*(POWER((1+F21),'数据-取费表'!B20/2)-1)),0)</f>
        <v>32810</v>
      </c>
      <c r="D22" s="464"/>
      <c r="E22" s="465"/>
      <c r="F22" s="466"/>
      <c r="G22" s="2418" t="str">
        <f>IF('数据-取费表'!B22&lt;=1,"((1)+(2))×年利率×建设期÷2","((1)+(2))×((1+年利率)^(建设期÷2)-1)")</f>
        <v>((1)+(2))×((1+年利率)^(建设期÷2)-1)</v>
      </c>
      <c r="H22" s="449"/>
      <c r="I22" s="449"/>
      <c r="J22" s="449"/>
      <c r="K22" s="450"/>
      <c r="L22" s="3188"/>
      <c r="M22" s="3188"/>
      <c r="N22" s="3188"/>
      <c r="O22" s="3188"/>
      <c r="P22" s="3188"/>
      <c r="Q22" s="3188"/>
      <c r="R22" s="3188"/>
      <c r="S22" s="3188"/>
      <c r="T22" s="3188"/>
      <c r="U22" s="3188"/>
      <c r="V22" s="3188"/>
      <c r="W22" s="3188"/>
      <c r="X22" s="3188"/>
      <c r="Y22" s="3188"/>
      <c r="Z22" s="3188"/>
    </row>
    <row r="23" spans="1:26" s="2000" customFormat="1" ht="13.5" customHeight="1">
      <c r="A23" s="1560" t="s">
        <v>1837</v>
      </c>
      <c r="B23" s="1280" t="s">
        <v>500</v>
      </c>
      <c r="C23" s="480">
        <f ca="1">ROUND(IF('数据-取费表'!B22&lt;=1,F20*F21*'数据-取费表'!B20/2,F20*(POWER((1+F21),'数据-取费表'!B20/2)-1)),4)</f>
        <v>1.4E-3</v>
      </c>
      <c r="D23" s="464"/>
      <c r="E23" s="465"/>
      <c r="F23" s="466"/>
      <c r="G23" s="2418" t="str">
        <f>IF('数据-取费表'!B22&lt;=1,"销售费用率×年利率×建设期÷2","销售费用率×((1+年利率)^(建设期÷2)-1)")</f>
        <v>销售费用率×((1+年利率)^(建设期÷2)-1)</v>
      </c>
      <c r="H23" s="449"/>
      <c r="I23" s="449"/>
      <c r="J23" s="449"/>
      <c r="K23" s="450"/>
      <c r="L23" s="3188"/>
      <c r="M23" s="3188"/>
      <c r="N23" s="3188"/>
      <c r="O23" s="3188"/>
      <c r="P23" s="3188"/>
      <c r="Q23" s="3188"/>
      <c r="R23" s="3188"/>
      <c r="S23" s="3188"/>
      <c r="T23" s="3188"/>
      <c r="U23" s="3188"/>
      <c r="V23" s="3188"/>
      <c r="W23" s="3188"/>
      <c r="X23" s="3188"/>
      <c r="Y23" s="3188"/>
      <c r="Z23" s="3188"/>
    </row>
    <row r="24" spans="1:26" s="2000" customFormat="1" ht="13.5" customHeight="1">
      <c r="A24" s="1561" t="s">
        <v>1847</v>
      </c>
      <c r="B24" s="2743" t="s">
        <v>2809</v>
      </c>
      <c r="C24" s="470">
        <f ca="1">C25</f>
        <v>113781</v>
      </c>
      <c r="D24" s="481">
        <f ca="1">C26</f>
        <v>5.0000000000000001E-3</v>
      </c>
      <c r="E24" s="461" t="s">
        <v>499</v>
      </c>
      <c r="F24" s="471">
        <f ca="1">IF(B1="",'数据-取费表'!Q16,INDIRECT("'数据-取费表'!q"&amp;$K$1))</f>
        <v>0.25</v>
      </c>
      <c r="G24" s="436"/>
      <c r="H24" s="439"/>
      <c r="I24" s="439"/>
      <c r="J24" s="439"/>
      <c r="K24" s="440"/>
      <c r="L24" s="3188"/>
      <c r="M24" s="3188"/>
      <c r="N24" s="3188"/>
      <c r="O24" s="3188"/>
      <c r="P24" s="3188"/>
      <c r="Q24" s="3188"/>
      <c r="R24" s="3188"/>
      <c r="S24" s="3188"/>
      <c r="T24" s="3188"/>
      <c r="U24" s="3188"/>
      <c r="V24" s="3188"/>
      <c r="W24" s="3188"/>
      <c r="X24" s="3188"/>
      <c r="Y24" s="3188"/>
      <c r="Z24" s="3188"/>
    </row>
    <row r="25" spans="1:26" s="2000" customFormat="1" ht="13.5" customHeight="1">
      <c r="A25" s="1560" t="s">
        <v>1836</v>
      </c>
      <c r="B25" s="1280" t="s">
        <v>2417</v>
      </c>
      <c r="C25" s="482">
        <f ca="1">ROUND((C18+C19)*F24,0)</f>
        <v>113781</v>
      </c>
      <c r="D25" s="464"/>
      <c r="E25" s="465"/>
      <c r="F25" s="472"/>
      <c r="G25" s="1278" t="s">
        <v>2414</v>
      </c>
      <c r="H25" s="449"/>
      <c r="I25" s="449"/>
      <c r="J25" s="449"/>
      <c r="K25" s="450"/>
      <c r="L25" s="3188"/>
      <c r="M25" s="3188"/>
      <c r="N25" s="3188"/>
      <c r="O25" s="3188"/>
      <c r="P25" s="3188"/>
      <c r="Q25" s="3188"/>
      <c r="R25" s="3188"/>
      <c r="S25" s="3188"/>
      <c r="T25" s="3188"/>
      <c r="U25" s="3188"/>
      <c r="V25" s="3188"/>
      <c r="W25" s="3188"/>
      <c r="X25" s="3188"/>
      <c r="Y25" s="3188"/>
      <c r="Z25" s="3188"/>
    </row>
    <row r="26" spans="1:26" s="2000" customFormat="1" ht="13.5" customHeight="1">
      <c r="A26" s="1560" t="s">
        <v>1837</v>
      </c>
      <c r="B26" s="1280" t="s">
        <v>501</v>
      </c>
      <c r="C26" s="483">
        <f ca="1">ROUND(F20*F24,4)</f>
        <v>5.0000000000000001E-3</v>
      </c>
      <c r="D26" s="464"/>
      <c r="E26" s="473"/>
      <c r="F26" s="472"/>
      <c r="G26" s="1278" t="s">
        <v>502</v>
      </c>
      <c r="H26" s="449"/>
      <c r="I26" s="449"/>
      <c r="J26" s="449"/>
      <c r="K26" s="450"/>
      <c r="L26" s="3188"/>
      <c r="M26" s="3188"/>
      <c r="N26" s="3188"/>
      <c r="O26" s="3188"/>
      <c r="P26" s="3188"/>
      <c r="Q26" s="3188"/>
      <c r="R26" s="3188"/>
      <c r="S26" s="3188"/>
      <c r="T26" s="3188"/>
      <c r="U26" s="3188"/>
      <c r="V26" s="3188"/>
      <c r="W26" s="3188"/>
      <c r="X26" s="3188"/>
      <c r="Y26" s="3188"/>
      <c r="Z26" s="3188"/>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88"/>
      <c r="M27" s="3188"/>
      <c r="N27" s="3188"/>
      <c r="O27" s="3188"/>
      <c r="P27" s="3188"/>
      <c r="Q27" s="3188"/>
      <c r="R27" s="3188"/>
      <c r="S27" s="3188"/>
      <c r="T27" s="3188"/>
      <c r="U27" s="3188"/>
      <c r="V27" s="3188"/>
      <c r="W27" s="3188"/>
      <c r="X27" s="3188"/>
      <c r="Y27" s="3188"/>
      <c r="Z27" s="3188"/>
    </row>
    <row r="28" spans="1:26" s="2001" customFormat="1" ht="13.5" customHeight="1">
      <c r="A28" s="1564" t="s">
        <v>1856</v>
      </c>
      <c r="B28" s="468" t="s">
        <v>504</v>
      </c>
      <c r="C28" s="462">
        <f ca="1">ROUND((C18+C19+C21+C24)/(1-C20-D21-D24-C27),0)</f>
        <v>653187</v>
      </c>
      <c r="D28" s="469"/>
      <c r="E28" s="461"/>
      <c r="F28" s="463"/>
      <c r="G28" s="1279" t="s">
        <v>2415</v>
      </c>
      <c r="H28" s="439"/>
      <c r="I28" s="439"/>
      <c r="J28" s="439"/>
      <c r="K28" s="440"/>
      <c r="L28" s="3189"/>
      <c r="M28" s="3189"/>
      <c r="N28" s="3189"/>
      <c r="O28" s="3189"/>
      <c r="P28" s="3189"/>
      <c r="Q28" s="3189"/>
      <c r="R28" s="3189"/>
      <c r="S28" s="3189"/>
      <c r="T28" s="3189"/>
      <c r="U28" s="3189"/>
      <c r="V28" s="3189"/>
      <c r="W28" s="3189"/>
      <c r="X28" s="3189"/>
      <c r="Y28" s="3189"/>
      <c r="Z28" s="3189"/>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89"/>
      <c r="M29" s="3189"/>
      <c r="N29" s="3189"/>
      <c r="O29" s="3189"/>
      <c r="P29" s="3189"/>
      <c r="Q29" s="3189"/>
      <c r="R29" s="3189"/>
      <c r="S29" s="3189"/>
      <c r="T29" s="3189"/>
      <c r="U29" s="3189"/>
      <c r="V29" s="3189"/>
      <c r="W29" s="3189"/>
      <c r="X29" s="3189"/>
      <c r="Y29" s="3189"/>
      <c r="Z29" s="3189"/>
    </row>
    <row r="30" spans="1:26" s="2001" customFormat="1" ht="13.5" customHeight="1">
      <c r="A30" s="435">
        <v>2</v>
      </c>
      <c r="B30" s="468" t="s">
        <v>506</v>
      </c>
      <c r="C30" s="489">
        <f ca="1">ROUND(C28*C29,0)</f>
        <v>0</v>
      </c>
      <c r="D30" s="485"/>
      <c r="E30" s="490"/>
      <c r="F30" s="491"/>
      <c r="G30" s="1281" t="s">
        <v>507</v>
      </c>
      <c r="H30" s="488"/>
      <c r="I30" s="488"/>
      <c r="J30" s="439"/>
      <c r="K30" s="440"/>
      <c r="L30" s="3189"/>
      <c r="M30" s="3189"/>
      <c r="N30" s="3189"/>
      <c r="O30" s="3189"/>
      <c r="P30" s="3189"/>
      <c r="Q30" s="3189"/>
      <c r="R30" s="3189"/>
      <c r="S30" s="3189"/>
      <c r="T30" s="3189"/>
      <c r="U30" s="3189"/>
      <c r="V30" s="3189"/>
      <c r="W30" s="3189"/>
      <c r="X30" s="3189"/>
      <c r="Y30" s="3189"/>
      <c r="Z30" s="3189"/>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194"/>
      <c r="M31" s="3194"/>
      <c r="N31" s="3194"/>
      <c r="O31" s="3194"/>
      <c r="P31" s="3194"/>
      <c r="Q31" s="3194"/>
      <c r="R31" s="3194"/>
      <c r="S31" s="3194"/>
      <c r="T31" s="3194"/>
      <c r="U31" s="3194"/>
      <c r="V31" s="3194"/>
      <c r="W31" s="3194"/>
      <c r="X31" s="3194"/>
      <c r="Y31" s="3194"/>
      <c r="Z31" s="3194"/>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85"/>
      <c r="M32" s="3185"/>
      <c r="N32" s="3185"/>
      <c r="O32" s="3185"/>
      <c r="P32" s="3185"/>
      <c r="Q32" s="3185"/>
      <c r="R32" s="3185"/>
      <c r="S32" s="3185"/>
      <c r="T32" s="3185"/>
      <c r="U32" s="3185"/>
      <c r="V32" s="3185"/>
      <c r="W32" s="3185"/>
      <c r="X32" s="3185"/>
      <c r="Y32" s="3185"/>
      <c r="Z32" s="3185"/>
    </row>
    <row r="33" spans="1:5" s="1995" customFormat="1">
      <c r="A33" s="3192"/>
      <c r="C33" s="3193"/>
      <c r="E33" s="3192"/>
    </row>
    <row r="34" spans="1:5" s="1995" customFormat="1" ht="12.75" customHeight="1">
      <c r="A34" s="3192"/>
      <c r="C34" s="3193"/>
      <c r="E34" s="3192"/>
    </row>
    <row r="35" spans="1:5" s="1995" customFormat="1">
      <c r="A35" s="3192"/>
      <c r="C35" s="3193"/>
      <c r="E35" s="3192"/>
    </row>
    <row r="36" spans="1:5" s="1995" customFormat="1">
      <c r="A36" s="3192"/>
      <c r="C36" s="3193"/>
      <c r="E36" s="3192"/>
    </row>
    <row r="37" spans="1:5" s="1995" customFormat="1">
      <c r="A37" s="3192"/>
      <c r="C37" s="3193"/>
      <c r="E37" s="3192"/>
    </row>
    <row r="38" spans="1:5" s="1995" customFormat="1">
      <c r="A38" s="3192"/>
      <c r="C38" s="3193"/>
      <c r="E38" s="3192"/>
    </row>
    <row r="39" spans="1:5" s="1995" customFormat="1">
      <c r="A39" s="3192"/>
      <c r="C39" s="3193"/>
      <c r="E39" s="3192"/>
    </row>
    <row r="40" spans="1:5" s="1995" customFormat="1">
      <c r="A40" s="3192"/>
      <c r="C40" s="3193"/>
      <c r="E40" s="3192"/>
    </row>
    <row r="41" spans="1:5" s="1995" customFormat="1">
      <c r="A41" s="3192"/>
      <c r="C41" s="3193"/>
      <c r="E41" s="3192"/>
    </row>
    <row r="42" spans="1:5" s="1995" customFormat="1">
      <c r="A42" s="3192"/>
      <c r="C42" s="3193"/>
      <c r="E42" s="3192"/>
    </row>
    <row r="43" spans="1:5" s="1995" customFormat="1">
      <c r="A43" s="3192"/>
      <c r="C43" s="3193"/>
      <c r="E43" s="3192"/>
    </row>
    <row r="44" spans="1:5" s="1995" customFormat="1">
      <c r="A44" s="3192"/>
      <c r="C44" s="3193"/>
      <c r="E44" s="3192"/>
    </row>
    <row r="45" spans="1:5" s="1995" customFormat="1">
      <c r="A45" s="3192"/>
      <c r="C45" s="3193"/>
      <c r="E45" s="3192"/>
    </row>
    <row r="46" spans="1:5" s="1995" customFormat="1">
      <c r="A46" s="3192"/>
      <c r="C46" s="3193"/>
      <c r="E46" s="3192"/>
    </row>
    <row r="47" spans="1:5" s="1995" customFormat="1">
      <c r="A47" s="3192"/>
      <c r="C47" s="3193"/>
      <c r="E47" s="3192"/>
    </row>
    <row r="48" spans="1:5"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197"/>
      <c r="M1" s="3198"/>
      <c r="N1" s="3198"/>
      <c r="O1" s="3198"/>
      <c r="P1" s="2012"/>
      <c r="Q1" s="2012"/>
      <c r="R1" s="2012"/>
      <c r="S1" s="2012"/>
      <c r="T1" s="2012"/>
      <c r="U1" s="2012"/>
      <c r="V1" s="2012"/>
      <c r="W1" s="2012"/>
      <c r="X1" s="2012"/>
      <c r="Y1" s="2012"/>
      <c r="Z1" s="2012"/>
      <c r="AA1" s="2012"/>
      <c r="AB1" s="2012"/>
      <c r="AC1" s="3199"/>
      <c r="AD1" s="1287"/>
    </row>
    <row r="2" spans="1:30" s="1288" customFormat="1" ht="28.5" customHeight="1">
      <c r="A2" s="415" t="s">
        <v>459</v>
      </c>
      <c r="B2" s="500" t="e">
        <f>F68</f>
        <v>#DIV/0!</v>
      </c>
      <c r="C2" s="3207"/>
      <c r="D2" s="3207"/>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c r="AD2" s="1287"/>
    </row>
    <row r="3" spans="1:30" s="1288" customFormat="1" ht="28.5" customHeight="1">
      <c r="A3" s="1329" t="s">
        <v>1672</v>
      </c>
      <c r="B3" s="502" t="e">
        <f>ROUND(B2*10000/'数据-汇总表'!E3,0)</f>
        <v>#DIV/0!</v>
      </c>
      <c r="C3" s="3208"/>
      <c r="D3" s="3212"/>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3200"/>
      <c r="AC3" s="1942"/>
    </row>
    <row r="4" spans="1:30" s="1288" customFormat="1" ht="28.5" customHeight="1">
      <c r="A4" s="503" t="s">
        <v>512</v>
      </c>
      <c r="B4" s="419" t="e">
        <f>IF(B48="单位面积地价",C50,ROUND(B2*10000/'数据-汇总表'!D3,0))</f>
        <v>#DIV/0!</v>
      </c>
      <c r="C4" s="3208"/>
      <c r="D4" s="3212"/>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974" t="s">
        <v>514</v>
      </c>
      <c r="D6" s="3975"/>
      <c r="E6" s="3974" t="s">
        <v>515</v>
      </c>
      <c r="F6" s="3975"/>
      <c r="G6" s="3974" t="s">
        <v>516</v>
      </c>
      <c r="H6" s="3975"/>
      <c r="I6" s="3974" t="s">
        <v>517</v>
      </c>
      <c r="J6" s="3975"/>
      <c r="K6" s="506" t="s">
        <v>518</v>
      </c>
      <c r="L6" s="2013"/>
      <c r="M6" s="2012"/>
      <c r="N6" s="2012"/>
      <c r="O6" s="2014"/>
      <c r="P6" s="3976" t="s">
        <v>519</v>
      </c>
      <c r="Q6" s="3977"/>
      <c r="R6" s="3982" t="s">
        <v>515</v>
      </c>
      <c r="S6" s="3983"/>
      <c r="T6" s="3982" t="s">
        <v>516</v>
      </c>
      <c r="U6" s="3983"/>
      <c r="V6" s="3969" t="s">
        <v>517</v>
      </c>
      <c r="W6" s="3969"/>
      <c r="X6" s="1500"/>
      <c r="Y6" s="3982" t="s">
        <v>519</v>
      </c>
      <c r="Z6" s="3983"/>
      <c r="AA6" s="3971" t="s">
        <v>515</v>
      </c>
      <c r="AB6" s="3972" t="s">
        <v>516</v>
      </c>
      <c r="AC6" s="3971" t="s">
        <v>517</v>
      </c>
    </row>
    <row r="7" spans="1:30" ht="20.25">
      <c r="A7" s="507"/>
      <c r="B7" s="508"/>
      <c r="C7" s="3990" t="s">
        <v>2892</v>
      </c>
      <c r="D7" s="3991"/>
      <c r="E7" s="3990" t="s">
        <v>2893</v>
      </c>
      <c r="F7" s="3991"/>
      <c r="G7" s="3990" t="s">
        <v>2894</v>
      </c>
      <c r="H7" s="3991"/>
      <c r="I7" s="3990" t="s">
        <v>2895</v>
      </c>
      <c r="J7" s="3991"/>
      <c r="K7" s="506"/>
      <c r="L7" s="2013"/>
      <c r="M7" s="2012"/>
      <c r="N7" s="2012"/>
      <c r="O7" s="2014"/>
      <c r="P7" s="3978"/>
      <c r="Q7" s="3979"/>
      <c r="R7" s="3984"/>
      <c r="S7" s="3985"/>
      <c r="T7" s="3984"/>
      <c r="U7" s="3985"/>
      <c r="V7" s="3969"/>
      <c r="W7" s="3969"/>
      <c r="X7" s="1500"/>
      <c r="Y7" s="3984"/>
      <c r="Z7" s="3985"/>
      <c r="AA7" s="3972"/>
      <c r="AB7" s="3972"/>
      <c r="AC7" s="3972"/>
    </row>
    <row r="8" spans="1:30" ht="21" thickBot="1">
      <c r="A8" s="507"/>
      <c r="B8" s="508"/>
      <c r="C8" s="3992" t="s">
        <v>2896</v>
      </c>
      <c r="D8" s="3993"/>
      <c r="E8" s="3992" t="s">
        <v>2896</v>
      </c>
      <c r="F8" s="3993"/>
      <c r="G8" s="3988" t="s">
        <v>2896</v>
      </c>
      <c r="H8" s="3989"/>
      <c r="I8" s="3988" t="s">
        <v>2896</v>
      </c>
      <c r="J8" s="3989"/>
      <c r="K8" s="506" t="s">
        <v>520</v>
      </c>
      <c r="L8" s="2013"/>
      <c r="M8" s="2012"/>
      <c r="N8" s="2012"/>
      <c r="O8" s="2014"/>
      <c r="P8" s="3980"/>
      <c r="Q8" s="3981"/>
      <c r="R8" s="3984"/>
      <c r="S8" s="3985"/>
      <c r="T8" s="3986"/>
      <c r="U8" s="3987"/>
      <c r="V8" s="3969"/>
      <c r="W8" s="3969"/>
      <c r="X8" s="1500"/>
      <c r="Y8" s="3986"/>
      <c r="Z8" s="3987"/>
      <c r="AA8" s="3973"/>
      <c r="AB8" s="3973"/>
      <c r="AC8" s="3973"/>
    </row>
    <row r="9" spans="1:30" s="1201" customFormat="1" ht="21" thickBot="1">
      <c r="A9" s="2627"/>
      <c r="B9" s="2634" t="s">
        <v>521</v>
      </c>
      <c r="C9" s="2626">
        <f>'数据-取费表'!B2</f>
        <v>44545</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3999" t="s">
        <v>522</v>
      </c>
      <c r="Q9" s="4001"/>
      <c r="R9" s="1501" t="s">
        <v>8</v>
      </c>
      <c r="S9" s="1502">
        <f t="shared" ref="S9:S17" si="0">F9</f>
        <v>0</v>
      </c>
      <c r="T9" s="1501" t="s">
        <v>8</v>
      </c>
      <c r="U9" s="1502">
        <f t="shared" ref="U9:U17" si="1">H9</f>
        <v>0</v>
      </c>
      <c r="V9" s="1501" t="s">
        <v>8</v>
      </c>
      <c r="W9" s="1502">
        <f t="shared" ref="W9:W17" si="2">J9</f>
        <v>0</v>
      </c>
      <c r="X9" s="1503"/>
      <c r="Y9" s="3999" t="s">
        <v>522</v>
      </c>
      <c r="Z9" s="4000"/>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3999" t="s">
        <v>525</v>
      </c>
      <c r="Q10" s="4000"/>
      <c r="R10" s="1501" t="s">
        <v>8</v>
      </c>
      <c r="S10" s="1502">
        <f t="shared" si="0"/>
        <v>0</v>
      </c>
      <c r="T10" s="1501" t="s">
        <v>8</v>
      </c>
      <c r="U10" s="1502">
        <f t="shared" si="1"/>
        <v>0</v>
      </c>
      <c r="V10" s="1501" t="s">
        <v>8</v>
      </c>
      <c r="W10" s="1502">
        <f t="shared" si="2"/>
        <v>0</v>
      </c>
      <c r="X10" s="1503"/>
      <c r="Y10" s="3999" t="s">
        <v>525</v>
      </c>
      <c r="Z10" s="4000"/>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968" t="s">
        <v>527</v>
      </c>
      <c r="Q11" s="1132" t="str">
        <f t="shared" ref="Q11:Q17" si="6">B11</f>
        <v>用途</v>
      </c>
      <c r="R11" s="1501" t="s">
        <v>8</v>
      </c>
      <c r="S11" s="1502">
        <f t="shared" si="0"/>
        <v>100</v>
      </c>
      <c r="T11" s="1501" t="s">
        <v>8</v>
      </c>
      <c r="U11" s="1502">
        <f t="shared" si="1"/>
        <v>100</v>
      </c>
      <c r="V11" s="1501" t="s">
        <v>8</v>
      </c>
      <c r="W11" s="1502">
        <f t="shared" si="2"/>
        <v>100</v>
      </c>
      <c r="X11" s="1503"/>
      <c r="Y11" s="3914"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968"/>
      <c r="Q12" s="1132" t="str">
        <f t="shared" si="6"/>
        <v>土地使用年限（年）</v>
      </c>
      <c r="R12" s="1501" t="s">
        <v>8</v>
      </c>
      <c r="S12" s="1502" t="e">
        <f t="shared" si="0"/>
        <v>#DIV/0!</v>
      </c>
      <c r="T12" s="1501" t="s">
        <v>8</v>
      </c>
      <c r="U12" s="1502" t="e">
        <f t="shared" si="1"/>
        <v>#DIV/0!</v>
      </c>
      <c r="V12" s="1501" t="s">
        <v>8</v>
      </c>
      <c r="W12" s="1502" t="e">
        <f t="shared" si="2"/>
        <v>#DIV/0!</v>
      </c>
      <c r="X12" s="1503"/>
      <c r="Y12" s="3914"/>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968"/>
      <c r="Q13" s="1132" t="str">
        <f t="shared" si="6"/>
        <v>容积率</v>
      </c>
      <c r="R13" s="1501" t="s">
        <v>8</v>
      </c>
      <c r="S13" s="1502" t="e">
        <f t="shared" si="0"/>
        <v>#N/A</v>
      </c>
      <c r="T13" s="1501" t="s">
        <v>8</v>
      </c>
      <c r="U13" s="1502" t="e">
        <f t="shared" si="1"/>
        <v>#N/A</v>
      </c>
      <c r="V13" s="1501" t="s">
        <v>8</v>
      </c>
      <c r="W13" s="1502" t="e">
        <f t="shared" si="2"/>
        <v>#N/A</v>
      </c>
      <c r="X13" s="1503"/>
      <c r="Y13" s="3914"/>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968"/>
      <c r="Q14" s="1132" t="str">
        <f t="shared" si="6"/>
        <v>配建</v>
      </c>
      <c r="R14" s="1501" t="s">
        <v>8</v>
      </c>
      <c r="S14" s="1502">
        <f t="shared" si="0"/>
        <v>100</v>
      </c>
      <c r="T14" s="1501" t="s">
        <v>8</v>
      </c>
      <c r="U14" s="1502">
        <f t="shared" si="1"/>
        <v>100</v>
      </c>
      <c r="V14" s="1501" t="s">
        <v>8</v>
      </c>
      <c r="W14" s="1502">
        <f t="shared" si="2"/>
        <v>100</v>
      </c>
      <c r="X14" s="1503"/>
      <c r="Y14" s="3914"/>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968"/>
      <c r="Q15" s="1132">
        <f t="shared" si="6"/>
        <v>111</v>
      </c>
      <c r="R15" s="1501" t="s">
        <v>8</v>
      </c>
      <c r="S15" s="1502">
        <f t="shared" si="0"/>
        <v>100</v>
      </c>
      <c r="T15" s="1501" t="s">
        <v>8</v>
      </c>
      <c r="U15" s="1502">
        <f t="shared" si="1"/>
        <v>100</v>
      </c>
      <c r="V15" s="1501" t="s">
        <v>8</v>
      </c>
      <c r="W15" s="1502">
        <f t="shared" si="2"/>
        <v>100</v>
      </c>
      <c r="X15" s="1503"/>
      <c r="Y15" s="3914"/>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968"/>
      <c r="Q16" s="1132">
        <f t="shared" si="6"/>
        <v>111</v>
      </c>
      <c r="R16" s="1501" t="s">
        <v>8</v>
      </c>
      <c r="S16" s="1502">
        <f t="shared" si="0"/>
        <v>100</v>
      </c>
      <c r="T16" s="1501" t="s">
        <v>8</v>
      </c>
      <c r="U16" s="1502">
        <f t="shared" si="1"/>
        <v>100</v>
      </c>
      <c r="V16" s="1501" t="s">
        <v>8</v>
      </c>
      <c r="W16" s="1502">
        <f t="shared" si="2"/>
        <v>100</v>
      </c>
      <c r="X16" s="1503"/>
      <c r="Y16" s="3914"/>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4002" t="s">
        <v>532</v>
      </c>
      <c r="Q17" s="1505" t="str">
        <f t="shared" si="6"/>
        <v>居住社区成熟度</v>
      </c>
      <c r="R17" s="1506" t="s">
        <v>8</v>
      </c>
      <c r="S17" s="1507">
        <f t="shared" si="0"/>
        <v>100</v>
      </c>
      <c r="T17" s="1506" t="s">
        <v>8</v>
      </c>
      <c r="U17" s="1507">
        <f t="shared" si="1"/>
        <v>100</v>
      </c>
      <c r="V17" s="1506" t="s">
        <v>8</v>
      </c>
      <c r="W17" s="1507">
        <f t="shared" si="2"/>
        <v>100</v>
      </c>
      <c r="X17" s="1500"/>
      <c r="Y17" s="4002"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4003"/>
      <c r="Q18" s="1505"/>
      <c r="R18" s="1506"/>
      <c r="S18" s="1507"/>
      <c r="T18" s="1506"/>
      <c r="U18" s="1507"/>
      <c r="V18" s="1506"/>
      <c r="W18" s="1507"/>
      <c r="X18" s="1500"/>
      <c r="Y18" s="4003"/>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4003"/>
      <c r="Q19" s="1505" t="str">
        <f>B19</f>
        <v>商业繁华度</v>
      </c>
      <c r="R19" s="1506" t="s">
        <v>8</v>
      </c>
      <c r="S19" s="1507">
        <f>F19</f>
        <v>100</v>
      </c>
      <c r="T19" s="1506" t="s">
        <v>8</v>
      </c>
      <c r="U19" s="1507">
        <f>H19</f>
        <v>100</v>
      </c>
      <c r="V19" s="1506" t="s">
        <v>8</v>
      </c>
      <c r="W19" s="1507">
        <f>J19</f>
        <v>100</v>
      </c>
      <c r="X19" s="1500"/>
      <c r="Y19" s="4003"/>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4003"/>
      <c r="Q20" s="1505"/>
      <c r="R20" s="1506"/>
      <c r="S20" s="1507"/>
      <c r="T20" s="1506"/>
      <c r="U20" s="1507"/>
      <c r="V20" s="1506"/>
      <c r="W20" s="1507"/>
      <c r="X20" s="1500"/>
      <c r="Y20" s="4003"/>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4003"/>
      <c r="Q21" s="1505" t="str">
        <f>B21</f>
        <v>办公集聚程度</v>
      </c>
      <c r="R21" s="1506" t="s">
        <v>8</v>
      </c>
      <c r="S21" s="1507">
        <f>F21</f>
        <v>100</v>
      </c>
      <c r="T21" s="1506" t="s">
        <v>8</v>
      </c>
      <c r="U21" s="1507">
        <f>H21</f>
        <v>100</v>
      </c>
      <c r="V21" s="1506" t="s">
        <v>8</v>
      </c>
      <c r="W21" s="1507">
        <f>J21</f>
        <v>100</v>
      </c>
      <c r="X21" s="1500"/>
      <c r="Y21" s="4003"/>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4003"/>
      <c r="Q22" s="1505"/>
      <c r="R22" s="1506"/>
      <c r="S22" s="1507"/>
      <c r="T22" s="1506"/>
      <c r="U22" s="1507"/>
      <c r="V22" s="1506"/>
      <c r="W22" s="1507"/>
      <c r="X22" s="1500"/>
      <c r="Y22" s="4003"/>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4003"/>
      <c r="Q23" s="1505" t="str">
        <f>B23</f>
        <v>交通便捷度</v>
      </c>
      <c r="R23" s="1506" t="s">
        <v>8</v>
      </c>
      <c r="S23" s="1507">
        <f>F23</f>
        <v>100</v>
      </c>
      <c r="T23" s="1506" t="s">
        <v>8</v>
      </c>
      <c r="U23" s="1507">
        <f>H23</f>
        <v>100</v>
      </c>
      <c r="V23" s="1506" t="s">
        <v>8</v>
      </c>
      <c r="W23" s="1507">
        <f>J23</f>
        <v>100</v>
      </c>
      <c r="X23" s="1500"/>
      <c r="Y23" s="4003"/>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4003"/>
      <c r="Q24" s="1505"/>
      <c r="R24" s="1506"/>
      <c r="S24" s="1507"/>
      <c r="T24" s="1506"/>
      <c r="U24" s="1507"/>
      <c r="V24" s="1506"/>
      <c r="W24" s="1507"/>
      <c r="X24" s="1500"/>
      <c r="Y24" s="4003"/>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4003"/>
      <c r="Q25" s="1505" t="str">
        <f t="shared" ref="Q25:Q39" si="8">B25</f>
        <v>区域土地利用方向</v>
      </c>
      <c r="R25" s="1506" t="s">
        <v>8</v>
      </c>
      <c r="S25" s="1507">
        <f>F25</f>
        <v>100</v>
      </c>
      <c r="T25" s="1506" t="s">
        <v>8</v>
      </c>
      <c r="U25" s="1507">
        <f>H25</f>
        <v>100</v>
      </c>
      <c r="V25" s="1506" t="s">
        <v>8</v>
      </c>
      <c r="W25" s="1507">
        <f>J25</f>
        <v>100</v>
      </c>
      <c r="X25" s="1500"/>
      <c r="Y25" s="4003"/>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4003"/>
      <c r="Q26" s="1505"/>
      <c r="R26" s="1506"/>
      <c r="S26" s="1507"/>
      <c r="T26" s="1506"/>
      <c r="U26" s="1507"/>
      <c r="V26" s="1506"/>
      <c r="W26" s="1507"/>
      <c r="X26" s="1500"/>
      <c r="Y26" s="4003"/>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4003"/>
      <c r="Q27" s="1505" t="str">
        <f t="shared" si="8"/>
        <v>自然及人文环境状况</v>
      </c>
      <c r="R27" s="1506" t="s">
        <v>8</v>
      </c>
      <c r="S27" s="1507">
        <f>F27</f>
        <v>100</v>
      </c>
      <c r="T27" s="1506" t="s">
        <v>8</v>
      </c>
      <c r="U27" s="1507">
        <f>H27</f>
        <v>100</v>
      </c>
      <c r="V27" s="1506" t="s">
        <v>8</v>
      </c>
      <c r="W27" s="1507">
        <f>J27</f>
        <v>100</v>
      </c>
      <c r="X27" s="1500"/>
      <c r="Y27" s="4003"/>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4003"/>
      <c r="Q28" s="1505"/>
      <c r="R28" s="1506"/>
      <c r="S28" s="1507"/>
      <c r="T28" s="1506"/>
      <c r="U28" s="1507"/>
      <c r="V28" s="1506"/>
      <c r="W28" s="1507"/>
      <c r="X28" s="1500"/>
      <c r="Y28" s="4003"/>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4003"/>
      <c r="Q29" s="1132" t="str">
        <f t="shared" si="8"/>
        <v>公共配套设施</v>
      </c>
      <c r="R29" s="1501" t="s">
        <v>8</v>
      </c>
      <c r="S29" s="1502">
        <f>F29</f>
        <v>100</v>
      </c>
      <c r="T29" s="1501" t="s">
        <v>8</v>
      </c>
      <c r="U29" s="1502">
        <f>H29</f>
        <v>100</v>
      </c>
      <c r="V29" s="1501" t="s">
        <v>8</v>
      </c>
      <c r="W29" s="1502">
        <f>J29</f>
        <v>100</v>
      </c>
      <c r="X29" s="1503"/>
      <c r="Y29" s="4003"/>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4003"/>
      <c r="Q30" s="1132"/>
      <c r="R30" s="1501"/>
      <c r="S30" s="1502"/>
      <c r="T30" s="1501"/>
      <c r="U30" s="1502"/>
      <c r="V30" s="1501"/>
      <c r="W30" s="1502"/>
      <c r="X30" s="1503"/>
      <c r="Y30" s="4003"/>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4003"/>
      <c r="Q31" s="2426" t="str">
        <f t="shared" ref="Q31" si="9">B31</f>
        <v>基础设施水平</v>
      </c>
      <c r="R31" s="1501" t="s">
        <v>8</v>
      </c>
      <c r="S31" s="1502">
        <f>F31</f>
        <v>100</v>
      </c>
      <c r="T31" s="1501" t="s">
        <v>8</v>
      </c>
      <c r="U31" s="1502">
        <f>H31</f>
        <v>100</v>
      </c>
      <c r="V31" s="1501" t="s">
        <v>8</v>
      </c>
      <c r="W31" s="1502">
        <f>J31</f>
        <v>100</v>
      </c>
      <c r="X31" s="1503"/>
      <c r="Y31" s="4003"/>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4003"/>
      <c r="Q32" s="2426"/>
      <c r="R32" s="1501"/>
      <c r="S32" s="1502"/>
      <c r="T32" s="1501"/>
      <c r="U32" s="1502"/>
      <c r="V32" s="1501"/>
      <c r="W32" s="1502"/>
      <c r="X32" s="1503"/>
      <c r="Y32" s="4003"/>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4003"/>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4003"/>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4003"/>
      <c r="Q34" s="1505" t="str">
        <f t="shared" si="8"/>
        <v>毗邻道路的类型与等级</v>
      </c>
      <c r="R34" s="1506" t="s">
        <v>8</v>
      </c>
      <c r="S34" s="1507">
        <f t="shared" si="10"/>
        <v>100</v>
      </c>
      <c r="T34" s="1506" t="s">
        <v>8</v>
      </c>
      <c r="U34" s="1507">
        <f t="shared" si="11"/>
        <v>100</v>
      </c>
      <c r="V34" s="1506" t="s">
        <v>8</v>
      </c>
      <c r="W34" s="1507">
        <f t="shared" si="12"/>
        <v>100</v>
      </c>
      <c r="X34" s="1500"/>
      <c r="Y34" s="4003"/>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4003"/>
      <c r="Q35" s="1505"/>
      <c r="R35" s="1506"/>
      <c r="S35" s="1507"/>
      <c r="T35" s="1506"/>
      <c r="U35" s="1507"/>
      <c r="V35" s="1506"/>
      <c r="W35" s="1507"/>
      <c r="X35" s="1500"/>
      <c r="Y35" s="4003"/>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4003"/>
      <c r="Q36" s="1505" t="str">
        <f t="shared" si="8"/>
        <v>土地级别</v>
      </c>
      <c r="R36" s="1506" t="s">
        <v>8</v>
      </c>
      <c r="S36" s="1507">
        <f t="shared" si="10"/>
        <v>100</v>
      </c>
      <c r="T36" s="1506" t="s">
        <v>8</v>
      </c>
      <c r="U36" s="1507">
        <f t="shared" si="11"/>
        <v>100</v>
      </c>
      <c r="V36" s="1506" t="s">
        <v>8</v>
      </c>
      <c r="W36" s="1507">
        <f t="shared" si="12"/>
        <v>100</v>
      </c>
      <c r="X36" s="1500"/>
      <c r="Y36" s="4003"/>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4003"/>
      <c r="Q37" s="1505">
        <f t="shared" si="8"/>
        <v>111</v>
      </c>
      <c r="R37" s="1506" t="s">
        <v>8</v>
      </c>
      <c r="S37" s="1507">
        <f t="shared" si="10"/>
        <v>100</v>
      </c>
      <c r="T37" s="1506" t="s">
        <v>8</v>
      </c>
      <c r="U37" s="1507">
        <f t="shared" si="11"/>
        <v>100</v>
      </c>
      <c r="V37" s="1506" t="s">
        <v>8</v>
      </c>
      <c r="W37" s="1507">
        <f t="shared" si="12"/>
        <v>100</v>
      </c>
      <c r="X37" s="1500"/>
      <c r="Y37" s="4003"/>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4004" t="s">
        <v>542</v>
      </c>
      <c r="Q38" s="1505">
        <f t="shared" si="8"/>
        <v>111</v>
      </c>
      <c r="R38" s="1506" t="s">
        <v>8</v>
      </c>
      <c r="S38" s="1507">
        <f t="shared" si="10"/>
        <v>100</v>
      </c>
      <c r="T38" s="1506" t="s">
        <v>8</v>
      </c>
      <c r="U38" s="1507">
        <f t="shared" si="11"/>
        <v>100</v>
      </c>
      <c r="V38" s="1506" t="s">
        <v>8</v>
      </c>
      <c r="W38" s="1507">
        <f t="shared" si="12"/>
        <v>100</v>
      </c>
      <c r="X38" s="1500"/>
      <c r="Y38" s="4005"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4005"/>
      <c r="Q39" s="1505">
        <f t="shared" si="8"/>
        <v>111</v>
      </c>
      <c r="R39" s="1510" t="s">
        <v>8</v>
      </c>
      <c r="S39" s="1511">
        <f t="shared" si="10"/>
        <v>100</v>
      </c>
      <c r="T39" s="1510" t="s">
        <v>8</v>
      </c>
      <c r="U39" s="1511">
        <f t="shared" si="11"/>
        <v>100</v>
      </c>
      <c r="V39" s="1510" t="s">
        <v>8</v>
      </c>
      <c r="W39" s="1511">
        <f t="shared" si="12"/>
        <v>100</v>
      </c>
      <c r="X39" s="1512"/>
      <c r="Y39" s="4005"/>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4005"/>
      <c r="Q40" s="1505" t="str">
        <f>B40</f>
        <v>宗地面积</v>
      </c>
      <c r="R40" s="1506" t="s">
        <v>8</v>
      </c>
      <c r="S40" s="1507" t="e">
        <f t="shared" si="10"/>
        <v>#N/A</v>
      </c>
      <c r="T40" s="1506" t="s">
        <v>8</v>
      </c>
      <c r="U40" s="1507" t="e">
        <f t="shared" si="11"/>
        <v>#N/A</v>
      </c>
      <c r="V40" s="1506" t="s">
        <v>8</v>
      </c>
      <c r="W40" s="1507" t="e">
        <f t="shared" si="12"/>
        <v>#N/A</v>
      </c>
      <c r="X40" s="1500"/>
      <c r="Y40" s="4005"/>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4005"/>
      <c r="Q41" s="1505" t="str">
        <f t="shared" ref="Q41:Q47" si="14">B41</f>
        <v>宗地形状</v>
      </c>
      <c r="R41" s="1506" t="s">
        <v>8</v>
      </c>
      <c r="S41" s="1507">
        <f t="shared" si="10"/>
        <v>100</v>
      </c>
      <c r="T41" s="1506" t="s">
        <v>8</v>
      </c>
      <c r="U41" s="1507">
        <f t="shared" si="11"/>
        <v>100</v>
      </c>
      <c r="V41" s="1506" t="s">
        <v>8</v>
      </c>
      <c r="W41" s="1507">
        <f t="shared" si="12"/>
        <v>100</v>
      </c>
      <c r="X41" s="1500"/>
      <c r="Y41" s="4005"/>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4005"/>
      <c r="Q42" s="1505" t="str">
        <f t="shared" si="14"/>
        <v>临街宽度及深度</v>
      </c>
      <c r="R42" s="1506" t="s">
        <v>8</v>
      </c>
      <c r="S42" s="1507">
        <f t="shared" si="10"/>
        <v>100</v>
      </c>
      <c r="T42" s="1506" t="s">
        <v>8</v>
      </c>
      <c r="U42" s="1507">
        <f t="shared" si="11"/>
        <v>100</v>
      </c>
      <c r="V42" s="1506" t="s">
        <v>8</v>
      </c>
      <c r="W42" s="1507">
        <f t="shared" si="12"/>
        <v>100</v>
      </c>
      <c r="X42" s="1500"/>
      <c r="Y42" s="4005"/>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4005"/>
      <c r="Q43" s="1505" t="str">
        <f t="shared" si="14"/>
        <v>宗地开发程度</v>
      </c>
      <c r="R43" s="1501" t="s">
        <v>8</v>
      </c>
      <c r="S43" s="1502">
        <f t="shared" si="10"/>
        <v>100</v>
      </c>
      <c r="T43" s="1501" t="s">
        <v>8</v>
      </c>
      <c r="U43" s="1502">
        <f t="shared" si="11"/>
        <v>100</v>
      </c>
      <c r="V43" s="1501" t="s">
        <v>8</v>
      </c>
      <c r="W43" s="1502">
        <f t="shared" si="12"/>
        <v>100</v>
      </c>
      <c r="X43" s="1503"/>
      <c r="Y43" s="4005"/>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4005" t="s">
        <v>542</v>
      </c>
      <c r="Q44" s="1505" t="str">
        <f t="shared" si="14"/>
        <v>工程地质条件</v>
      </c>
      <c r="R44" s="1506" t="s">
        <v>8</v>
      </c>
      <c r="S44" s="1507">
        <f t="shared" si="10"/>
        <v>100</v>
      </c>
      <c r="T44" s="1506" t="s">
        <v>8</v>
      </c>
      <c r="U44" s="1507">
        <f t="shared" si="11"/>
        <v>100</v>
      </c>
      <c r="V44" s="1506" t="s">
        <v>8</v>
      </c>
      <c r="W44" s="1507">
        <f t="shared" si="12"/>
        <v>100</v>
      </c>
      <c r="X44" s="1500"/>
      <c r="Y44" s="4005"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4005"/>
      <c r="Q45" s="1505">
        <f t="shared" si="14"/>
        <v>111</v>
      </c>
      <c r="R45" s="1506" t="s">
        <v>8</v>
      </c>
      <c r="S45" s="1507">
        <f t="shared" si="10"/>
        <v>100</v>
      </c>
      <c r="T45" s="1506" t="s">
        <v>8</v>
      </c>
      <c r="U45" s="1507">
        <f t="shared" si="11"/>
        <v>100</v>
      </c>
      <c r="V45" s="1506" t="s">
        <v>8</v>
      </c>
      <c r="W45" s="1507">
        <f t="shared" si="12"/>
        <v>100</v>
      </c>
      <c r="X45" s="1500"/>
      <c r="Y45" s="4005"/>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4005"/>
      <c r="Q46" s="1505">
        <f t="shared" si="14"/>
        <v>111</v>
      </c>
      <c r="R46" s="1506" t="s">
        <v>8</v>
      </c>
      <c r="S46" s="1507">
        <f t="shared" si="10"/>
        <v>100</v>
      </c>
      <c r="T46" s="1506" t="s">
        <v>8</v>
      </c>
      <c r="U46" s="1507">
        <f t="shared" si="11"/>
        <v>100</v>
      </c>
      <c r="V46" s="1506" t="s">
        <v>8</v>
      </c>
      <c r="W46" s="1507">
        <f t="shared" si="12"/>
        <v>100</v>
      </c>
      <c r="X46" s="1500"/>
      <c r="Y46" s="4005"/>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4005"/>
      <c r="Q47" s="1505">
        <f t="shared" si="14"/>
        <v>111</v>
      </c>
      <c r="R47" s="1510" t="s">
        <v>8</v>
      </c>
      <c r="S47" s="1511">
        <f t="shared" si="10"/>
        <v>100</v>
      </c>
      <c r="T47" s="1510" t="s">
        <v>8</v>
      </c>
      <c r="U47" s="1511">
        <f t="shared" si="11"/>
        <v>100</v>
      </c>
      <c r="V47" s="1510" t="s">
        <v>8</v>
      </c>
      <c r="W47" s="1511">
        <f t="shared" si="12"/>
        <v>100</v>
      </c>
      <c r="X47" s="1512"/>
      <c r="Y47" s="4005"/>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968" t="str">
        <f>A48</f>
        <v>成交单价</v>
      </c>
      <c r="Q48" s="3968"/>
      <c r="R48" s="3969">
        <f>E48</f>
        <v>0</v>
      </c>
      <c r="S48" s="3969"/>
      <c r="T48" s="3969">
        <f>G48</f>
        <v>0</v>
      </c>
      <c r="U48" s="3969"/>
      <c r="V48" s="3969">
        <f>I48</f>
        <v>0</v>
      </c>
      <c r="W48" s="3969"/>
      <c r="X48" s="1495"/>
      <c r="Y48" s="1514"/>
      <c r="Z48" s="1495"/>
      <c r="AA48" s="1495"/>
      <c r="AB48" s="1495"/>
      <c r="AC48" s="1495"/>
    </row>
    <row r="49" spans="1:29" ht="21" thickBot="1">
      <c r="A49" s="607" t="s">
        <v>2671</v>
      </c>
      <c r="B49" s="608"/>
      <c r="C49" s="609" t="e">
        <f>R50</f>
        <v>#DIV/0!</v>
      </c>
      <c r="D49" s="3003" t="s">
        <v>2963</v>
      </c>
      <c r="E49" s="609" t="e">
        <f>R49</f>
        <v>#DIV/0!</v>
      </c>
      <c r="F49" s="3004"/>
      <c r="G49" s="610" t="e">
        <f>T49</f>
        <v>#DIV/0!</v>
      </c>
      <c r="H49" s="3004"/>
      <c r="I49" s="609" t="e">
        <f>V49</f>
        <v>#DIV/0!</v>
      </c>
      <c r="J49" s="3004"/>
      <c r="K49" s="3005">
        <f>F49+H49+J49</f>
        <v>0</v>
      </c>
      <c r="L49" s="2024"/>
      <c r="M49" s="2012"/>
      <c r="N49" s="2012"/>
      <c r="O49" s="2025"/>
      <c r="P49" s="3968" t="str">
        <f>A49</f>
        <v>比较价格（元/平方米）</v>
      </c>
      <c r="Q49" s="3968"/>
      <c r="R49" s="3970" t="e">
        <f>ROUND(PRODUCT(R48,AA9:AA47),0)</f>
        <v>#DIV/0!</v>
      </c>
      <c r="S49" s="3970"/>
      <c r="T49" s="3970" t="e">
        <f>ROUND(PRODUCT(T48,AB9:AB47),0)</f>
        <v>#DIV/0!</v>
      </c>
      <c r="U49" s="3970"/>
      <c r="V49" s="3970" t="e">
        <f>ROUND(PRODUCT(V48,AC9:AC47),0)</f>
        <v>#DIV/0!</v>
      </c>
      <c r="W49" s="3970"/>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965" t="str">
        <f>A50</f>
        <v>估价对象XX用房的比较价格（楼面单价，元/平方米）</v>
      </c>
      <c r="Q50" s="3966"/>
      <c r="R50" s="3967" t="e">
        <f>ROUND(IF(D49="简单平均",AVERAGE(R49:W49),R49*F49+T49*H49+V49*J49),0)</f>
        <v>#DIV/0!</v>
      </c>
      <c r="S50" s="3967"/>
      <c r="T50" s="3967"/>
      <c r="U50" s="3967"/>
      <c r="V50" s="3967"/>
      <c r="W50" s="3967"/>
      <c r="X50" s="1495"/>
      <c r="Y50" s="1495"/>
      <c r="Z50" s="1495"/>
      <c r="AA50" s="1495"/>
      <c r="AB50" s="1495"/>
      <c r="AC50" s="1495"/>
    </row>
    <row r="51" spans="1:29" ht="20.25">
      <c r="A51" s="3201"/>
      <c r="B51" s="3201"/>
      <c r="C51" s="3201"/>
      <c r="D51" s="3201"/>
      <c r="E51" s="3201"/>
      <c r="F51" s="3201"/>
      <c r="G51" s="3203"/>
      <c r="H51" s="3201"/>
      <c r="I51" s="3201"/>
      <c r="J51" s="3201"/>
      <c r="K51" s="3204"/>
      <c r="L51" s="2029"/>
      <c r="M51" s="2012"/>
      <c r="N51" s="2012"/>
      <c r="O51" s="2025"/>
      <c r="P51" s="2025"/>
      <c r="Q51" s="2025"/>
      <c r="R51" s="2025"/>
      <c r="S51" s="2025"/>
      <c r="T51" s="2025"/>
      <c r="U51" s="2025"/>
      <c r="V51" s="2025"/>
      <c r="W51" s="2025"/>
      <c r="X51" s="2025"/>
      <c r="Y51" s="2025"/>
      <c r="Z51" s="2025"/>
      <c r="AA51" s="2025"/>
      <c r="AB51" s="2025"/>
      <c r="AC51" s="2025"/>
    </row>
    <row r="52" spans="1:29" ht="20.25">
      <c r="A52" s="3201"/>
      <c r="B52" s="3201"/>
      <c r="C52" s="3201"/>
      <c r="D52" s="3201"/>
      <c r="E52" s="3201"/>
      <c r="F52" s="3201"/>
      <c r="G52" s="3201"/>
      <c r="H52" s="3201"/>
      <c r="I52" s="3201"/>
      <c r="J52" s="3201"/>
      <c r="K52" s="3204"/>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4"/>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4"/>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05"/>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05"/>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994" t="s">
        <v>2266</v>
      </c>
      <c r="H57" s="3995"/>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771700</v>
      </c>
      <c r="F58" s="626" t="e">
        <f t="shared" ref="F58:F67" si="15">ROUND(B58*E58/10000,0)</f>
        <v>#DIV/0!</v>
      </c>
      <c r="G58" s="3996"/>
      <c r="H58" s="3997"/>
      <c r="I58" s="1493">
        <v>1</v>
      </c>
      <c r="J58" s="1493">
        <v>1</v>
      </c>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3998" t="s">
        <v>2267</v>
      </c>
      <c r="H59" s="1860" t="str">
        <f>项目基本情况!B43</f>
        <v>六级</v>
      </c>
      <c r="I59" s="1493">
        <f>SUMIF(修正!$A$45:$A$56,H59,修正!B45:B56)</f>
        <v>0.7</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3998"/>
      <c r="H60" s="1860" t="str">
        <f>项目基本情况!B43</f>
        <v>六级</v>
      </c>
      <c r="I60" s="1493">
        <f>SUMIF(修正!$A$45:$A$56,H60,修正!C45:C56)</f>
        <v>0.4</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3998"/>
      <c r="H61" s="1860" t="str">
        <f>项目基本情况!B43</f>
        <v>六级</v>
      </c>
      <c r="I61" s="1493">
        <f>SUMIF(修正!$A$45:$A$56,H61,修正!D45:D56)</f>
        <v>0.28000000000000003</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3998"/>
      <c r="H62" s="1860" t="str">
        <f>项目基本情况!B43</f>
        <v>六级</v>
      </c>
      <c r="I62" s="1493">
        <f>SUMIF(修正!$A$45:$A$56,H62,修正!E45:E56)</f>
        <v>0.25</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06"/>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06"/>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06"/>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06"/>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06"/>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81070.11</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2021-12-1</v>
      </c>
      <c r="D70" s="2514">
        <f>EDATE(C70,-3)</f>
        <v>44440</v>
      </c>
      <c r="E70" s="2514">
        <f t="shared" ref="E70:N70" si="18">EDATE(D70,-3)</f>
        <v>44348</v>
      </c>
      <c r="F70" s="2514">
        <f t="shared" si="18"/>
        <v>44256</v>
      </c>
      <c r="G70" s="2514">
        <f t="shared" si="18"/>
        <v>44166</v>
      </c>
      <c r="H70" s="2514">
        <f t="shared" si="18"/>
        <v>44075</v>
      </c>
      <c r="I70" s="2514">
        <f t="shared" si="18"/>
        <v>43983</v>
      </c>
      <c r="J70" s="2514">
        <f t="shared" si="18"/>
        <v>43891</v>
      </c>
      <c r="K70" s="2514">
        <f t="shared" si="18"/>
        <v>43800</v>
      </c>
      <c r="L70" s="2514">
        <f t="shared" si="18"/>
        <v>43709</v>
      </c>
      <c r="M70" s="2514">
        <f t="shared" si="18"/>
        <v>43617</v>
      </c>
      <c r="N70" s="2514">
        <f t="shared" si="18"/>
        <v>43525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2021-4</v>
      </c>
      <c r="D72" s="2516" t="str">
        <f>YEAR(D70)&amp;"-"&amp;ROUNDUP(MONTH(D70)/3,0)</f>
        <v>2021-3</v>
      </c>
      <c r="E72" s="2516" t="str">
        <f t="shared" ref="E72:N72" si="19">YEAR(E70)&amp;"-"&amp;ROUNDUP(MONTH(E70)/3,0)</f>
        <v>2021-2</v>
      </c>
      <c r="F72" s="2516" t="str">
        <f t="shared" si="19"/>
        <v>2021-1</v>
      </c>
      <c r="G72" s="2516" t="str">
        <f t="shared" si="19"/>
        <v>2020-4</v>
      </c>
      <c r="H72" s="2516" t="str">
        <f t="shared" si="19"/>
        <v>2020-3</v>
      </c>
      <c r="I72" s="2516" t="str">
        <f t="shared" si="19"/>
        <v>2020-2</v>
      </c>
      <c r="J72" s="2516" t="str">
        <f t="shared" si="19"/>
        <v>2020-1</v>
      </c>
      <c r="K72" s="2516" t="str">
        <f t="shared" si="19"/>
        <v>2019-4</v>
      </c>
      <c r="L72" s="2516" t="str">
        <f t="shared" si="19"/>
        <v>2019-3</v>
      </c>
      <c r="M72" s="2516" t="str">
        <f t="shared" si="19"/>
        <v>2019-2</v>
      </c>
      <c r="N72" s="2516" t="str">
        <f t="shared" si="19"/>
        <v>2019-1</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北京市平均增长率1.66%</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55" priority="18" stopIfTrue="1" operator="containsText" text="超过">
      <formula>NOT(ISERROR(SEARCH("超过",F53)))</formula>
    </cfRule>
  </conditionalFormatting>
  <conditionalFormatting sqref="J55">
    <cfRule type="containsText" dxfId="254" priority="17" stopIfTrue="1" operator="containsText" text="超过">
      <formula>NOT(ISERROR(SEARCH("超过",J55)))</formula>
    </cfRule>
  </conditionalFormatting>
  <conditionalFormatting sqref="H55">
    <cfRule type="containsText" dxfId="253" priority="16" stopIfTrue="1" operator="containsText" text="超过">
      <formula>NOT(ISERROR(SEARCH("超过",H55)))</formula>
    </cfRule>
  </conditionalFormatting>
  <conditionalFormatting sqref="F55">
    <cfRule type="containsText" dxfId="252" priority="15" stopIfTrue="1" operator="containsText" text="超过">
      <formula>NOT(ISERROR(SEARCH("超过",F55)))</formula>
    </cfRule>
  </conditionalFormatting>
  <conditionalFormatting sqref="F54 H54 J54">
    <cfRule type="containsText" dxfId="251" priority="14" stopIfTrue="1" operator="containsText" text="超过">
      <formula>NOT(ISERROR(SEARCH("超过",F54)))</formula>
    </cfRule>
  </conditionalFormatting>
  <conditionalFormatting sqref="E53">
    <cfRule type="expression" dxfId="250" priority="13" stopIfTrue="1">
      <formula>$F$53="超过30%"</formula>
    </cfRule>
  </conditionalFormatting>
  <conditionalFormatting sqref="G55">
    <cfRule type="expression" dxfId="249" priority="12" stopIfTrue="1">
      <formula>$H$55="超过30%"</formula>
    </cfRule>
  </conditionalFormatting>
  <conditionalFormatting sqref="E54">
    <cfRule type="expression" dxfId="248" priority="11" stopIfTrue="1">
      <formula>$F$54="超过20%"</formula>
    </cfRule>
  </conditionalFormatting>
  <conditionalFormatting sqref="E55">
    <cfRule type="expression" dxfId="247" priority="10" stopIfTrue="1">
      <formula>$F$55="超过30%"</formula>
    </cfRule>
  </conditionalFormatting>
  <conditionalFormatting sqref="G53">
    <cfRule type="expression" dxfId="246" priority="9" stopIfTrue="1">
      <formula>$H$55+$H$53="超过30%"</formula>
    </cfRule>
  </conditionalFormatting>
  <conditionalFormatting sqref="G54">
    <cfRule type="expression" dxfId="245" priority="8" stopIfTrue="1">
      <formula>$H$54="超过20%"</formula>
    </cfRule>
  </conditionalFormatting>
  <conditionalFormatting sqref="I53">
    <cfRule type="expression" dxfId="244" priority="7" stopIfTrue="1">
      <formula>$J$53="超过30%"</formula>
    </cfRule>
  </conditionalFormatting>
  <conditionalFormatting sqref="I54">
    <cfRule type="expression" dxfId="243" priority="6" stopIfTrue="1">
      <formula>$J$54="超过20%"</formula>
    </cfRule>
  </conditionalFormatting>
  <conditionalFormatting sqref="I55">
    <cfRule type="expression" dxfId="242" priority="5" stopIfTrue="1">
      <formula>$J$55="超过30%"</formula>
    </cfRule>
  </conditionalFormatting>
  <conditionalFormatting sqref="F49">
    <cfRule type="expression" dxfId="241" priority="4">
      <formula>$D$49="简单平均"</formula>
    </cfRule>
  </conditionalFormatting>
  <conditionalFormatting sqref="H49">
    <cfRule type="expression" dxfId="240" priority="3">
      <formula>$D$49="简单平均"</formula>
    </cfRule>
  </conditionalFormatting>
  <conditionalFormatting sqref="J49">
    <cfRule type="expression" dxfId="239" priority="2">
      <formula>$D$49="简单平均"</formula>
    </cfRule>
  </conditionalFormatting>
  <conditionalFormatting sqref="F9:F47 H9:H47 J9:J47">
    <cfRule type="cellIs" dxfId="23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500" t="e">
        <f>F63</f>
        <v>#DIV/0!</v>
      </c>
      <c r="C2" s="3209"/>
      <c r="D2" s="3209"/>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c r="A3" s="1330" t="s">
        <v>1673</v>
      </c>
      <c r="B3" s="502" t="e">
        <f>ROUND(B2*10000/'数据-汇总表'!E3,0)</f>
        <v>#DIV/0!</v>
      </c>
      <c r="C3" s="3208"/>
      <c r="D3" s="3208"/>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08"/>
      <c r="D4" s="3208"/>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3200"/>
      <c r="AC5" s="1942"/>
    </row>
    <row r="6" spans="1:29" ht="15">
      <c r="A6" s="504" t="s">
        <v>513</v>
      </c>
      <c r="B6" s="505"/>
      <c r="C6" s="3974" t="s">
        <v>514</v>
      </c>
      <c r="D6" s="3975"/>
      <c r="E6" s="4008" t="s">
        <v>515</v>
      </c>
      <c r="F6" s="4009"/>
      <c r="G6" s="3974" t="s">
        <v>516</v>
      </c>
      <c r="H6" s="3975"/>
      <c r="I6" s="3974" t="s">
        <v>517</v>
      </c>
      <c r="J6" s="3975"/>
      <c r="K6" s="506" t="s">
        <v>518</v>
      </c>
      <c r="L6" s="2013"/>
      <c r="M6" s="2014"/>
      <c r="N6" s="2014"/>
      <c r="O6" s="2014"/>
      <c r="P6" s="3976" t="s">
        <v>519</v>
      </c>
      <c r="Q6" s="3977"/>
      <c r="R6" s="3982" t="s">
        <v>515</v>
      </c>
      <c r="S6" s="3983"/>
      <c r="T6" s="3982" t="s">
        <v>516</v>
      </c>
      <c r="U6" s="3983"/>
      <c r="V6" s="3969" t="s">
        <v>517</v>
      </c>
      <c r="W6" s="3969"/>
      <c r="X6" s="1500"/>
      <c r="Y6" s="3982" t="s">
        <v>519</v>
      </c>
      <c r="Z6" s="3983"/>
      <c r="AA6" s="3971" t="s">
        <v>515</v>
      </c>
      <c r="AB6" s="3972" t="s">
        <v>516</v>
      </c>
      <c r="AC6" s="3971" t="s">
        <v>517</v>
      </c>
    </row>
    <row r="7" spans="1:29" ht="15">
      <c r="A7" s="507"/>
      <c r="B7" s="508"/>
      <c r="C7" s="3990" t="s">
        <v>2892</v>
      </c>
      <c r="D7" s="3991"/>
      <c r="E7" s="4010" t="s">
        <v>2893</v>
      </c>
      <c r="F7" s="4011"/>
      <c r="G7" s="3990" t="s">
        <v>2894</v>
      </c>
      <c r="H7" s="3991"/>
      <c r="I7" s="3990" t="s">
        <v>2895</v>
      </c>
      <c r="J7" s="3991"/>
      <c r="K7" s="506"/>
      <c r="L7" s="2013"/>
      <c r="M7" s="2014"/>
      <c r="N7" s="2014"/>
      <c r="O7" s="2014"/>
      <c r="P7" s="3978"/>
      <c r="Q7" s="3979"/>
      <c r="R7" s="3984"/>
      <c r="S7" s="3985"/>
      <c r="T7" s="3984"/>
      <c r="U7" s="3985"/>
      <c r="V7" s="3969"/>
      <c r="W7" s="3969"/>
      <c r="X7" s="1500"/>
      <c r="Y7" s="3984"/>
      <c r="Z7" s="3985"/>
      <c r="AA7" s="3972"/>
      <c r="AB7" s="3972"/>
      <c r="AC7" s="3972"/>
    </row>
    <row r="8" spans="1:29" ht="15.75" thickBot="1">
      <c r="A8" s="509"/>
      <c r="B8" s="510"/>
      <c r="C8" s="3988" t="s">
        <v>2896</v>
      </c>
      <c r="D8" s="3989"/>
      <c r="E8" s="4006" t="s">
        <v>2896</v>
      </c>
      <c r="F8" s="4007"/>
      <c r="G8" s="3988" t="s">
        <v>2896</v>
      </c>
      <c r="H8" s="3989"/>
      <c r="I8" s="3988" t="s">
        <v>2896</v>
      </c>
      <c r="J8" s="3989"/>
      <c r="K8" s="506" t="s">
        <v>520</v>
      </c>
      <c r="L8" s="2013"/>
      <c r="M8" s="2014"/>
      <c r="N8" s="2014"/>
      <c r="O8" s="2014"/>
      <c r="P8" s="3980"/>
      <c r="Q8" s="3981"/>
      <c r="R8" s="3984"/>
      <c r="S8" s="3985"/>
      <c r="T8" s="3986"/>
      <c r="U8" s="3987"/>
      <c r="V8" s="3969"/>
      <c r="W8" s="3969"/>
      <c r="X8" s="1500"/>
      <c r="Y8" s="3986"/>
      <c r="Z8" s="3987"/>
      <c r="AA8" s="3973"/>
      <c r="AB8" s="3973"/>
      <c r="AC8" s="3973"/>
    </row>
    <row r="9" spans="1:29" s="1201" customFormat="1" ht="15.75" thickBot="1">
      <c r="A9" s="2627"/>
      <c r="B9" s="2634" t="s">
        <v>521</v>
      </c>
      <c r="C9" s="511">
        <f>'数据-取费表'!B2</f>
        <v>44545</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999" t="s">
        <v>522</v>
      </c>
      <c r="Q9" s="4001"/>
      <c r="R9" s="1501" t="s">
        <v>8</v>
      </c>
      <c r="S9" s="1502">
        <f t="shared" ref="S9:S17" si="0">F9</f>
        <v>0</v>
      </c>
      <c r="T9" s="1501" t="s">
        <v>8</v>
      </c>
      <c r="U9" s="1502">
        <f t="shared" ref="U9:U17" si="1">H9</f>
        <v>0</v>
      </c>
      <c r="V9" s="1501" t="s">
        <v>8</v>
      </c>
      <c r="W9" s="1502">
        <f t="shared" ref="W9:W17" si="2">J9</f>
        <v>0</v>
      </c>
      <c r="X9" s="1503"/>
      <c r="Y9" s="3999" t="s">
        <v>522</v>
      </c>
      <c r="Z9" s="4000"/>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999" t="s">
        <v>525</v>
      </c>
      <c r="Q10" s="4000"/>
      <c r="R10" s="1501" t="s">
        <v>8</v>
      </c>
      <c r="S10" s="1502">
        <f t="shared" si="0"/>
        <v>0</v>
      </c>
      <c r="T10" s="1501" t="s">
        <v>8</v>
      </c>
      <c r="U10" s="1502">
        <f t="shared" si="1"/>
        <v>0</v>
      </c>
      <c r="V10" s="1501" t="s">
        <v>8</v>
      </c>
      <c r="W10" s="1502">
        <f t="shared" si="2"/>
        <v>0</v>
      </c>
      <c r="X10" s="1503"/>
      <c r="Y10" s="3999" t="s">
        <v>525</v>
      </c>
      <c r="Z10" s="4000"/>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968" t="s">
        <v>527</v>
      </c>
      <c r="Q11" s="1132" t="str">
        <f t="shared" ref="Q11:Q17" si="6">B11</f>
        <v>用途</v>
      </c>
      <c r="R11" s="1501" t="s">
        <v>8</v>
      </c>
      <c r="S11" s="1502">
        <f t="shared" si="0"/>
        <v>100</v>
      </c>
      <c r="T11" s="1501" t="s">
        <v>8</v>
      </c>
      <c r="U11" s="1502">
        <f t="shared" si="1"/>
        <v>100</v>
      </c>
      <c r="V11" s="1501" t="s">
        <v>8</v>
      </c>
      <c r="W11" s="1502">
        <f t="shared" si="2"/>
        <v>100</v>
      </c>
      <c r="X11" s="1503"/>
      <c r="Y11" s="3914"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968"/>
      <c r="Q12" s="1132" t="str">
        <f t="shared" si="6"/>
        <v>土地使用年限（年）</v>
      </c>
      <c r="R12" s="1501" t="s">
        <v>8</v>
      </c>
      <c r="S12" s="1502" t="e">
        <f t="shared" si="0"/>
        <v>#DIV/0!</v>
      </c>
      <c r="T12" s="1501" t="s">
        <v>8</v>
      </c>
      <c r="U12" s="1502" t="e">
        <f t="shared" si="1"/>
        <v>#DIV/0!</v>
      </c>
      <c r="V12" s="1501" t="s">
        <v>8</v>
      </c>
      <c r="W12" s="1502" t="e">
        <f t="shared" si="2"/>
        <v>#DIV/0!</v>
      </c>
      <c r="X12" s="1503"/>
      <c r="Y12" s="3914"/>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968"/>
      <c r="Q13" s="1132" t="str">
        <f t="shared" si="6"/>
        <v>容积率</v>
      </c>
      <c r="R13" s="1501" t="s">
        <v>8</v>
      </c>
      <c r="S13" s="1502" t="e">
        <f t="shared" si="0"/>
        <v>#N/A</v>
      </c>
      <c r="T13" s="1501" t="s">
        <v>8</v>
      </c>
      <c r="U13" s="1502" t="e">
        <f t="shared" si="1"/>
        <v>#N/A</v>
      </c>
      <c r="V13" s="1501" t="s">
        <v>8</v>
      </c>
      <c r="W13" s="1502" t="e">
        <f t="shared" si="2"/>
        <v>#N/A</v>
      </c>
      <c r="X13" s="1503"/>
      <c r="Y13" s="3914"/>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968"/>
      <c r="Q14" s="1132">
        <f t="shared" si="6"/>
        <v>111</v>
      </c>
      <c r="R14" s="1501" t="s">
        <v>8</v>
      </c>
      <c r="S14" s="1502">
        <f t="shared" si="0"/>
        <v>100</v>
      </c>
      <c r="T14" s="1501" t="s">
        <v>8</v>
      </c>
      <c r="U14" s="1502">
        <f t="shared" si="1"/>
        <v>100</v>
      </c>
      <c r="V14" s="1501" t="s">
        <v>8</v>
      </c>
      <c r="W14" s="1502">
        <f t="shared" si="2"/>
        <v>100</v>
      </c>
      <c r="X14" s="1503"/>
      <c r="Y14" s="3914"/>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968"/>
      <c r="Q15" s="1132">
        <f t="shared" si="6"/>
        <v>111</v>
      </c>
      <c r="R15" s="1501" t="s">
        <v>8</v>
      </c>
      <c r="S15" s="1502">
        <f t="shared" si="0"/>
        <v>100</v>
      </c>
      <c r="T15" s="1501" t="s">
        <v>8</v>
      </c>
      <c r="U15" s="1502">
        <f t="shared" si="1"/>
        <v>100</v>
      </c>
      <c r="V15" s="1501" t="s">
        <v>8</v>
      </c>
      <c r="W15" s="1502">
        <f t="shared" si="2"/>
        <v>100</v>
      </c>
      <c r="X15" s="1503"/>
      <c r="Y15" s="3914"/>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968"/>
      <c r="Q16" s="1132">
        <f t="shared" si="6"/>
        <v>111</v>
      </c>
      <c r="R16" s="1501" t="s">
        <v>8</v>
      </c>
      <c r="S16" s="1502">
        <f t="shared" si="0"/>
        <v>100</v>
      </c>
      <c r="T16" s="1501" t="s">
        <v>8</v>
      </c>
      <c r="U16" s="1502">
        <f t="shared" si="1"/>
        <v>100</v>
      </c>
      <c r="V16" s="1501" t="s">
        <v>8</v>
      </c>
      <c r="W16" s="1502">
        <f t="shared" si="2"/>
        <v>100</v>
      </c>
      <c r="X16" s="1503"/>
      <c r="Y16" s="3914"/>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4002" t="s">
        <v>532</v>
      </c>
      <c r="Q17" s="1505" t="str">
        <f t="shared" si="6"/>
        <v>产业集聚程度</v>
      </c>
      <c r="R17" s="1506" t="s">
        <v>8</v>
      </c>
      <c r="S17" s="1507">
        <f t="shared" si="0"/>
        <v>100</v>
      </c>
      <c r="T17" s="1506" t="s">
        <v>8</v>
      </c>
      <c r="U17" s="1507">
        <f t="shared" si="1"/>
        <v>100</v>
      </c>
      <c r="V17" s="1506" t="s">
        <v>8</v>
      </c>
      <c r="W17" s="1507">
        <f t="shared" si="2"/>
        <v>100</v>
      </c>
      <c r="X17" s="1500"/>
      <c r="Y17" s="4002"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4003"/>
      <c r="Q18" s="1505"/>
      <c r="R18" s="1506"/>
      <c r="S18" s="1507"/>
      <c r="T18" s="1506"/>
      <c r="U18" s="1507"/>
      <c r="V18" s="1506"/>
      <c r="W18" s="1507"/>
      <c r="X18" s="1500"/>
      <c r="Y18" s="4003"/>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4003"/>
      <c r="Q19" s="1505" t="str">
        <f>B19</f>
        <v>交通便捷度</v>
      </c>
      <c r="R19" s="1506" t="s">
        <v>8</v>
      </c>
      <c r="S19" s="1507">
        <f>F19</f>
        <v>100</v>
      </c>
      <c r="T19" s="1506" t="s">
        <v>8</v>
      </c>
      <c r="U19" s="1507">
        <f>H19</f>
        <v>100</v>
      </c>
      <c r="V19" s="1506" t="s">
        <v>8</v>
      </c>
      <c r="W19" s="1507">
        <f>J19</f>
        <v>100</v>
      </c>
      <c r="X19" s="1500"/>
      <c r="Y19" s="4003"/>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4003"/>
      <c r="Q20" s="1505"/>
      <c r="R20" s="1506"/>
      <c r="S20" s="1507"/>
      <c r="T20" s="1506"/>
      <c r="U20" s="1507"/>
      <c r="V20" s="1506"/>
      <c r="W20" s="1507"/>
      <c r="X20" s="1500"/>
      <c r="Y20" s="4003"/>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4003"/>
      <c r="Q21" s="1505" t="str">
        <f t="shared" ref="Q21:Q35" si="8">B21</f>
        <v>区域土地利用方向</v>
      </c>
      <c r="R21" s="1506" t="s">
        <v>8</v>
      </c>
      <c r="S21" s="1507">
        <f>F21</f>
        <v>100</v>
      </c>
      <c r="T21" s="1506" t="s">
        <v>8</v>
      </c>
      <c r="U21" s="1507">
        <f>H21</f>
        <v>100</v>
      </c>
      <c r="V21" s="1506" t="s">
        <v>8</v>
      </c>
      <c r="W21" s="1507">
        <f>J21</f>
        <v>100</v>
      </c>
      <c r="X21" s="1500"/>
      <c r="Y21" s="4003"/>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4003"/>
      <c r="Q22" s="1505"/>
      <c r="R22" s="1506"/>
      <c r="S22" s="1507"/>
      <c r="T22" s="1506"/>
      <c r="U22" s="1507"/>
      <c r="V22" s="1506"/>
      <c r="W22" s="1507"/>
      <c r="X22" s="1500"/>
      <c r="Y22" s="4003"/>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4003"/>
      <c r="Q23" s="1505" t="str">
        <f t="shared" si="8"/>
        <v>环境状况</v>
      </c>
      <c r="R23" s="1506" t="s">
        <v>8</v>
      </c>
      <c r="S23" s="1507">
        <f>F23</f>
        <v>100</v>
      </c>
      <c r="T23" s="1506" t="s">
        <v>8</v>
      </c>
      <c r="U23" s="1507">
        <f>H23</f>
        <v>100</v>
      </c>
      <c r="V23" s="1506" t="s">
        <v>8</v>
      </c>
      <c r="W23" s="1507">
        <f>J23</f>
        <v>100</v>
      </c>
      <c r="X23" s="1500"/>
      <c r="Y23" s="4003"/>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4003"/>
      <c r="Q24" s="1505"/>
      <c r="R24" s="1506"/>
      <c r="S24" s="1507"/>
      <c r="T24" s="1506"/>
      <c r="U24" s="1507"/>
      <c r="V24" s="1506"/>
      <c r="W24" s="1507"/>
      <c r="X24" s="1500"/>
      <c r="Y24" s="4003"/>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4003"/>
      <c r="Q25" s="1132" t="str">
        <f t="shared" si="8"/>
        <v>公共配套设施</v>
      </c>
      <c r="R25" s="1501" t="s">
        <v>8</v>
      </c>
      <c r="S25" s="1502">
        <f>F25</f>
        <v>100</v>
      </c>
      <c r="T25" s="1501" t="s">
        <v>8</v>
      </c>
      <c r="U25" s="1502">
        <f>H25</f>
        <v>100</v>
      </c>
      <c r="V25" s="1501" t="s">
        <v>8</v>
      </c>
      <c r="W25" s="1502">
        <f>J25</f>
        <v>100</v>
      </c>
      <c r="X25" s="1503"/>
      <c r="Y25" s="4003"/>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4003"/>
      <c r="Q26" s="1132"/>
      <c r="R26" s="1501"/>
      <c r="S26" s="1502"/>
      <c r="T26" s="1501"/>
      <c r="U26" s="1502"/>
      <c r="V26" s="1501"/>
      <c r="W26" s="1502"/>
      <c r="X26" s="1503"/>
      <c r="Y26" s="4003"/>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4003"/>
      <c r="Q27" s="2426" t="str">
        <f t="shared" ref="Q27" si="9">B27</f>
        <v>基础设施水平</v>
      </c>
      <c r="R27" s="1501" t="s">
        <v>8</v>
      </c>
      <c r="S27" s="1502">
        <f>F27</f>
        <v>100</v>
      </c>
      <c r="T27" s="1501" t="s">
        <v>8</v>
      </c>
      <c r="U27" s="1502">
        <f>H27</f>
        <v>100</v>
      </c>
      <c r="V27" s="1501" t="s">
        <v>8</v>
      </c>
      <c r="W27" s="1502">
        <f>J27</f>
        <v>100</v>
      </c>
      <c r="X27" s="1503"/>
      <c r="Y27" s="4003"/>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4003"/>
      <c r="Q28" s="2426"/>
      <c r="R28" s="1501"/>
      <c r="S28" s="1502"/>
      <c r="T28" s="1501"/>
      <c r="U28" s="1502"/>
      <c r="V28" s="1501"/>
      <c r="W28" s="1502"/>
      <c r="X28" s="1503"/>
      <c r="Y28" s="4003"/>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4003"/>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4003"/>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4003"/>
      <c r="Q30" s="1505" t="str">
        <f t="shared" si="8"/>
        <v>毗邻道路的类型与等级</v>
      </c>
      <c r="R30" s="1506" t="s">
        <v>8</v>
      </c>
      <c r="S30" s="1507">
        <f t="shared" si="10"/>
        <v>100</v>
      </c>
      <c r="T30" s="1506" t="s">
        <v>8</v>
      </c>
      <c r="U30" s="1507">
        <f t="shared" si="11"/>
        <v>100</v>
      </c>
      <c r="V30" s="1506" t="s">
        <v>8</v>
      </c>
      <c r="W30" s="1507">
        <f t="shared" si="12"/>
        <v>100</v>
      </c>
      <c r="X30" s="1500"/>
      <c r="Y30" s="4003"/>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4003"/>
      <c r="Q31" s="1505"/>
      <c r="R31" s="1506"/>
      <c r="S31" s="1507"/>
      <c r="T31" s="1506"/>
      <c r="U31" s="1507"/>
      <c r="V31" s="1506"/>
      <c r="W31" s="1507"/>
      <c r="X31" s="1500"/>
      <c r="Y31" s="4003"/>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4003"/>
      <c r="Q32" s="1505" t="str">
        <f t="shared" si="8"/>
        <v>土地级别</v>
      </c>
      <c r="R32" s="1506" t="s">
        <v>8</v>
      </c>
      <c r="S32" s="1507">
        <f t="shared" si="10"/>
        <v>100</v>
      </c>
      <c r="T32" s="1506" t="s">
        <v>8</v>
      </c>
      <c r="U32" s="1507">
        <f t="shared" si="11"/>
        <v>100</v>
      </c>
      <c r="V32" s="1506" t="s">
        <v>8</v>
      </c>
      <c r="W32" s="1507">
        <f t="shared" si="12"/>
        <v>100</v>
      </c>
      <c r="X32" s="1500"/>
      <c r="Y32" s="4003"/>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4003"/>
      <c r="Q33" s="1505">
        <f t="shared" si="8"/>
        <v>111</v>
      </c>
      <c r="R33" s="1506" t="s">
        <v>8</v>
      </c>
      <c r="S33" s="1507">
        <f t="shared" si="10"/>
        <v>100</v>
      </c>
      <c r="T33" s="1506" t="s">
        <v>8</v>
      </c>
      <c r="U33" s="1507">
        <f t="shared" si="11"/>
        <v>100</v>
      </c>
      <c r="V33" s="1506" t="s">
        <v>8</v>
      </c>
      <c r="W33" s="1507">
        <f t="shared" si="12"/>
        <v>100</v>
      </c>
      <c r="X33" s="1500"/>
      <c r="Y33" s="4003"/>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4004" t="s">
        <v>542</v>
      </c>
      <c r="Q34" s="1505">
        <f t="shared" si="8"/>
        <v>111</v>
      </c>
      <c r="R34" s="1506" t="s">
        <v>8</v>
      </c>
      <c r="S34" s="1507">
        <f t="shared" si="10"/>
        <v>100</v>
      </c>
      <c r="T34" s="1506" t="s">
        <v>8</v>
      </c>
      <c r="U34" s="1507">
        <f t="shared" si="11"/>
        <v>100</v>
      </c>
      <c r="V34" s="1506" t="s">
        <v>8</v>
      </c>
      <c r="W34" s="1507">
        <f t="shared" si="12"/>
        <v>100</v>
      </c>
      <c r="X34" s="1500"/>
      <c r="Y34" s="4005"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4005"/>
      <c r="Q35" s="1505">
        <f t="shared" si="8"/>
        <v>111</v>
      </c>
      <c r="R35" s="1510" t="s">
        <v>8</v>
      </c>
      <c r="S35" s="1511">
        <f t="shared" si="10"/>
        <v>100</v>
      </c>
      <c r="T35" s="1510" t="s">
        <v>8</v>
      </c>
      <c r="U35" s="1511">
        <f t="shared" si="11"/>
        <v>100</v>
      </c>
      <c r="V35" s="1510" t="s">
        <v>8</v>
      </c>
      <c r="W35" s="1511">
        <f t="shared" si="12"/>
        <v>100</v>
      </c>
      <c r="X35" s="1512"/>
      <c r="Y35" s="4005"/>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4005"/>
      <c r="Q36" s="1505" t="str">
        <f>B36</f>
        <v>宗地面积</v>
      </c>
      <c r="R36" s="1506" t="s">
        <v>8</v>
      </c>
      <c r="S36" s="1507" t="e">
        <f t="shared" si="10"/>
        <v>#N/A</v>
      </c>
      <c r="T36" s="1506" t="s">
        <v>8</v>
      </c>
      <c r="U36" s="1507" t="e">
        <f t="shared" si="11"/>
        <v>#N/A</v>
      </c>
      <c r="V36" s="1506" t="s">
        <v>8</v>
      </c>
      <c r="W36" s="1507" t="e">
        <f t="shared" si="12"/>
        <v>#N/A</v>
      </c>
      <c r="X36" s="1500"/>
      <c r="Y36" s="4005"/>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4005"/>
      <c r="Q37" s="1505" t="str">
        <f t="shared" ref="Q37:Q42" si="14">B37</f>
        <v>宗地形状</v>
      </c>
      <c r="R37" s="1506" t="s">
        <v>8</v>
      </c>
      <c r="S37" s="1507">
        <f t="shared" si="10"/>
        <v>100</v>
      </c>
      <c r="T37" s="1506" t="s">
        <v>8</v>
      </c>
      <c r="U37" s="1507">
        <f t="shared" si="11"/>
        <v>100</v>
      </c>
      <c r="V37" s="1506" t="s">
        <v>8</v>
      </c>
      <c r="W37" s="1507">
        <f t="shared" si="12"/>
        <v>100</v>
      </c>
      <c r="X37" s="1500"/>
      <c r="Y37" s="4005"/>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4005"/>
      <c r="Q38" s="1505" t="str">
        <f t="shared" si="14"/>
        <v>宗地开发程度</v>
      </c>
      <c r="R38" s="1501" t="s">
        <v>8</v>
      </c>
      <c r="S38" s="1502">
        <f t="shared" si="10"/>
        <v>100</v>
      </c>
      <c r="T38" s="1501" t="s">
        <v>8</v>
      </c>
      <c r="U38" s="1502">
        <f t="shared" si="11"/>
        <v>100</v>
      </c>
      <c r="V38" s="1501" t="s">
        <v>8</v>
      </c>
      <c r="W38" s="1502">
        <f t="shared" si="12"/>
        <v>100</v>
      </c>
      <c r="X38" s="1503"/>
      <c r="Y38" s="4005"/>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4005" t="s">
        <v>593</v>
      </c>
      <c r="Q39" s="1505" t="str">
        <f t="shared" si="14"/>
        <v>工程地质条件</v>
      </c>
      <c r="R39" s="1506" t="s">
        <v>8</v>
      </c>
      <c r="S39" s="1507">
        <f t="shared" si="10"/>
        <v>100</v>
      </c>
      <c r="T39" s="1506" t="s">
        <v>8</v>
      </c>
      <c r="U39" s="1507">
        <f t="shared" si="11"/>
        <v>100</v>
      </c>
      <c r="V39" s="1506" t="s">
        <v>8</v>
      </c>
      <c r="W39" s="1507">
        <f t="shared" si="12"/>
        <v>100</v>
      </c>
      <c r="X39" s="1500"/>
      <c r="Y39" s="4005"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4005"/>
      <c r="Q40" s="1505">
        <f t="shared" si="14"/>
        <v>111</v>
      </c>
      <c r="R40" s="1506" t="s">
        <v>8</v>
      </c>
      <c r="S40" s="1507">
        <f t="shared" si="10"/>
        <v>100</v>
      </c>
      <c r="T40" s="1506" t="s">
        <v>8</v>
      </c>
      <c r="U40" s="1507">
        <f t="shared" si="11"/>
        <v>100</v>
      </c>
      <c r="V40" s="1506" t="s">
        <v>8</v>
      </c>
      <c r="W40" s="1507">
        <f t="shared" si="12"/>
        <v>100</v>
      </c>
      <c r="X40" s="1500"/>
      <c r="Y40" s="4005"/>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4005"/>
      <c r="Q41" s="1505">
        <f t="shared" si="14"/>
        <v>111</v>
      </c>
      <c r="R41" s="1506" t="s">
        <v>8</v>
      </c>
      <c r="S41" s="1507">
        <f t="shared" si="10"/>
        <v>100</v>
      </c>
      <c r="T41" s="1506" t="s">
        <v>8</v>
      </c>
      <c r="U41" s="1507">
        <f t="shared" si="11"/>
        <v>100</v>
      </c>
      <c r="V41" s="1506" t="s">
        <v>8</v>
      </c>
      <c r="W41" s="1507">
        <f t="shared" si="12"/>
        <v>100</v>
      </c>
      <c r="X41" s="1500"/>
      <c r="Y41" s="4005"/>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4005"/>
      <c r="Q42" s="1505">
        <f t="shared" si="14"/>
        <v>111</v>
      </c>
      <c r="R42" s="1510" t="s">
        <v>8</v>
      </c>
      <c r="S42" s="1511">
        <f t="shared" si="10"/>
        <v>100</v>
      </c>
      <c r="T42" s="1510" t="s">
        <v>8</v>
      </c>
      <c r="U42" s="1511">
        <f t="shared" si="11"/>
        <v>100</v>
      </c>
      <c r="V42" s="1510" t="s">
        <v>8</v>
      </c>
      <c r="W42" s="1511">
        <f t="shared" si="12"/>
        <v>100</v>
      </c>
      <c r="X42" s="1512"/>
      <c r="Y42" s="4005"/>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968" t="str">
        <f>A43</f>
        <v>成交单价</v>
      </c>
      <c r="Q43" s="3968"/>
      <c r="R43" s="3969">
        <f>E43</f>
        <v>0</v>
      </c>
      <c r="S43" s="3969"/>
      <c r="T43" s="3969">
        <f>G43</f>
        <v>0</v>
      </c>
      <c r="U43" s="3969"/>
      <c r="V43" s="3969">
        <f>I43</f>
        <v>0</v>
      </c>
      <c r="W43" s="3969"/>
      <c r="X43" s="1495"/>
      <c r="Y43" s="1514"/>
      <c r="Z43" s="1495"/>
      <c r="AA43" s="1495"/>
      <c r="AB43" s="1495"/>
      <c r="AC43" s="1495"/>
    </row>
    <row r="44" spans="1:29" ht="15.75" thickBot="1">
      <c r="A44" s="607" t="s">
        <v>2671</v>
      </c>
      <c r="B44" s="608"/>
      <c r="C44" s="609" t="e">
        <f>R45</f>
        <v>#DIV/0!</v>
      </c>
      <c r="D44" s="3003" t="s">
        <v>2963</v>
      </c>
      <c r="E44" s="609" t="e">
        <f>R44</f>
        <v>#DIV/0!</v>
      </c>
      <c r="F44" s="3004"/>
      <c r="G44" s="610" t="e">
        <f>T44</f>
        <v>#DIV/0!</v>
      </c>
      <c r="H44" s="3004"/>
      <c r="I44" s="609" t="e">
        <f>V44</f>
        <v>#DIV/0!</v>
      </c>
      <c r="J44" s="3004"/>
      <c r="K44" s="3005">
        <f>F44+H44+J44</f>
        <v>0</v>
      </c>
      <c r="L44" s="2024"/>
      <c r="M44" s="2014"/>
      <c r="N44" s="2014"/>
      <c r="O44" s="2025"/>
      <c r="P44" s="3968" t="str">
        <f>A44</f>
        <v>比较价格（元/平方米）</v>
      </c>
      <c r="Q44" s="3968"/>
      <c r="R44" s="3970" t="e">
        <f>ROUND(PRODUCT(R43,AA9:AA42),0)</f>
        <v>#DIV/0!</v>
      </c>
      <c r="S44" s="3970"/>
      <c r="T44" s="3970" t="e">
        <f>ROUND(PRODUCT(T43,AB9:AB42),0)</f>
        <v>#DIV/0!</v>
      </c>
      <c r="U44" s="3970"/>
      <c r="V44" s="3970" t="e">
        <f>ROUND(PRODUCT(V43,AC9:AC42),0)</f>
        <v>#DIV/0!</v>
      </c>
      <c r="W44" s="3970"/>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965" t="str">
        <f>A45</f>
        <v>估价对象XX用房的比较价格（楼面单价，元/平方米）</v>
      </c>
      <c r="Q45" s="3966"/>
      <c r="R45" s="4017" t="e">
        <f>ROUND(IF(D44="简单平均",AVERAGE(R44:W44),R44*F44+T44*H44+V44*J44),0)</f>
        <v>#DIV/0!</v>
      </c>
      <c r="S45" s="4017"/>
      <c r="T45" s="4017"/>
      <c r="U45" s="4017"/>
      <c r="V45" s="4017"/>
      <c r="W45" s="4017"/>
      <c r="X45" s="1495"/>
      <c r="Y45" s="1495"/>
      <c r="Z45" s="1495"/>
      <c r="AA45" s="1495"/>
      <c r="AB45" s="1495"/>
      <c r="AC45" s="1495"/>
    </row>
    <row r="46" spans="1:29">
      <c r="A46" s="3201"/>
      <c r="B46" s="3201"/>
      <c r="C46" s="3201"/>
      <c r="D46" s="3201"/>
      <c r="E46" s="3201"/>
      <c r="F46" s="3201"/>
      <c r="G46" s="3203"/>
      <c r="H46" s="3201"/>
      <c r="I46" s="3201"/>
      <c r="J46" s="3201"/>
      <c r="K46" s="3204"/>
      <c r="L46" s="2029"/>
      <c r="M46" s="2014"/>
      <c r="N46" s="2014"/>
      <c r="O46" s="2025"/>
      <c r="P46" s="2025"/>
      <c r="Q46" s="2025"/>
      <c r="R46" s="2025"/>
      <c r="S46" s="2025"/>
      <c r="T46" s="2025"/>
      <c r="U46" s="2025"/>
      <c r="V46" s="2025"/>
      <c r="W46" s="2025"/>
      <c r="X46" s="2025"/>
      <c r="Y46" s="2025"/>
      <c r="Z46" s="2025"/>
      <c r="AA46" s="2025"/>
      <c r="AB46" s="2025"/>
      <c r="AC46" s="2025"/>
    </row>
    <row r="47" spans="1:29">
      <c r="A47" s="3201"/>
      <c r="B47" s="3201"/>
      <c r="C47" s="3201"/>
      <c r="D47" s="3201"/>
      <c r="E47" s="3201"/>
      <c r="F47" s="3201"/>
      <c r="G47" s="3201"/>
      <c r="H47" s="3201"/>
      <c r="I47" s="3201"/>
      <c r="J47" s="3201"/>
      <c r="K47" s="3204"/>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1"/>
      <c r="B48" s="320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4"/>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1"/>
      <c r="B49" s="320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4"/>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2"/>
      <c r="B50" s="320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05"/>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2"/>
      <c r="B51" s="3213"/>
      <c r="C51" s="2030"/>
      <c r="D51" s="2026"/>
      <c r="E51" s="2026"/>
      <c r="F51" s="2026"/>
      <c r="G51" s="2026"/>
      <c r="H51" s="2026"/>
      <c r="I51" s="2026"/>
      <c r="J51" s="2026"/>
      <c r="K51" s="3205"/>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4012" t="s">
        <v>2269</v>
      </c>
      <c r="H52" s="4013"/>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771700</v>
      </c>
      <c r="F53" s="1862" t="e">
        <f t="shared" ref="F53:F62" si="15">ROUND(B53*E53/10000,0)</f>
        <v>#DIV/0!</v>
      </c>
      <c r="G53" s="4014"/>
      <c r="H53" s="4015"/>
      <c r="I53" s="1865">
        <v>1</v>
      </c>
      <c r="J53" s="1493">
        <v>1</v>
      </c>
      <c r="K53" s="3206"/>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4016" t="s">
        <v>2270</v>
      </c>
      <c r="H54" s="1866" t="str">
        <f>项目基本情况!B43</f>
        <v>六级</v>
      </c>
      <c r="I54" s="1865">
        <f>SUMIF(修正!$A$45:$A$56,H54,修正!B45:B56)</f>
        <v>0.7</v>
      </c>
      <c r="J54" s="1494"/>
      <c r="K54" s="3206"/>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4016"/>
      <c r="H55" s="1867" t="str">
        <f>项目基本情况!B43</f>
        <v>六级</v>
      </c>
      <c r="I55" s="1865">
        <f>SUMIF(修正!$A$45:$A$56,H55,修正!C45:C56)</f>
        <v>0.4</v>
      </c>
      <c r="J55" s="1494"/>
      <c r="K55" s="3206"/>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4016"/>
      <c r="H56" s="1867" t="str">
        <f>项目基本情况!B43</f>
        <v>六级</v>
      </c>
      <c r="I56" s="1865">
        <f>SUMIF(修正!$A$45:$A$56,H56,修正!D45:D56)</f>
        <v>0.28000000000000003</v>
      </c>
      <c r="J56" s="1494"/>
      <c r="K56" s="3206"/>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4016"/>
      <c r="H57" s="1867" t="str">
        <f>项目基本情况!B43</f>
        <v>六级</v>
      </c>
      <c r="I57" s="1865">
        <f>SUMIF(修正!$A$45:$A$56,H57,修正!E45:E56)</f>
        <v>0.25</v>
      </c>
      <c r="J57" s="1494"/>
      <c r="K57" s="3206"/>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81070.11</v>
      </c>
      <c r="F63" s="634" t="e">
        <f>IF(B43="楼面地价",SUM(F53:F62),ROUND(C45*E63/10000,0))</f>
        <v>#DIV/0!</v>
      </c>
      <c r="G63" s="2035"/>
      <c r="H63" s="2035"/>
      <c r="I63" s="2035"/>
      <c r="J63" s="2035"/>
      <c r="K63" s="3214"/>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2021-12-1</v>
      </c>
      <c r="D65" s="2514">
        <f>EDATE(C65,-3)</f>
        <v>44440</v>
      </c>
      <c r="E65" s="2514">
        <f t="shared" ref="E65:N65" si="18">EDATE(D65,-3)</f>
        <v>44348</v>
      </c>
      <c r="F65" s="2514">
        <f t="shared" si="18"/>
        <v>44256</v>
      </c>
      <c r="G65" s="2514">
        <f t="shared" si="18"/>
        <v>44166</v>
      </c>
      <c r="H65" s="2514">
        <f t="shared" si="18"/>
        <v>44075</v>
      </c>
      <c r="I65" s="2514">
        <f t="shared" si="18"/>
        <v>43983</v>
      </c>
      <c r="J65" s="2514">
        <f t="shared" si="18"/>
        <v>43891</v>
      </c>
      <c r="K65" s="2514">
        <f t="shared" si="18"/>
        <v>43800</v>
      </c>
      <c r="L65" s="2514">
        <f t="shared" si="18"/>
        <v>43709</v>
      </c>
      <c r="M65" s="2514">
        <f t="shared" si="18"/>
        <v>43617</v>
      </c>
      <c r="N65" s="2514">
        <f t="shared" si="18"/>
        <v>43525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2021-4</v>
      </c>
      <c r="D67" s="2516" t="str">
        <f t="shared" ref="D67:N67" si="19">YEAR(D65)&amp;"-"&amp;ROUNDUP(MONTH(D65)/3,0)</f>
        <v>2021-3</v>
      </c>
      <c r="E67" s="2516" t="str">
        <f t="shared" si="19"/>
        <v>2021-2</v>
      </c>
      <c r="F67" s="2516" t="str">
        <f t="shared" si="19"/>
        <v>2021-1</v>
      </c>
      <c r="G67" s="2516" t="str">
        <f t="shared" si="19"/>
        <v>2020-4</v>
      </c>
      <c r="H67" s="2516" t="str">
        <f t="shared" si="19"/>
        <v>2020-3</v>
      </c>
      <c r="I67" s="2516" t="str">
        <f t="shared" si="19"/>
        <v>2020-2</v>
      </c>
      <c r="J67" s="2516" t="str">
        <f t="shared" si="19"/>
        <v>2020-1</v>
      </c>
      <c r="K67" s="2516" t="str">
        <f t="shared" si="19"/>
        <v>2019-4</v>
      </c>
      <c r="L67" s="2516" t="str">
        <f t="shared" si="19"/>
        <v>2019-3</v>
      </c>
      <c r="M67" s="2516" t="str">
        <f t="shared" si="19"/>
        <v>2019-2</v>
      </c>
      <c r="N67" s="2516" t="str">
        <f t="shared" si="19"/>
        <v>2019-1</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北京市平均增长率1.22%</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15"/>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15"/>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16"/>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17"/>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16"/>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17"/>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17"/>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16"/>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17"/>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18"/>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17"/>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18"/>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18"/>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18"/>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18"/>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16"/>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17"/>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16"/>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17"/>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15"/>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17"/>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15"/>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17"/>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18"/>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18"/>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18"/>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18"/>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16"/>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17"/>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16"/>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17"/>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16"/>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17"/>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16"/>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17"/>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16"/>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17"/>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18"/>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17"/>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16"/>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16"/>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17"/>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16"/>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17"/>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18"/>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18"/>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16"/>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17"/>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16"/>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17"/>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16"/>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17"/>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18"/>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18"/>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237" priority="18" stopIfTrue="1" operator="containsText" text="超过">
      <formula>NOT(ISERROR(SEARCH("超过",F48)))</formula>
    </cfRule>
  </conditionalFormatting>
  <conditionalFormatting sqref="J50">
    <cfRule type="containsText" dxfId="236" priority="17" stopIfTrue="1" operator="containsText" text="超过">
      <formula>NOT(ISERROR(SEARCH("超过",J50)))</formula>
    </cfRule>
  </conditionalFormatting>
  <conditionalFormatting sqref="H50">
    <cfRule type="containsText" dxfId="235" priority="16" stopIfTrue="1" operator="containsText" text="超过">
      <formula>NOT(ISERROR(SEARCH("超过",H50)))</formula>
    </cfRule>
  </conditionalFormatting>
  <conditionalFormatting sqref="F50">
    <cfRule type="containsText" dxfId="234" priority="15" stopIfTrue="1" operator="containsText" text="超过">
      <formula>NOT(ISERROR(SEARCH("超过",F50)))</formula>
    </cfRule>
  </conditionalFormatting>
  <conditionalFormatting sqref="F49 H49 J49">
    <cfRule type="containsText" dxfId="233" priority="14" stopIfTrue="1" operator="containsText" text="超过">
      <formula>NOT(ISERROR(SEARCH("超过",F49)))</formula>
    </cfRule>
  </conditionalFormatting>
  <conditionalFormatting sqref="E48">
    <cfRule type="expression" dxfId="232" priority="13" stopIfTrue="1">
      <formula>$F$48="超过30%"</formula>
    </cfRule>
  </conditionalFormatting>
  <conditionalFormatting sqref="G50">
    <cfRule type="expression" dxfId="231" priority="12" stopIfTrue="1">
      <formula>$H$50="超过30%"</formula>
    </cfRule>
  </conditionalFormatting>
  <conditionalFormatting sqref="E50">
    <cfRule type="expression" dxfId="230" priority="10" stopIfTrue="1">
      <formula>$F$50="超过30%"</formula>
    </cfRule>
  </conditionalFormatting>
  <conditionalFormatting sqref="G48">
    <cfRule type="expression" dxfId="229" priority="9" stopIfTrue="1">
      <formula>$H$48="超过30%"</formula>
    </cfRule>
  </conditionalFormatting>
  <conditionalFormatting sqref="G49">
    <cfRule type="expression" dxfId="228" priority="8" stopIfTrue="1">
      <formula>$H$49="超过20%"</formula>
    </cfRule>
  </conditionalFormatting>
  <conditionalFormatting sqref="I48">
    <cfRule type="expression" dxfId="227" priority="7" stopIfTrue="1">
      <formula>$J$48="超过30%"</formula>
    </cfRule>
  </conditionalFormatting>
  <conditionalFormatting sqref="I49">
    <cfRule type="expression" dxfId="226" priority="6" stopIfTrue="1">
      <formula>$J$49="超过20%"</formula>
    </cfRule>
  </conditionalFormatting>
  <conditionalFormatting sqref="I50">
    <cfRule type="expression" dxfId="225" priority="5" stopIfTrue="1">
      <formula>$J$50="超过30%"</formula>
    </cfRule>
  </conditionalFormatting>
  <conditionalFormatting sqref="E49">
    <cfRule type="expression" dxfId="224" priority="51" stopIfTrue="1">
      <formula>#REF!+$F$49="超过20%"</formula>
    </cfRule>
  </conditionalFormatting>
  <conditionalFormatting sqref="F44">
    <cfRule type="expression" dxfId="223" priority="4">
      <formula>$D$44="简单平均"</formula>
    </cfRule>
  </conditionalFormatting>
  <conditionalFormatting sqref="H44">
    <cfRule type="expression" dxfId="222" priority="3">
      <formula>$D$44="简单平均"</formula>
    </cfRule>
  </conditionalFormatting>
  <conditionalFormatting sqref="J44">
    <cfRule type="expression" dxfId="221" priority="2">
      <formula>$D$44="简单平均"</formula>
    </cfRule>
  </conditionalFormatting>
  <conditionalFormatting sqref="F9:F42 H9:H42 J9:J42">
    <cfRule type="cellIs" dxfId="22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33419</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3059</v>
      </c>
      <c r="F3" s="1360" t="s">
        <v>3060</v>
      </c>
      <c r="G3" s="1024">
        <f>IF(F3="宗地容积率",'数据-汇总表'!I4,IF(F3="估价对象容积率",'数据-汇总表'!I6,'数据-汇总表'!I7))</f>
        <v>5.79</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23989</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19353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10080</v>
      </c>
      <c r="D5" s="2791">
        <f>ROUND(C6+C16,0)</f>
        <v>10080</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15528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10080</v>
      </c>
      <c r="D6" s="1370" t="s">
        <v>1683</v>
      </c>
      <c r="E6" s="1371"/>
      <c r="F6" s="1371"/>
      <c r="G6" s="1372"/>
      <c r="H6" s="1372"/>
      <c r="I6" s="1372"/>
      <c r="J6" s="1373"/>
      <c r="K6" s="3222"/>
      <c r="L6" s="1797" t="s">
        <v>2229</v>
      </c>
      <c r="M6" s="1798">
        <f>SUMPRODUCT((区片价!B110:B157=I2)*(区片价!C3:F3=E2)*(区片价!C110:F157))</f>
        <v>10080</v>
      </c>
      <c r="N6" s="1799">
        <f>SUMPRODUCT((因素修正幅度!B110:B157=I2)*(因素修正幅度!C3:F3=E2)*(因素修正幅度!C110:F157))</f>
        <v>0.125</v>
      </c>
      <c r="O6" s="3222"/>
      <c r="P6" s="3225"/>
      <c r="Q6" s="2068"/>
      <c r="R6" s="2652">
        <v>5</v>
      </c>
      <c r="S6" s="2652">
        <f>ROUND(IF(G3&gt;1,IF(R6&lt;7,SUMPRODUCT((B93:B98=R6)*(C92:N92=G2)*(C93:N98)),SUMIF(C92:N92,G2,C100:N100)),IF(R6&lt;7,SUMPRODUCT((B102:B107=R6)*(C92:N92=G2)*(C102:N107)),SUMIF(C92:N92,G2,C109:N109))),4)</f>
        <v>0.73709999999999998</v>
      </c>
      <c r="T6" s="2652">
        <f t="shared" ca="1" si="0"/>
        <v>13223</v>
      </c>
      <c r="U6" s="2641"/>
      <c r="V6" s="2652">
        <f t="shared" ca="1" si="1"/>
        <v>0</v>
      </c>
      <c r="W6" s="2068"/>
      <c r="X6" s="2068"/>
      <c r="Y6" s="2068"/>
      <c r="Z6" s="2068"/>
      <c r="AA6" s="2068"/>
      <c r="AB6" s="2068"/>
      <c r="AC6" s="2070"/>
      <c r="AD6" s="1366"/>
      <c r="AE6" s="1366"/>
      <c r="AF6" s="1366"/>
      <c r="AG6" s="1366"/>
      <c r="AH6" s="1366"/>
      <c r="AI6" s="1366"/>
      <c r="AJ6" s="1367"/>
    </row>
    <row r="7" spans="1:39" ht="24">
      <c r="A7" s="4032"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11628</v>
      </c>
      <c r="U7" s="2641"/>
      <c r="V7" s="2652">
        <f t="shared" ca="1" si="1"/>
        <v>0</v>
      </c>
      <c r="W7" s="2650" t="s">
        <v>2742</v>
      </c>
      <c r="X7" s="2642" t="str">
        <f>G2</f>
        <v>六级</v>
      </c>
      <c r="Y7" s="2642" t="s">
        <v>2743</v>
      </c>
      <c r="Z7" s="2643">
        <f>G3</f>
        <v>5.79</v>
      </c>
      <c r="AA7" s="2071"/>
      <c r="AB7" s="2071"/>
      <c r="AC7" s="2072"/>
      <c r="AD7" s="2644"/>
      <c r="AE7" s="2644"/>
      <c r="AF7" s="2644"/>
      <c r="AG7" s="2644"/>
      <c r="AH7" s="2644"/>
      <c r="AI7" s="2644"/>
      <c r="AJ7" s="2645"/>
    </row>
    <row r="8" spans="1:39" ht="15">
      <c r="A8" s="4033"/>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19" t="s">
        <v>2760</v>
      </c>
      <c r="X8" s="402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3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1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3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1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3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18" t="s">
        <v>2758</v>
      </c>
      <c r="X11" s="1033" t="s">
        <v>2743</v>
      </c>
      <c r="Y11" s="1580">
        <f>$G$3</f>
        <v>5.79</v>
      </c>
      <c r="Z11" s="1580">
        <f t="shared" ref="Z11:AJ11" si="3">$G$3</f>
        <v>5.79</v>
      </c>
      <c r="AA11" s="1580">
        <f t="shared" si="3"/>
        <v>5.79</v>
      </c>
      <c r="AB11" s="1580">
        <f t="shared" si="3"/>
        <v>5.79</v>
      </c>
      <c r="AC11" s="1580">
        <f t="shared" si="3"/>
        <v>5.79</v>
      </c>
      <c r="AD11" s="1580">
        <f t="shared" si="3"/>
        <v>5.79</v>
      </c>
      <c r="AE11" s="1580">
        <f t="shared" si="3"/>
        <v>5.79</v>
      </c>
      <c r="AF11" s="1580">
        <f t="shared" si="3"/>
        <v>5.79</v>
      </c>
      <c r="AG11" s="1580">
        <f t="shared" si="3"/>
        <v>5.79</v>
      </c>
      <c r="AH11" s="1580">
        <f t="shared" si="3"/>
        <v>5.79</v>
      </c>
      <c r="AI11" s="1580">
        <f t="shared" si="3"/>
        <v>5.79</v>
      </c>
      <c r="AJ11" s="1580">
        <f t="shared" si="3"/>
        <v>5.79</v>
      </c>
    </row>
    <row r="12" spans="1:39" ht="25.5" thickBot="1">
      <c r="A12" s="403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1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3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18"/>
      <c r="X13" s="2649"/>
      <c r="Y13" s="2648">
        <f>(-0.163*(Y12^2)-0.59*Y12+7617)*(10^(-4))/Y11</f>
        <v>0.13155440414507771</v>
      </c>
      <c r="Z13" s="2648">
        <f t="shared" ref="Z13:AJ13" si="5">(-0.163*(Z12^2)-0.59*Z12+7617)*(10^(-4))/Z11</f>
        <v>0.13155440414507771</v>
      </c>
      <c r="AA13" s="2648">
        <f t="shared" si="5"/>
        <v>0.13155440414507771</v>
      </c>
      <c r="AB13" s="2648">
        <f t="shared" si="5"/>
        <v>0.13155440414507771</v>
      </c>
      <c r="AC13" s="2648">
        <f t="shared" si="5"/>
        <v>0.13155440414507771</v>
      </c>
      <c r="AD13" s="2648">
        <f t="shared" si="5"/>
        <v>0.13155440414507771</v>
      </c>
      <c r="AE13" s="2648">
        <f t="shared" si="5"/>
        <v>0.13155440414507771</v>
      </c>
      <c r="AF13" s="2648">
        <f t="shared" si="5"/>
        <v>0.13155440414507771</v>
      </c>
      <c r="AG13" s="2648">
        <f t="shared" si="5"/>
        <v>0.13155440414507771</v>
      </c>
      <c r="AH13" s="2648">
        <f t="shared" si="5"/>
        <v>0.13155440414507771</v>
      </c>
      <c r="AI13" s="2648">
        <f t="shared" si="5"/>
        <v>0.13155440414507771</v>
      </c>
      <c r="AJ13" s="2648">
        <f t="shared" si="5"/>
        <v>0.13155440414507771</v>
      </c>
    </row>
    <row r="14" spans="1:39" ht="12.75" customHeight="1">
      <c r="A14" s="403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3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32" t="s">
        <v>1826</v>
      </c>
      <c r="B16" s="1374" t="s">
        <v>939</v>
      </c>
      <c r="C16" s="1037">
        <f>ROUND(IF(F17="与级别开发程度一致",0,(G17-E17)/C17),0)</f>
        <v>0</v>
      </c>
      <c r="D16" s="4026" t="s">
        <v>943</v>
      </c>
      <c r="E16" s="4027"/>
      <c r="F16" s="4026" t="s">
        <v>940</v>
      </c>
      <c r="G16" s="4027"/>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3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3061</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ROUND(IF(H19="按公示增长率计算",SUMPRODUCT((地价!A3:A36=YEAR(G19)&amp;"-"&amp;ROUNDUP(MONTH(G19)/3,0))*(地价!X2:AB2=E2)*(地价!X3:AB36)),IF(H19="地价指数",M20/M19,(1+I19)^O19)),4)</f>
        <v>1.7797000000000001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423</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ROUND(SUMPRODUCT((地价!A4:A36=YEAR(G19)&amp;"-"&amp;ROUNDUP(MONTH(G19)/3,0))*(地价!B2:F2=E2)*(地价!B4:F36)),0)</f>
        <v>729</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0.83620000000000005</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0.83620000000000005</v>
      </c>
      <c r="E22" s="1024">
        <f>ROUNDDOWN(G3,1)</f>
        <v>5.7</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0.83789999999999998</v>
      </c>
      <c r="G22" s="1024">
        <f>ROUNDUP(G3,1)</f>
        <v>5.8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0.83599999999999997</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15001</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3750</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28"/>
      <c r="B33" s="1462" t="s">
        <v>988</v>
      </c>
      <c r="C33" s="1044">
        <f ca="1">ROUND(D5*C19*C20*C24*F33,0)</f>
        <v>12558</v>
      </c>
      <c r="D33" s="1475"/>
      <c r="E33" s="1033">
        <f ca="1">ROUND(C33*D33/10000,0)</f>
        <v>0</v>
      </c>
      <c r="F33" s="1033">
        <f>SUMIF(修正!A45:A56,G2,修正!B45:B56)</f>
        <v>0.7</v>
      </c>
      <c r="G33" s="1033">
        <f t="shared" ref="G33" ca="1" si="6">ROUND(IF(E2="工业",C33*$M$39,C33*$M$38),0)</f>
        <v>3140</v>
      </c>
      <c r="H33" s="1033">
        <f>D33</f>
        <v>0</v>
      </c>
      <c r="I33" s="1033">
        <f ca="1">ROUND(G33*H33/10000,0)</f>
        <v>0</v>
      </c>
      <c r="J33" s="402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29"/>
      <c r="B34" s="1392" t="s">
        <v>989</v>
      </c>
      <c r="C34" s="1044">
        <f ca="1">ROUND(D5*C19*C20*C24*F34,0)</f>
        <v>7176</v>
      </c>
      <c r="D34" s="1475"/>
      <c r="E34" s="1033">
        <f t="shared" ref="E34:E39" ca="1" si="7">ROUND(C34*D34/10000,0)</f>
        <v>0</v>
      </c>
      <c r="F34" s="1033">
        <f>SUMIF(修正!A45:A56,G2,修正!C45:C56)</f>
        <v>0.4</v>
      </c>
      <c r="G34" s="1033">
        <f ca="1">ROUND(IF(E2="工业",C34*$M$39,C34*$M$38),0)</f>
        <v>1794</v>
      </c>
      <c r="H34" s="1033">
        <f t="shared" ref="H34:H39" si="8">D34</f>
        <v>0</v>
      </c>
      <c r="I34" s="1033">
        <f t="shared" ref="I34:I39" ca="1" si="9">ROUND(G34*H34/10000,0)</f>
        <v>0</v>
      </c>
      <c r="J34" s="402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29"/>
      <c r="B35" s="1392" t="s">
        <v>990</v>
      </c>
      <c r="C35" s="1044">
        <f ca="1">ROUND(D5*C19*C20*C24*F35,0)</f>
        <v>5023</v>
      </c>
      <c r="D35" s="1475"/>
      <c r="E35" s="1033">
        <f t="shared" ca="1" si="7"/>
        <v>0</v>
      </c>
      <c r="F35" s="1033">
        <f>SUMIF(修正!A45:A56,G2,修正!D45:D56)</f>
        <v>0.28000000000000003</v>
      </c>
      <c r="G35" s="1033">
        <f ca="1">ROUND(IF(E2="工业",C35*$M$39,C35*$M$38),0)</f>
        <v>1256</v>
      </c>
      <c r="H35" s="1033">
        <f t="shared" si="8"/>
        <v>0</v>
      </c>
      <c r="I35" s="1033">
        <f t="shared" ca="1" si="9"/>
        <v>0</v>
      </c>
      <c r="J35" s="402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0"/>
      <c r="B36" s="1392" t="s">
        <v>991</v>
      </c>
      <c r="C36" s="1044">
        <f ca="1">ROUND(D5*C19*C20*C24*F36,0)</f>
        <v>4485</v>
      </c>
      <c r="D36" s="1475"/>
      <c r="E36" s="1033">
        <f t="shared" ca="1" si="7"/>
        <v>0</v>
      </c>
      <c r="F36" s="1033">
        <f>SUMIF(修正!A45:A56,G2,修正!E45:E56)</f>
        <v>0.25</v>
      </c>
      <c r="G36" s="1033">
        <f ca="1">ROUND(IF(E2="工业",C36*$M$39,C36*$M$38),0)</f>
        <v>1121</v>
      </c>
      <c r="H36" s="1033">
        <f t="shared" si="8"/>
        <v>0</v>
      </c>
      <c r="I36" s="1033">
        <f t="shared" ca="1" si="9"/>
        <v>0</v>
      </c>
      <c r="J36" s="403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4485</v>
      </c>
      <c r="D37" s="1475"/>
      <c r="E37" s="1033">
        <f t="shared" ca="1" si="7"/>
        <v>0</v>
      </c>
      <c r="F37" s="1044">
        <f>SUMIF(修正!A45:A56,G2,修正!F45:F56)</f>
        <v>0.25</v>
      </c>
      <c r="G37" s="1033">
        <f ca="1">ROUND(IF(E2="工业",C37*$M$39,C37*$M$38),0)</f>
        <v>1121</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0.125</v>
      </c>
      <c r="G69" s="2271">
        <f>H69</f>
        <v>8.6999999999999994E-3</v>
      </c>
      <c r="H69" s="2314">
        <f t="shared" ref="H69:H77" si="21">IFERROR(ROUNDDOWN($F$69*I69/2,4),"——")</f>
        <v>8.6999999999999994E-3</v>
      </c>
      <c r="I69" s="2288">
        <v>0.14000000000000001</v>
      </c>
      <c r="J69" s="2291">
        <f t="shared" ref="J69:J77" si="22">K69+$G69</f>
        <v>1.7399999999999999E-2</v>
      </c>
      <c r="K69" s="2291">
        <f t="shared" ref="K69:K77" si="23">$L69+$G69</f>
        <v>8.6999999999999994E-3</v>
      </c>
      <c r="L69" s="2291">
        <v>0</v>
      </c>
      <c r="M69" s="2291">
        <f t="shared" ref="M69:N77" si="24">L69-$G69</f>
        <v>-8.6999999999999994E-3</v>
      </c>
      <c r="N69" s="2291">
        <f t="shared" si="24"/>
        <v>-1.7399999999999999E-2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1.8700000000000001E-2</v>
      </c>
      <c r="H70" s="2314">
        <f t="shared" si="21"/>
        <v>1.8700000000000001E-2</v>
      </c>
      <c r="I70" s="2288">
        <v>0.3</v>
      </c>
      <c r="J70" s="2291">
        <f t="shared" si="22"/>
        <v>3.7400000000000003E-2</v>
      </c>
      <c r="K70" s="2291">
        <f t="shared" si="23"/>
        <v>1.8700000000000001E-2</v>
      </c>
      <c r="L70" s="2291">
        <v>0</v>
      </c>
      <c r="M70" s="2291">
        <f t="shared" si="24"/>
        <v>-1.8700000000000001E-2</v>
      </c>
      <c r="N70" s="2291">
        <f t="shared" si="24"/>
        <v>-3.7400000000000003E-2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5.0000000000000001E-3</v>
      </c>
      <c r="H71" s="2314">
        <f t="shared" si="21"/>
        <v>5.0000000000000001E-3</v>
      </c>
      <c r="I71" s="2288">
        <v>0.08</v>
      </c>
      <c r="J71" s="2291">
        <f t="shared" si="22"/>
        <v>0.01</v>
      </c>
      <c r="K71" s="2291">
        <f t="shared" si="23"/>
        <v>5.0000000000000001E-3</v>
      </c>
      <c r="L71" s="2291">
        <v>0</v>
      </c>
      <c r="M71" s="2291">
        <f t="shared" si="24"/>
        <v>-5.0000000000000001E-3</v>
      </c>
      <c r="N71" s="2291">
        <f t="shared" si="24"/>
        <v>-0.01</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2.5000000000000001E-3</v>
      </c>
      <c r="H72" s="2314">
        <f t="shared" si="21"/>
        <v>2.5000000000000001E-3</v>
      </c>
      <c r="I72" s="2288">
        <v>0.04</v>
      </c>
      <c r="J72" s="2291">
        <f t="shared" si="22"/>
        <v>5.0000000000000001E-3</v>
      </c>
      <c r="K72" s="2291">
        <f t="shared" si="23"/>
        <v>2.5000000000000001E-3</v>
      </c>
      <c r="L72" s="2291">
        <v>0</v>
      </c>
      <c r="M72" s="2291">
        <f t="shared" si="24"/>
        <v>-2.5000000000000001E-3</v>
      </c>
      <c r="N72" s="2291">
        <f t="shared" si="24"/>
        <v>-5.0000000000000001E-3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5.0000000000000001E-3</v>
      </c>
      <c r="H73" s="2314">
        <f t="shared" si="21"/>
        <v>5.0000000000000001E-3</v>
      </c>
      <c r="I73" s="2288">
        <v>0.08</v>
      </c>
      <c r="J73" s="2291">
        <f t="shared" si="22"/>
        <v>0.01</v>
      </c>
      <c r="K73" s="2291">
        <f t="shared" si="23"/>
        <v>5.0000000000000001E-3</v>
      </c>
      <c r="L73" s="2291">
        <v>0</v>
      </c>
      <c r="M73" s="2291">
        <f t="shared" si="24"/>
        <v>-5.0000000000000001E-3</v>
      </c>
      <c r="N73" s="2291">
        <f t="shared" si="24"/>
        <v>-0.01</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7.4999999999999997E-3</v>
      </c>
      <c r="H74" s="2314">
        <f t="shared" si="21"/>
        <v>7.4999999999999997E-3</v>
      </c>
      <c r="I74" s="2288">
        <v>0.12</v>
      </c>
      <c r="J74" s="2291">
        <f t="shared" si="22"/>
        <v>1.4999999999999999E-2</v>
      </c>
      <c r="K74" s="2291">
        <f t="shared" si="23"/>
        <v>7.4999999999999997E-3</v>
      </c>
      <c r="L74" s="2291">
        <v>0</v>
      </c>
      <c r="M74" s="2291">
        <f t="shared" si="24"/>
        <v>-7.4999999999999997E-3</v>
      </c>
      <c r="N74" s="2291">
        <f t="shared" si="24"/>
        <v>-1.4999999999999999E-2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3.0999999999999999E-3</v>
      </c>
      <c r="H75" s="2314">
        <f t="shared" si="21"/>
        <v>3.0999999999999999E-3</v>
      </c>
      <c r="I75" s="2288">
        <v>0.05</v>
      </c>
      <c r="J75" s="2291">
        <f t="shared" si="22"/>
        <v>6.1999999999999998E-3</v>
      </c>
      <c r="K75" s="2291">
        <f t="shared" si="23"/>
        <v>3.0999999999999999E-3</v>
      </c>
      <c r="L75" s="2291">
        <v>0</v>
      </c>
      <c r="M75" s="2291">
        <f t="shared" si="24"/>
        <v>-3.0999999999999999E-3</v>
      </c>
      <c r="N75" s="2291">
        <f t="shared" si="24"/>
        <v>-6.1999999999999998E-3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9.2999999999999992E-3</v>
      </c>
      <c r="H76" s="2314">
        <f t="shared" si="21"/>
        <v>9.2999999999999992E-3</v>
      </c>
      <c r="I76" s="2288">
        <v>0.15</v>
      </c>
      <c r="J76" s="2291">
        <f t="shared" si="22"/>
        <v>1.8599999999999998E-2</v>
      </c>
      <c r="K76" s="2291">
        <f t="shared" si="23"/>
        <v>9.2999999999999992E-3</v>
      </c>
      <c r="L76" s="2291">
        <v>0</v>
      </c>
      <c r="M76" s="2291">
        <f t="shared" si="24"/>
        <v>-9.2999999999999992E-3</v>
      </c>
      <c r="N76" s="2291">
        <f t="shared" si="24"/>
        <v>-1.8599999999999998E-2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2.5000000000000001E-3</v>
      </c>
      <c r="H77" s="2314">
        <f t="shared" si="21"/>
        <v>2.5000000000000001E-3</v>
      </c>
      <c r="I77" s="2295">
        <v>0.04</v>
      </c>
      <c r="J77" s="2291">
        <f t="shared" si="22"/>
        <v>5.0000000000000001E-3</v>
      </c>
      <c r="K77" s="2291">
        <f t="shared" si="23"/>
        <v>2.5000000000000001E-3</v>
      </c>
      <c r="L77" s="2291">
        <v>0</v>
      </c>
      <c r="M77" s="2291">
        <f t="shared" si="24"/>
        <v>-2.5000000000000001E-3</v>
      </c>
      <c r="N77" s="2291">
        <f t="shared" si="24"/>
        <v>-5.0000000000000001E-3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37" t="s">
        <v>1622</v>
      </c>
      <c r="B90" s="4037"/>
      <c r="C90" s="4037"/>
      <c r="D90" s="4037"/>
      <c r="E90" s="4037"/>
      <c r="F90" s="4037"/>
      <c r="G90" s="4037"/>
      <c r="H90" s="4037"/>
      <c r="I90" s="4037"/>
      <c r="J90" s="4037"/>
      <c r="K90" s="2303"/>
      <c r="L90" s="2303"/>
      <c r="M90" s="2303"/>
      <c r="N90" s="2303"/>
    </row>
    <row r="91" spans="1:40">
      <c r="A91" s="4038" t="s">
        <v>1432</v>
      </c>
      <c r="B91" s="4038" t="s">
        <v>1623</v>
      </c>
      <c r="C91" s="1121" t="s">
        <v>1624</v>
      </c>
      <c r="D91" s="1122"/>
      <c r="E91" s="1122"/>
      <c r="F91" s="1122"/>
      <c r="G91" s="1122"/>
      <c r="H91" s="1122"/>
      <c r="I91" s="1122"/>
      <c r="J91" s="1123"/>
      <c r="K91" s="1115"/>
      <c r="L91" s="1115"/>
      <c r="M91" s="1115"/>
      <c r="N91" s="1115"/>
    </row>
    <row r="92" spans="1:40">
      <c r="A92" s="4038"/>
      <c r="B92" s="4038"/>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402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2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2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2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2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2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2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2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1" t="s">
        <v>1626</v>
      </c>
      <c r="B101" s="1128" t="s">
        <v>895</v>
      </c>
      <c r="C101" s="1129">
        <f>$G$3</f>
        <v>5.79</v>
      </c>
      <c r="D101" s="1129">
        <f t="shared" ref="D101:N101" si="32">$G$3</f>
        <v>5.79</v>
      </c>
      <c r="E101" s="1129">
        <f t="shared" si="32"/>
        <v>5.79</v>
      </c>
      <c r="F101" s="1129">
        <f t="shared" si="32"/>
        <v>5.79</v>
      </c>
      <c r="G101" s="1129">
        <f t="shared" si="32"/>
        <v>5.79</v>
      </c>
      <c r="H101" s="1129">
        <f t="shared" si="32"/>
        <v>5.79</v>
      </c>
      <c r="I101" s="1129">
        <f t="shared" si="32"/>
        <v>5.79</v>
      </c>
      <c r="J101" s="1129">
        <f t="shared" si="32"/>
        <v>5.79</v>
      </c>
      <c r="K101" s="1129">
        <f t="shared" si="32"/>
        <v>5.79</v>
      </c>
      <c r="L101" s="1129">
        <f t="shared" si="32"/>
        <v>5.79</v>
      </c>
      <c r="M101" s="1129">
        <f t="shared" si="32"/>
        <v>5.79</v>
      </c>
      <c r="N101" s="1129">
        <f t="shared" si="32"/>
        <v>5.79</v>
      </c>
    </row>
    <row r="102" spans="1:14">
      <c r="A102" s="4022"/>
      <c r="B102" s="1124">
        <v>1</v>
      </c>
      <c r="C102" s="1125">
        <f>1.9362/C101</f>
        <v>0.33440414507772021</v>
      </c>
      <c r="D102" s="1125">
        <f>1.9362/D101</f>
        <v>0.33440414507772021</v>
      </c>
      <c r="E102" s="1125">
        <f>1.8629/E101</f>
        <v>0.32174438687392054</v>
      </c>
      <c r="F102" s="1125">
        <f>1.8629/F101</f>
        <v>0.32174438687392054</v>
      </c>
      <c r="G102" s="1125">
        <f>1.8629/G101</f>
        <v>0.32174438687392054</v>
      </c>
      <c r="H102" s="1125">
        <f>1.8629/H101</f>
        <v>0.32174438687392054</v>
      </c>
      <c r="I102" s="1125">
        <f>1.8629/I101</f>
        <v>0.32174438687392054</v>
      </c>
      <c r="J102" s="1125">
        <f>1.942/J101</f>
        <v>0.33540587219343693</v>
      </c>
      <c r="K102" s="1125">
        <f>1.942/K101</f>
        <v>0.33540587219343693</v>
      </c>
      <c r="L102" s="1125">
        <f>1.942/L101</f>
        <v>0.33540587219343693</v>
      </c>
      <c r="M102" s="1125">
        <f>1.942/M101</f>
        <v>0.33540587219343693</v>
      </c>
      <c r="N102" s="1125">
        <f>1.942/N101</f>
        <v>0.33540587219343693</v>
      </c>
    </row>
    <row r="103" spans="1:14">
      <c r="A103" s="4022"/>
      <c r="B103" s="1124">
        <v>2</v>
      </c>
      <c r="C103" s="1125">
        <f>1.4198/C101</f>
        <v>0.24521588946459411</v>
      </c>
      <c r="D103" s="1125">
        <f>1.4198/D101</f>
        <v>0.24521588946459411</v>
      </c>
      <c r="E103" s="1125">
        <f>1.3372/E101</f>
        <v>0.23094991364421416</v>
      </c>
      <c r="F103" s="1125">
        <f>1.3372/F101</f>
        <v>0.23094991364421416</v>
      </c>
      <c r="G103" s="1125">
        <f>1.3372/G101</f>
        <v>0.23094991364421416</v>
      </c>
      <c r="H103" s="1125">
        <f>1.3372/H101</f>
        <v>0.23094991364421416</v>
      </c>
      <c r="I103" s="1125">
        <f>1.3372/I101</f>
        <v>0.23094991364421416</v>
      </c>
      <c r="J103" s="1125">
        <f>1.2799/J101</f>
        <v>0.22105354058721935</v>
      </c>
      <c r="K103" s="1125">
        <f>1.2799/K101</f>
        <v>0.22105354058721935</v>
      </c>
      <c r="L103" s="1125">
        <f>1.2799/L101</f>
        <v>0.22105354058721935</v>
      </c>
      <c r="M103" s="1125">
        <f>1.2799/M101</f>
        <v>0.22105354058721935</v>
      </c>
      <c r="N103" s="1125">
        <f>1.2799/N101</f>
        <v>0.22105354058721935</v>
      </c>
    </row>
    <row r="104" spans="1:14">
      <c r="A104" s="4022"/>
      <c r="B104" s="1124">
        <v>3</v>
      </c>
      <c r="C104" s="1125">
        <f>1.1594/C101</f>
        <v>0.20024179620034541</v>
      </c>
      <c r="D104" s="1125">
        <f>1.1594/D101</f>
        <v>0.20024179620034541</v>
      </c>
      <c r="E104" s="1125">
        <f>1.0788/E101</f>
        <v>0.18632124352331605</v>
      </c>
      <c r="F104" s="1125">
        <f>1.0788/F101</f>
        <v>0.18632124352331605</v>
      </c>
      <c r="G104" s="1125">
        <f>1.0788/G101</f>
        <v>0.18632124352331605</v>
      </c>
      <c r="H104" s="1125">
        <f>1.0788/H101</f>
        <v>0.18632124352331605</v>
      </c>
      <c r="I104" s="1125">
        <f>1.0788/I101</f>
        <v>0.18632124352331605</v>
      </c>
      <c r="J104" s="1125">
        <f>1.0072/J101</f>
        <v>0.17395509499136444</v>
      </c>
      <c r="K104" s="1125">
        <f>1.0072/K101</f>
        <v>0.17395509499136444</v>
      </c>
      <c r="L104" s="1125">
        <f>1.0072/L101</f>
        <v>0.17395509499136444</v>
      </c>
      <c r="M104" s="1125">
        <f>1.0072/M101</f>
        <v>0.17395509499136444</v>
      </c>
      <c r="N104" s="1125">
        <f>1.0072/N101</f>
        <v>0.17395509499136444</v>
      </c>
    </row>
    <row r="105" spans="1:14">
      <c r="A105" s="4022"/>
      <c r="B105" s="1124">
        <v>4</v>
      </c>
      <c r="C105" s="1125">
        <f>0.9622/C101</f>
        <v>0.16618307426597584</v>
      </c>
      <c r="D105" s="1125">
        <f>0.9622/D101</f>
        <v>0.16618307426597584</v>
      </c>
      <c r="E105" s="1125">
        <f>0.8656/E101</f>
        <v>0.14949913644214163</v>
      </c>
      <c r="F105" s="1125">
        <f>0.8656/F101</f>
        <v>0.14949913644214163</v>
      </c>
      <c r="G105" s="1125">
        <f>0.8656/G101</f>
        <v>0.14949913644214163</v>
      </c>
      <c r="H105" s="1125">
        <f>0.8656/H101</f>
        <v>0.14949913644214163</v>
      </c>
      <c r="I105" s="1125">
        <f>0.8656/I101</f>
        <v>0.14949913644214163</v>
      </c>
      <c r="J105" s="1125">
        <f>0.7525/J101</f>
        <v>0.12996545768566492</v>
      </c>
      <c r="K105" s="1125">
        <f>0.7525/K101</f>
        <v>0.12996545768566492</v>
      </c>
      <c r="L105" s="1125">
        <f>0.7525/L101</f>
        <v>0.12996545768566492</v>
      </c>
      <c r="M105" s="1125">
        <f>0.7525/M101</f>
        <v>0.12996545768566492</v>
      </c>
      <c r="N105" s="1125">
        <f>0.7525/N101</f>
        <v>0.12996545768566492</v>
      </c>
    </row>
    <row r="106" spans="1:14">
      <c r="A106" s="4022"/>
      <c r="B106" s="1124">
        <v>5</v>
      </c>
      <c r="C106" s="1125">
        <f>0.8417/C101</f>
        <v>0.1453713298791019</v>
      </c>
      <c r="D106" s="1125">
        <f>0.8417/D101</f>
        <v>0.1453713298791019</v>
      </c>
      <c r="E106" s="1125">
        <f>0.7371/E101</f>
        <v>0.12730569948186529</v>
      </c>
      <c r="F106" s="1125">
        <f>0.7371/F101</f>
        <v>0.12730569948186529</v>
      </c>
      <c r="G106" s="1125">
        <f>0.7371/G101</f>
        <v>0.12730569948186529</v>
      </c>
      <c r="H106" s="1125">
        <f>0.7371/H101</f>
        <v>0.12730569948186529</v>
      </c>
      <c r="I106" s="1125">
        <f>0.7371/I101</f>
        <v>0.12730569948186529</v>
      </c>
      <c r="J106" s="1125">
        <f>0.5659/J101</f>
        <v>9.7737478411053527E-2</v>
      </c>
      <c r="K106" s="1125">
        <f>0.5659/K101</f>
        <v>9.7737478411053527E-2</v>
      </c>
      <c r="L106" s="1125">
        <f>0.5659/L101</f>
        <v>9.7737478411053527E-2</v>
      </c>
      <c r="M106" s="1125">
        <f>0.5659/M101</f>
        <v>9.7737478411053527E-2</v>
      </c>
      <c r="N106" s="1125">
        <f>0.5659/N101</f>
        <v>9.7737478411053527E-2</v>
      </c>
    </row>
    <row r="107" spans="1:14">
      <c r="A107" s="4022"/>
      <c r="B107" s="1124">
        <v>6</v>
      </c>
      <c r="C107" s="1125">
        <f>0.7608/C101</f>
        <v>0.13139896373056995</v>
      </c>
      <c r="D107" s="1125">
        <f>0.7608/D101</f>
        <v>0.13139896373056995</v>
      </c>
      <c r="E107" s="1125">
        <f>0.6482/E101</f>
        <v>0.11195164075993091</v>
      </c>
      <c r="F107" s="1125">
        <f>0.6482/F101</f>
        <v>0.11195164075993091</v>
      </c>
      <c r="G107" s="1125">
        <f>0.6482/G101</f>
        <v>0.11195164075993091</v>
      </c>
      <c r="H107" s="1125">
        <f>0.6482/H101</f>
        <v>0.11195164075993091</v>
      </c>
      <c r="I107" s="1125">
        <f>0.6482/I101</f>
        <v>0.11195164075993091</v>
      </c>
      <c r="J107" s="1125">
        <f>0.4525/J101</f>
        <v>7.8151986183074271E-2</v>
      </c>
      <c r="K107" s="1125">
        <f>0.4525/K101</f>
        <v>7.8151986183074271E-2</v>
      </c>
      <c r="L107" s="1125">
        <f>0.4525/L101</f>
        <v>7.8151986183074271E-2</v>
      </c>
      <c r="M107" s="1125">
        <f>0.4525/M101</f>
        <v>7.8151986183074271E-2</v>
      </c>
      <c r="N107" s="1125">
        <f>0.4525/N101</f>
        <v>7.8151986183074271E-2</v>
      </c>
    </row>
    <row r="108" spans="1:14">
      <c r="A108" s="4022"/>
      <c r="B108" s="402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23"/>
      <c r="B109" s="4025"/>
      <c r="C109" s="1127">
        <f>(-0.163*(C108^2)-0.59*C108+7617)*(10^(-4))/C101</f>
        <v>0.13155440414507771</v>
      </c>
      <c r="D109" s="1127">
        <f>(-0.163*(D108^2)-0.59*D108+7617)*(10^(-4))/D101</f>
        <v>0.13155440414507771</v>
      </c>
      <c r="E109" s="1127">
        <f>(-0.161*(E108^2)-7.509*E108+6533)*(10^(-4))/E101</f>
        <v>0.11283246977547495</v>
      </c>
      <c r="F109" s="1127">
        <f>(-0.161*(F108^2)-7.509*F108+6533)*(10^(-4))/F101</f>
        <v>0.11283246977547495</v>
      </c>
      <c r="G109" s="1127">
        <f>(-0.161*(G108^2)-7.509*G108+6533)*(10^(-4))/G101</f>
        <v>0.11283246977547495</v>
      </c>
      <c r="H109" s="1127">
        <f>(-0.161*(H108^2)-7.509*H108+6533)*(10^(-4))/H101</f>
        <v>0.11283246977547495</v>
      </c>
      <c r="I109" s="1127">
        <f>(-0.161*(I108^2)-7.509*I108+6533)*(10^(-4))/I101</f>
        <v>0.11283246977547495</v>
      </c>
      <c r="J109" s="1127">
        <f>(-0.214*(J108^2)-21.991*J108+4665)*(10^(-4))/J101</f>
        <v>8.0569948186528503E-2</v>
      </c>
      <c r="K109" s="1127">
        <f>(-0.214*(K108^2)-21.991*K108+4665)*(10^(-4))/K101</f>
        <v>8.0569948186528503E-2</v>
      </c>
      <c r="L109" s="1127">
        <f>(-0.214*(L108^2)-21.991*L108+4665)*(10^(-4))/L101</f>
        <v>8.0569948186528503E-2</v>
      </c>
      <c r="M109" s="1127">
        <f>(-0.214*(M108^2)-21.991*M108+4665)*(10^(-4))/M101</f>
        <v>8.0569948186528503E-2</v>
      </c>
      <c r="N109" s="1127">
        <f>(-0.214*(N108^2)-21.991*N108+4665)*(10^(-4))/N101</f>
        <v>8.0569948186528503E-2</v>
      </c>
    </row>
    <row r="110" spans="1:14">
      <c r="A110" s="4031" t="s">
        <v>1628</v>
      </c>
      <c r="B110" s="4031"/>
      <c r="C110" s="4031"/>
      <c r="D110" s="4031"/>
      <c r="E110" s="4031"/>
      <c r="F110" s="4031"/>
      <c r="G110" s="4031"/>
      <c r="H110" s="4031"/>
      <c r="I110" s="4031"/>
      <c r="J110" s="4031"/>
      <c r="K110" s="2301"/>
      <c r="L110" s="2301"/>
      <c r="M110" s="2301"/>
      <c r="N110" s="2301"/>
    </row>
    <row r="112" spans="1:14" ht="12.75" thickBot="1"/>
    <row r="113" spans="1:13" ht="25.5" thickBot="1">
      <c r="A113" s="1001" t="s">
        <v>885</v>
      </c>
      <c r="B113" s="2304">
        <f>G3</f>
        <v>5.79</v>
      </c>
      <c r="C113" s="1002" t="s">
        <v>886</v>
      </c>
      <c r="D113" s="1003">
        <f>SUMPRODUCT((A115:A118=F113)*(B114:M114=H113)*B115:M118)</f>
        <v>0.82850000000000001</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0.87909999999999999</v>
      </c>
      <c r="C115" s="1015">
        <f>B115</f>
        <v>0.87909999999999999</v>
      </c>
      <c r="D115" s="1015">
        <f>ROUND(0.8331-0.0109*B113,4)</f>
        <v>0.77</v>
      </c>
      <c r="E115" s="1015">
        <f>D115</f>
        <v>0.77</v>
      </c>
      <c r="F115" s="1015">
        <f>E115</f>
        <v>0.77</v>
      </c>
      <c r="G115" s="1015">
        <f>F115</f>
        <v>0.77</v>
      </c>
      <c r="H115" s="1015">
        <f>G115</f>
        <v>0.77</v>
      </c>
      <c r="I115" s="1015">
        <f>ROUND(0.689-0.0155*B113,4)</f>
        <v>0.59930000000000005</v>
      </c>
      <c r="J115" s="1015">
        <f t="shared" ref="J115:M118" si="34">I115</f>
        <v>0.59930000000000005</v>
      </c>
      <c r="K115" s="1015">
        <f t="shared" si="34"/>
        <v>0.59930000000000005</v>
      </c>
      <c r="L115" s="1015">
        <f t="shared" si="34"/>
        <v>0.59930000000000005</v>
      </c>
      <c r="M115" s="1016">
        <f t="shared" si="34"/>
        <v>0.59930000000000005</v>
      </c>
    </row>
    <row r="116" spans="1:13" ht="12.75">
      <c r="A116" s="1014" t="s">
        <v>890</v>
      </c>
      <c r="B116" s="1015">
        <f>ROUND(0.949-0.012*B113,4)</f>
        <v>0.87949999999999995</v>
      </c>
      <c r="C116" s="1015">
        <f>B116</f>
        <v>0.87949999999999995</v>
      </c>
      <c r="D116" s="1015">
        <f>ROUND(0.8567-0.013*B113,4)</f>
        <v>0.78139999999999998</v>
      </c>
      <c r="E116" s="1015">
        <f t="shared" ref="E116:H117" si="35">D116</f>
        <v>0.78139999999999998</v>
      </c>
      <c r="F116" s="1015">
        <f t="shared" si="35"/>
        <v>0.78139999999999998</v>
      </c>
      <c r="G116" s="1015">
        <f t="shared" si="35"/>
        <v>0.78139999999999998</v>
      </c>
      <c r="H116" s="1015">
        <f t="shared" si="35"/>
        <v>0.78139999999999998</v>
      </c>
      <c r="I116" s="1015">
        <f>ROUND(0.7694-0.014*B113,4)</f>
        <v>0.68830000000000002</v>
      </c>
      <c r="J116" s="1015">
        <f t="shared" si="34"/>
        <v>0.68830000000000002</v>
      </c>
      <c r="K116" s="1015">
        <f t="shared" si="34"/>
        <v>0.68830000000000002</v>
      </c>
      <c r="L116" s="1015">
        <f t="shared" si="34"/>
        <v>0.68830000000000002</v>
      </c>
      <c r="M116" s="1016">
        <f t="shared" si="34"/>
        <v>0.68830000000000002</v>
      </c>
    </row>
    <row r="117" spans="1:13" ht="12.75">
      <c r="A117" s="1017" t="s">
        <v>891</v>
      </c>
      <c r="B117" s="1015">
        <f>ROUND(0.8808-0.006*B113,4)</f>
        <v>0.84609999999999996</v>
      </c>
      <c r="C117" s="1015">
        <f>B117</f>
        <v>0.84609999999999996</v>
      </c>
      <c r="D117" s="1015">
        <f>ROUND(0.8748-0.008*B113,4)</f>
        <v>0.82850000000000001</v>
      </c>
      <c r="E117" s="1015">
        <f t="shared" si="35"/>
        <v>0.82850000000000001</v>
      </c>
      <c r="F117" s="1015">
        <f t="shared" si="35"/>
        <v>0.82850000000000001</v>
      </c>
      <c r="G117" s="1015">
        <f t="shared" si="35"/>
        <v>0.82850000000000001</v>
      </c>
      <c r="H117" s="1015">
        <f t="shared" si="35"/>
        <v>0.82850000000000001</v>
      </c>
      <c r="I117" s="1015">
        <f>ROUND(0.7412-0.0095*B113,4)</f>
        <v>0.68620000000000003</v>
      </c>
      <c r="J117" s="1015">
        <f t="shared" si="34"/>
        <v>0.68620000000000003</v>
      </c>
      <c r="K117" s="1015">
        <f t="shared" si="34"/>
        <v>0.68620000000000003</v>
      </c>
      <c r="L117" s="1015">
        <f t="shared" si="34"/>
        <v>0.68620000000000003</v>
      </c>
      <c r="M117" s="1016">
        <f t="shared" si="34"/>
        <v>0.68620000000000003</v>
      </c>
    </row>
    <row r="118" spans="1:13" ht="13.5" thickBot="1">
      <c r="A118" s="1018" t="s">
        <v>892</v>
      </c>
      <c r="B118" s="1019">
        <f>ROUND(0.7275-0.01*B113,4)</f>
        <v>0.66959999999999997</v>
      </c>
      <c r="C118" s="1019">
        <f>B118</f>
        <v>0.66959999999999997</v>
      </c>
      <c r="D118" s="1019">
        <f>ROUND(0.7043-0.012*B113,4)</f>
        <v>0.63480000000000003</v>
      </c>
      <c r="E118" s="1019">
        <f>D118</f>
        <v>0.63480000000000003</v>
      </c>
      <c r="F118" s="1019">
        <f>E118</f>
        <v>0.63480000000000003</v>
      </c>
      <c r="G118" s="1019">
        <f>ROUND(0.6299-0.0122*B113,4)</f>
        <v>0.55930000000000002</v>
      </c>
      <c r="H118" s="1019">
        <f>G118</f>
        <v>0.55930000000000002</v>
      </c>
      <c r="I118" s="1019">
        <f>ROUND(0.5667-0.0136*B113,4)</f>
        <v>0.48799999999999999</v>
      </c>
      <c r="J118" s="1019">
        <f t="shared" si="34"/>
        <v>0.48799999999999999</v>
      </c>
      <c r="K118" s="1019">
        <f t="shared" si="34"/>
        <v>0.48799999999999999</v>
      </c>
      <c r="L118" s="1019">
        <f t="shared" si="34"/>
        <v>0.48799999999999999</v>
      </c>
      <c r="M118" s="1020">
        <f t="shared" si="34"/>
        <v>0.48799999999999999</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219" priority="5" stopIfTrue="1" operator="notEqual">
      <formula>"——"</formula>
    </cfRule>
  </conditionalFormatting>
  <conditionalFormatting sqref="F58">
    <cfRule type="cellIs" dxfId="218" priority="4" stopIfTrue="1" operator="notEqual">
      <formula>"——"</formula>
    </cfRule>
  </conditionalFormatting>
  <conditionalFormatting sqref="F69">
    <cfRule type="cellIs" dxfId="217" priority="3" stopIfTrue="1" operator="notEqual">
      <formula>"——"</formula>
    </cfRule>
  </conditionalFormatting>
  <conditionalFormatting sqref="F80">
    <cfRule type="cellIs" dxfId="216" priority="2" stopIfTrue="1" operator="notEqual">
      <formula>"——"</formula>
    </cfRule>
  </conditionalFormatting>
  <conditionalFormatting sqref="H58:H66 H47:H55 H69:H77 H80:H87">
    <cfRule type="cellIs" dxfId="21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4038" t="s">
        <v>996</v>
      </c>
      <c r="B18" s="1135" t="s">
        <v>1435</v>
      </c>
      <c r="C18" s="1112" t="s">
        <v>1436</v>
      </c>
      <c r="D18" s="1113"/>
      <c r="E18" s="1135">
        <v>1</v>
      </c>
      <c r="F18" s="1114" t="s">
        <v>1437</v>
      </c>
      <c r="G18" s="1115"/>
      <c r="H18" s="1086"/>
      <c r="I18" s="1086"/>
    </row>
    <row r="19" spans="1:9" s="1528" customFormat="1" ht="19.5" customHeight="1">
      <c r="A19" s="4038"/>
      <c r="B19" s="4038" t="s">
        <v>1438</v>
      </c>
      <c r="C19" s="1112" t="s">
        <v>1439</v>
      </c>
      <c r="D19" s="1113"/>
      <c r="E19" s="1135">
        <v>0.9</v>
      </c>
      <c r="F19" s="1114" t="s">
        <v>1440</v>
      </c>
      <c r="G19" s="1115"/>
      <c r="H19" s="1086"/>
      <c r="I19" s="1086"/>
    </row>
    <row r="20" spans="1:9" s="1528" customFormat="1" ht="19.5" customHeight="1">
      <c r="A20" s="4038"/>
      <c r="B20" s="4038"/>
      <c r="C20" s="1112" t="s">
        <v>1441</v>
      </c>
      <c r="D20" s="1113"/>
      <c r="E20" s="1135">
        <v>1.1000000000000001</v>
      </c>
      <c r="F20" s="1114" t="s">
        <v>1442</v>
      </c>
      <c r="G20" s="1115"/>
      <c r="H20" s="1086"/>
      <c r="I20" s="1086"/>
    </row>
    <row r="21" spans="1:9" s="1528" customFormat="1" ht="19.5" customHeight="1">
      <c r="A21" s="4038"/>
      <c r="B21" s="4038"/>
      <c r="C21" s="1112" t="s">
        <v>1443</v>
      </c>
      <c r="D21" s="1113"/>
      <c r="E21" s="1135">
        <v>0.8</v>
      </c>
      <c r="F21" s="1114" t="s">
        <v>1444</v>
      </c>
      <c r="G21" s="1115"/>
      <c r="H21" s="1086"/>
      <c r="I21" s="1086"/>
    </row>
    <row r="22" spans="1:9" s="1528" customFormat="1" ht="19.5" customHeight="1">
      <c r="A22" s="4038"/>
      <c r="B22" s="4038"/>
      <c r="C22" s="1112" t="s">
        <v>1445</v>
      </c>
      <c r="D22" s="1113"/>
      <c r="E22" s="1135">
        <v>0.5</v>
      </c>
      <c r="F22" s="1114"/>
      <c r="G22" s="1115"/>
      <c r="H22" s="1086"/>
      <c r="I22" s="1086"/>
    </row>
    <row r="23" spans="1:9" s="1528" customFormat="1" ht="19.5" customHeight="1">
      <c r="A23" s="4038" t="s">
        <v>1018</v>
      </c>
      <c r="B23" s="1135" t="s">
        <v>1435</v>
      </c>
      <c r="C23" s="1112" t="s">
        <v>1446</v>
      </c>
      <c r="D23" s="1113"/>
      <c r="E23" s="1135">
        <v>1</v>
      </c>
      <c r="F23" s="1114" t="s">
        <v>1447</v>
      </c>
      <c r="G23" s="1115"/>
      <c r="H23" s="1086"/>
      <c r="I23" s="1086"/>
    </row>
    <row r="24" spans="1:9" s="1528" customFormat="1" ht="19.5" customHeight="1">
      <c r="A24" s="4038"/>
      <c r="B24" s="4038" t="s">
        <v>1438</v>
      </c>
      <c r="C24" s="1112" t="s">
        <v>1448</v>
      </c>
      <c r="D24" s="1113"/>
      <c r="E24" s="1135">
        <v>0.5</v>
      </c>
      <c r="F24" s="1114"/>
      <c r="G24" s="1115"/>
      <c r="H24" s="1086"/>
      <c r="I24" s="1086"/>
    </row>
    <row r="25" spans="1:9" s="1528" customFormat="1" ht="19.5" customHeight="1">
      <c r="A25" s="4038"/>
      <c r="B25" s="4038"/>
      <c r="C25" s="1112" t="s">
        <v>1449</v>
      </c>
      <c r="D25" s="1113"/>
      <c r="E25" s="1135">
        <v>1.1000000000000001</v>
      </c>
      <c r="F25" s="1114"/>
      <c r="G25" s="1115"/>
      <c r="H25" s="1086"/>
      <c r="I25" s="1086"/>
    </row>
    <row r="26" spans="1:9" s="1528" customFormat="1" ht="19.5" customHeight="1">
      <c r="A26" s="4038"/>
      <c r="B26" s="4038"/>
      <c r="C26" s="1112" t="s">
        <v>1450</v>
      </c>
      <c r="D26" s="1113"/>
      <c r="E26" s="1135">
        <v>1.1000000000000001</v>
      </c>
      <c r="F26" s="1114"/>
      <c r="G26" s="1115"/>
      <c r="H26" s="1086"/>
      <c r="I26" s="1086"/>
    </row>
    <row r="27" spans="1:9" s="1528" customFormat="1" ht="19.5" customHeight="1">
      <c r="A27" s="4038"/>
      <c r="B27" s="4038"/>
      <c r="C27" s="1112" t="s">
        <v>1451</v>
      </c>
      <c r="D27" s="1113"/>
      <c r="E27" s="1135">
        <v>0.9</v>
      </c>
      <c r="F27" s="1114" t="s">
        <v>1452</v>
      </c>
      <c r="G27" s="1115"/>
      <c r="H27" s="1086"/>
      <c r="I27" s="1086"/>
    </row>
    <row r="28" spans="1:9" s="1528" customFormat="1" ht="19.5" customHeight="1">
      <c r="A28" s="4038"/>
      <c r="B28" s="4038"/>
      <c r="C28" s="1112" t="s">
        <v>1453</v>
      </c>
      <c r="D28" s="1113"/>
      <c r="E28" s="1135">
        <v>0.9</v>
      </c>
      <c r="F28" s="1114" t="s">
        <v>1454</v>
      </c>
      <c r="G28" s="1115"/>
      <c r="H28" s="1086"/>
      <c r="I28" s="1086"/>
    </row>
    <row r="29" spans="1:9" s="1528" customFormat="1" ht="19.5" customHeight="1">
      <c r="A29" s="4038"/>
      <c r="B29" s="4038"/>
      <c r="C29" s="1112" t="s">
        <v>1455</v>
      </c>
      <c r="D29" s="1113"/>
      <c r="E29" s="1135">
        <v>0.9</v>
      </c>
      <c r="F29" s="1114" t="s">
        <v>1456</v>
      </c>
      <c r="G29" s="1115"/>
      <c r="H29" s="1086"/>
      <c r="I29" s="1086"/>
    </row>
    <row r="30" spans="1:9" s="1528" customFormat="1" ht="19.5" customHeight="1">
      <c r="A30" s="4038"/>
      <c r="B30" s="4038"/>
      <c r="C30" s="1112" t="s">
        <v>1457</v>
      </c>
      <c r="D30" s="1113"/>
      <c r="E30" s="1135">
        <v>0.9</v>
      </c>
      <c r="F30" s="1114" t="s">
        <v>1458</v>
      </c>
      <c r="G30" s="1115"/>
      <c r="H30" s="1086"/>
      <c r="I30" s="1086"/>
    </row>
    <row r="31" spans="1:9" s="1528" customFormat="1" ht="19.5" customHeight="1">
      <c r="A31" s="4038"/>
      <c r="B31" s="4038"/>
      <c r="C31" s="1112" t="s">
        <v>1459</v>
      </c>
      <c r="D31" s="1113"/>
      <c r="E31" s="1135">
        <v>0.8</v>
      </c>
      <c r="F31" s="1114" t="s">
        <v>1460</v>
      </c>
      <c r="G31" s="1115"/>
      <c r="H31" s="1086"/>
      <c r="I31" s="1086"/>
    </row>
    <row r="32" spans="1:9" s="1528" customFormat="1" ht="19.5" customHeight="1">
      <c r="A32" s="4038"/>
      <c r="B32" s="4038"/>
      <c r="C32" s="1112" t="s">
        <v>1461</v>
      </c>
      <c r="D32" s="1113"/>
      <c r="E32" s="1135">
        <v>0.8</v>
      </c>
      <c r="F32" s="1114" t="s">
        <v>1462</v>
      </c>
      <c r="G32" s="1115"/>
      <c r="H32" s="1086"/>
      <c r="I32" s="1086"/>
    </row>
    <row r="33" spans="1:9" s="1528" customFormat="1" ht="19.5" customHeight="1">
      <c r="A33" s="4038" t="s">
        <v>1463</v>
      </c>
      <c r="B33" s="1135" t="s">
        <v>1435</v>
      </c>
      <c r="C33" s="1112" t="s">
        <v>1464</v>
      </c>
      <c r="D33" s="1113"/>
      <c r="E33" s="1135">
        <v>1</v>
      </c>
      <c r="F33" s="1114" t="s">
        <v>1465</v>
      </c>
      <c r="G33" s="1115"/>
      <c r="H33" s="1086"/>
      <c r="I33" s="1086"/>
    </row>
    <row r="34" spans="1:9" s="1528" customFormat="1" ht="19.5" customHeight="1">
      <c r="A34" s="4038"/>
      <c r="B34" s="1135" t="s">
        <v>1438</v>
      </c>
      <c r="C34" s="1112" t="s">
        <v>1466</v>
      </c>
      <c r="D34" s="1113"/>
      <c r="E34" s="1135">
        <v>1.5</v>
      </c>
      <c r="F34" s="1114" t="s">
        <v>1467</v>
      </c>
      <c r="G34" s="1115"/>
      <c r="H34" s="1086"/>
      <c r="I34" s="1086"/>
    </row>
    <row r="35" spans="1:9" s="1528" customFormat="1" ht="19.5" customHeight="1">
      <c r="A35" s="4038" t="s">
        <v>1421</v>
      </c>
      <c r="B35" s="1135" t="s">
        <v>1435</v>
      </c>
      <c r="C35" s="1112" t="s">
        <v>1468</v>
      </c>
      <c r="D35" s="1113"/>
      <c r="E35" s="1135">
        <v>1</v>
      </c>
      <c r="F35" s="1114" t="s">
        <v>1469</v>
      </c>
      <c r="G35" s="1115"/>
      <c r="H35" s="1086"/>
      <c r="I35" s="1086"/>
    </row>
    <row r="36" spans="1:9" s="1528" customFormat="1" ht="19.5" customHeight="1">
      <c r="A36" s="4038"/>
      <c r="B36" s="4038" t="s">
        <v>1438</v>
      </c>
      <c r="C36" s="1112" t="s">
        <v>1470</v>
      </c>
      <c r="D36" s="1113"/>
      <c r="E36" s="1135">
        <v>1</v>
      </c>
      <c r="F36" s="1114" t="s">
        <v>1471</v>
      </c>
      <c r="G36" s="1115"/>
      <c r="H36" s="1086"/>
      <c r="I36" s="1086"/>
    </row>
    <row r="37" spans="1:9" s="1528" customFormat="1" ht="19.5" customHeight="1">
      <c r="A37" s="4038"/>
      <c r="B37" s="4038"/>
      <c r="C37" s="1112" t="s">
        <v>1472</v>
      </c>
      <c r="D37" s="1113"/>
      <c r="E37" s="1135">
        <v>1.5</v>
      </c>
      <c r="F37" s="1114" t="s">
        <v>1473</v>
      </c>
      <c r="G37" s="1115"/>
      <c r="H37" s="1086"/>
      <c r="I37" s="1086"/>
    </row>
    <row r="38" spans="1:9" s="1528" customFormat="1" ht="19.5" customHeight="1">
      <c r="A38" s="4038"/>
      <c r="B38" s="4038"/>
      <c r="C38" s="1112" t="s">
        <v>1474</v>
      </c>
      <c r="D38" s="1113"/>
      <c r="E38" s="1135">
        <v>1</v>
      </c>
      <c r="F38" s="1114" t="s">
        <v>1475</v>
      </c>
      <c r="G38" s="1115"/>
      <c r="H38" s="1086"/>
      <c r="I38" s="1086"/>
    </row>
    <row r="39" spans="1:9" s="1528" customFormat="1" ht="19.5" customHeight="1">
      <c r="A39" s="4038"/>
      <c r="B39" s="4038"/>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4038" t="s">
        <v>1490</v>
      </c>
      <c r="C61" s="1049" t="s">
        <v>1491</v>
      </c>
      <c r="D61" s="1049" t="s">
        <v>1492</v>
      </c>
      <c r="E61" s="1120">
        <v>0.5</v>
      </c>
      <c r="F61" s="1135">
        <v>80</v>
      </c>
      <c r="H61" s="1086">
        <f>SUMIF(C59:C119,基准地价住宅!C8,E59:E119)</f>
        <v>0</v>
      </c>
    </row>
    <row r="62" spans="1:8" s="1086" customFormat="1" ht="24">
      <c r="A62" s="1135">
        <v>2</v>
      </c>
      <c r="B62" s="4038"/>
      <c r="C62" s="1049" t="s">
        <v>1493</v>
      </c>
      <c r="D62" s="1049" t="s">
        <v>1494</v>
      </c>
      <c r="E62" s="1120">
        <v>0.5</v>
      </c>
      <c r="F62" s="1135">
        <v>80</v>
      </c>
    </row>
    <row r="63" spans="1:8" s="1086" customFormat="1" ht="36">
      <c r="A63" s="1135">
        <v>3</v>
      </c>
      <c r="B63" s="4038"/>
      <c r="C63" s="1049" t="s">
        <v>1495</v>
      </c>
      <c r="D63" s="1049" t="s">
        <v>1496</v>
      </c>
      <c r="E63" s="1120">
        <v>0.5</v>
      </c>
      <c r="F63" s="1135">
        <v>80</v>
      </c>
    </row>
    <row r="64" spans="1:8" s="1086" customFormat="1" ht="36">
      <c r="A64" s="1135">
        <v>4</v>
      </c>
      <c r="B64" s="4038"/>
      <c r="C64" s="1049" t="s">
        <v>1497</v>
      </c>
      <c r="D64" s="1049" t="s">
        <v>1498</v>
      </c>
      <c r="E64" s="1120">
        <v>0.4</v>
      </c>
      <c r="F64" s="1135">
        <v>60</v>
      </c>
    </row>
    <row r="65" spans="1:6" s="1086" customFormat="1" ht="36">
      <c r="A65" s="1135">
        <v>5</v>
      </c>
      <c r="B65" s="4038"/>
      <c r="C65" s="1049" t="s">
        <v>1499</v>
      </c>
      <c r="D65" s="1049" t="s">
        <v>1500</v>
      </c>
      <c r="E65" s="1120">
        <v>0.2</v>
      </c>
      <c r="F65" s="1135">
        <v>30</v>
      </c>
    </row>
    <row r="66" spans="1:6" s="1086" customFormat="1" ht="36">
      <c r="A66" s="1135">
        <v>6</v>
      </c>
      <c r="B66" s="4038"/>
      <c r="C66" s="1049" t="s">
        <v>1501</v>
      </c>
      <c r="D66" s="1049" t="s">
        <v>1502</v>
      </c>
      <c r="E66" s="1120">
        <v>0.3</v>
      </c>
      <c r="F66" s="1135">
        <v>50</v>
      </c>
    </row>
    <row r="67" spans="1:6" s="1086" customFormat="1" ht="36">
      <c r="A67" s="1135">
        <v>7</v>
      </c>
      <c r="B67" s="4038"/>
      <c r="C67" s="1049" t="s">
        <v>1503</v>
      </c>
      <c r="D67" s="1049" t="s">
        <v>1504</v>
      </c>
      <c r="E67" s="1120">
        <v>0.2</v>
      </c>
      <c r="F67" s="1135">
        <v>30</v>
      </c>
    </row>
    <row r="68" spans="1:6" s="1086" customFormat="1" ht="36">
      <c r="A68" s="1135">
        <v>8</v>
      </c>
      <c r="B68" s="4038"/>
      <c r="C68" s="1049" t="s">
        <v>1505</v>
      </c>
      <c r="D68" s="1049" t="s">
        <v>1506</v>
      </c>
      <c r="E68" s="1120">
        <v>0.2</v>
      </c>
      <c r="F68" s="1135">
        <v>30</v>
      </c>
    </row>
    <row r="69" spans="1:6" s="1086" customFormat="1" ht="36">
      <c r="A69" s="1135">
        <v>9</v>
      </c>
      <c r="B69" s="4038"/>
      <c r="C69" s="1049" t="s">
        <v>1507</v>
      </c>
      <c r="D69" s="1049" t="s">
        <v>1508</v>
      </c>
      <c r="E69" s="1120">
        <v>0.2</v>
      </c>
      <c r="F69" s="1135">
        <v>30</v>
      </c>
    </row>
    <row r="70" spans="1:6" s="1086" customFormat="1" ht="48">
      <c r="A70" s="1135">
        <v>10</v>
      </c>
      <c r="B70" s="4038"/>
      <c r="C70" s="1049" t="s">
        <v>1509</v>
      </c>
      <c r="D70" s="1049" t="s">
        <v>1510</v>
      </c>
      <c r="E70" s="1120">
        <v>0.2</v>
      </c>
      <c r="F70" s="1135">
        <v>30</v>
      </c>
    </row>
    <row r="71" spans="1:6" s="1086" customFormat="1" ht="48">
      <c r="A71" s="1135">
        <v>11</v>
      </c>
      <c r="B71" s="4038"/>
      <c r="C71" s="1049" t="s">
        <v>1511</v>
      </c>
      <c r="D71" s="1049" t="s">
        <v>1512</v>
      </c>
      <c r="E71" s="1120">
        <v>0.2</v>
      </c>
      <c r="F71" s="1135">
        <v>30</v>
      </c>
    </row>
    <row r="72" spans="1:6" s="1086" customFormat="1" ht="36">
      <c r="A72" s="1135">
        <v>12</v>
      </c>
      <c r="B72" s="4038"/>
      <c r="C72" s="1049" t="s">
        <v>1513</v>
      </c>
      <c r="D72" s="1049" t="s">
        <v>1514</v>
      </c>
      <c r="E72" s="1120">
        <v>0.5</v>
      </c>
      <c r="F72" s="1135">
        <v>80</v>
      </c>
    </row>
    <row r="73" spans="1:6" s="1086" customFormat="1" ht="24">
      <c r="A73" s="1135">
        <v>13</v>
      </c>
      <c r="B73" s="4038"/>
      <c r="C73" s="1049" t="s">
        <v>1515</v>
      </c>
      <c r="D73" s="1049" t="s">
        <v>1516</v>
      </c>
      <c r="E73" s="1120">
        <v>0.4</v>
      </c>
      <c r="F73" s="1135">
        <v>60</v>
      </c>
    </row>
    <row r="74" spans="1:6" s="1086" customFormat="1" ht="24">
      <c r="A74" s="1135">
        <v>14</v>
      </c>
      <c r="B74" s="4038"/>
      <c r="C74" s="1049" t="s">
        <v>1517</v>
      </c>
      <c r="D74" s="1049" t="s">
        <v>1518</v>
      </c>
      <c r="E74" s="1120">
        <v>0.2</v>
      </c>
      <c r="F74" s="1135">
        <v>30</v>
      </c>
    </row>
    <row r="75" spans="1:6" s="1086" customFormat="1" ht="24">
      <c r="A75" s="1135">
        <v>15</v>
      </c>
      <c r="B75" s="4038"/>
      <c r="C75" s="1049" t="s">
        <v>1519</v>
      </c>
      <c r="D75" s="1049" t="s">
        <v>1520</v>
      </c>
      <c r="E75" s="1120">
        <v>0.2</v>
      </c>
      <c r="F75" s="1135">
        <v>30</v>
      </c>
    </row>
    <row r="76" spans="1:6" s="1086" customFormat="1" ht="24">
      <c r="A76" s="1135">
        <v>16</v>
      </c>
      <c r="B76" s="4038" t="s">
        <v>1521</v>
      </c>
      <c r="C76" s="1049" t="s">
        <v>1522</v>
      </c>
      <c r="D76" s="1049" t="s">
        <v>1523</v>
      </c>
      <c r="E76" s="1120">
        <v>0.5</v>
      </c>
      <c r="F76" s="1135">
        <v>80</v>
      </c>
    </row>
    <row r="77" spans="1:6" s="1086" customFormat="1" ht="24">
      <c r="A77" s="1135">
        <v>17</v>
      </c>
      <c r="B77" s="4038"/>
      <c r="C77" s="1049" t="s">
        <v>1524</v>
      </c>
      <c r="D77" s="1049" t="s">
        <v>1525</v>
      </c>
      <c r="E77" s="1120">
        <v>0.5</v>
      </c>
      <c r="F77" s="1135">
        <v>80</v>
      </c>
    </row>
    <row r="78" spans="1:6" s="1086" customFormat="1" ht="24">
      <c r="A78" s="1135">
        <v>18</v>
      </c>
      <c r="B78" s="4038"/>
      <c r="C78" s="1049" t="s">
        <v>1526</v>
      </c>
      <c r="D78" s="1049" t="s">
        <v>1527</v>
      </c>
      <c r="E78" s="1120">
        <v>0.2</v>
      </c>
      <c r="F78" s="1135">
        <v>30</v>
      </c>
    </row>
    <row r="79" spans="1:6" s="1086" customFormat="1" ht="24">
      <c r="A79" s="1135">
        <v>19</v>
      </c>
      <c r="B79" s="4038"/>
      <c r="C79" s="1049" t="s">
        <v>1528</v>
      </c>
      <c r="D79" s="1049" t="s">
        <v>1529</v>
      </c>
      <c r="E79" s="1120">
        <v>0.5</v>
      </c>
      <c r="F79" s="1135">
        <v>80</v>
      </c>
    </row>
    <row r="80" spans="1:6" s="1086" customFormat="1" ht="36">
      <c r="A80" s="1135">
        <v>20</v>
      </c>
      <c r="B80" s="4038"/>
      <c r="C80" s="1049" t="s">
        <v>1530</v>
      </c>
      <c r="D80" s="1049" t="s">
        <v>1531</v>
      </c>
      <c r="E80" s="1120">
        <v>0.2</v>
      </c>
      <c r="F80" s="1135">
        <v>30</v>
      </c>
    </row>
    <row r="81" spans="1:6" s="1086" customFormat="1" ht="36">
      <c r="A81" s="1135">
        <v>21</v>
      </c>
      <c r="B81" s="4038"/>
      <c r="C81" s="1049" t="s">
        <v>1532</v>
      </c>
      <c r="D81" s="1049" t="s">
        <v>1533</v>
      </c>
      <c r="E81" s="1120">
        <v>0.2</v>
      </c>
      <c r="F81" s="1135">
        <v>30</v>
      </c>
    </row>
    <row r="82" spans="1:6" s="1086" customFormat="1" ht="48">
      <c r="A82" s="1135">
        <v>22</v>
      </c>
      <c r="B82" s="4038"/>
      <c r="C82" s="1049" t="s">
        <v>1534</v>
      </c>
      <c r="D82" s="1049" t="s">
        <v>1535</v>
      </c>
      <c r="E82" s="1120">
        <v>0.2</v>
      </c>
      <c r="F82" s="1135">
        <v>30</v>
      </c>
    </row>
    <row r="83" spans="1:6" s="1086" customFormat="1" ht="48">
      <c r="A83" s="1135">
        <v>23</v>
      </c>
      <c r="B83" s="4038"/>
      <c r="C83" s="1049" t="s">
        <v>1536</v>
      </c>
      <c r="D83" s="1049" t="s">
        <v>1537</v>
      </c>
      <c r="E83" s="1120">
        <v>0.2</v>
      </c>
      <c r="F83" s="1135">
        <v>30</v>
      </c>
    </row>
    <row r="84" spans="1:6" s="1086" customFormat="1" ht="36">
      <c r="A84" s="1135">
        <v>24</v>
      </c>
      <c r="B84" s="4038"/>
      <c r="C84" s="1049" t="s">
        <v>1538</v>
      </c>
      <c r="D84" s="1049" t="s">
        <v>1539</v>
      </c>
      <c r="E84" s="1120">
        <v>0.2</v>
      </c>
      <c r="F84" s="1135">
        <v>30</v>
      </c>
    </row>
    <row r="85" spans="1:6" s="1086" customFormat="1" ht="36">
      <c r="A85" s="1135">
        <v>25</v>
      </c>
      <c r="B85" s="4038"/>
      <c r="C85" s="1049" t="s">
        <v>1540</v>
      </c>
      <c r="D85" s="1049" t="s">
        <v>1541</v>
      </c>
      <c r="E85" s="1120">
        <v>0.5</v>
      </c>
      <c r="F85" s="1135">
        <v>80</v>
      </c>
    </row>
    <row r="86" spans="1:6" s="1086" customFormat="1" ht="36">
      <c r="A86" s="1135">
        <v>26</v>
      </c>
      <c r="B86" s="4038"/>
      <c r="C86" s="1049" t="s">
        <v>1542</v>
      </c>
      <c r="D86" s="1049" t="s">
        <v>1543</v>
      </c>
      <c r="E86" s="1120">
        <v>0.2</v>
      </c>
      <c r="F86" s="1135">
        <v>30</v>
      </c>
    </row>
    <row r="87" spans="1:6" s="1086" customFormat="1" ht="36">
      <c r="A87" s="1135">
        <v>27</v>
      </c>
      <c r="B87" s="4038"/>
      <c r="C87" s="1049" t="s">
        <v>1544</v>
      </c>
      <c r="D87" s="1049" t="s">
        <v>1545</v>
      </c>
      <c r="E87" s="1120">
        <v>0.2</v>
      </c>
      <c r="F87" s="1135">
        <v>30</v>
      </c>
    </row>
    <row r="88" spans="1:6" s="1086" customFormat="1" ht="36">
      <c r="A88" s="1135">
        <v>28</v>
      </c>
      <c r="B88" s="4038"/>
      <c r="C88" s="1049" t="s">
        <v>1546</v>
      </c>
      <c r="D88" s="1049" t="s">
        <v>1547</v>
      </c>
      <c r="E88" s="1120">
        <v>0.2</v>
      </c>
      <c r="F88" s="1135">
        <v>30</v>
      </c>
    </row>
    <row r="89" spans="1:6" s="1086" customFormat="1" ht="24">
      <c r="A89" s="1135">
        <v>29</v>
      </c>
      <c r="B89" s="4038"/>
      <c r="C89" s="1049" t="s">
        <v>1548</v>
      </c>
      <c r="D89" s="1049" t="s">
        <v>1549</v>
      </c>
      <c r="E89" s="1120">
        <v>0.2</v>
      </c>
      <c r="F89" s="1135">
        <v>30</v>
      </c>
    </row>
    <row r="90" spans="1:6" s="1086" customFormat="1" ht="24">
      <c r="A90" s="1135">
        <v>30</v>
      </c>
      <c r="B90" s="4038"/>
      <c r="C90" s="1049" t="s">
        <v>1550</v>
      </c>
      <c r="D90" s="1049" t="s">
        <v>1551</v>
      </c>
      <c r="E90" s="1120">
        <v>0.2</v>
      </c>
      <c r="F90" s="1135">
        <v>30</v>
      </c>
    </row>
    <row r="91" spans="1:6" s="1086" customFormat="1" ht="36">
      <c r="A91" s="1135">
        <v>31</v>
      </c>
      <c r="B91" s="4038"/>
      <c r="C91" s="1049" t="s">
        <v>1552</v>
      </c>
      <c r="D91" s="1049" t="s">
        <v>1553</v>
      </c>
      <c r="E91" s="1120">
        <v>0.2</v>
      </c>
      <c r="F91" s="1135">
        <v>30</v>
      </c>
    </row>
    <row r="92" spans="1:6" s="1086" customFormat="1" ht="24">
      <c r="A92" s="1135">
        <v>32</v>
      </c>
      <c r="B92" s="4038" t="s">
        <v>1554</v>
      </c>
      <c r="C92" s="1135" t="s">
        <v>1555</v>
      </c>
      <c r="D92" s="1049" t="s">
        <v>1556</v>
      </c>
      <c r="E92" s="1120">
        <v>0.2</v>
      </c>
      <c r="F92" s="1135">
        <v>30</v>
      </c>
    </row>
    <row r="93" spans="1:6" s="1086" customFormat="1" ht="36">
      <c r="A93" s="1135">
        <v>33</v>
      </c>
      <c r="B93" s="4038"/>
      <c r="C93" s="1135" t="s">
        <v>1557</v>
      </c>
      <c r="D93" s="1049" t="s">
        <v>1558</v>
      </c>
      <c r="E93" s="1120">
        <v>0.2</v>
      </c>
      <c r="F93" s="1135">
        <v>30</v>
      </c>
    </row>
    <row r="94" spans="1:6" s="1086" customFormat="1" ht="48">
      <c r="A94" s="1135">
        <v>34</v>
      </c>
      <c r="B94" s="4038"/>
      <c r="C94" s="1135" t="s">
        <v>1559</v>
      </c>
      <c r="D94" s="1049" t="s">
        <v>1560</v>
      </c>
      <c r="E94" s="1120">
        <v>0.2</v>
      </c>
      <c r="F94" s="1135">
        <v>30</v>
      </c>
    </row>
    <row r="95" spans="1:6" s="1086" customFormat="1" ht="36">
      <c r="A95" s="1135">
        <v>35</v>
      </c>
      <c r="B95" s="4038"/>
      <c r="C95" s="1135" t="s">
        <v>1561</v>
      </c>
      <c r="D95" s="1049" t="s">
        <v>1562</v>
      </c>
      <c r="E95" s="1120">
        <v>0.2</v>
      </c>
      <c r="F95" s="1135">
        <v>30</v>
      </c>
    </row>
    <row r="96" spans="1:6" s="1086" customFormat="1" ht="48">
      <c r="A96" s="1135">
        <v>36</v>
      </c>
      <c r="B96" s="4038"/>
      <c r="C96" s="1049" t="s">
        <v>1563</v>
      </c>
      <c r="D96" s="1049" t="s">
        <v>1564</v>
      </c>
      <c r="E96" s="1120">
        <v>0.2</v>
      </c>
      <c r="F96" s="1135">
        <v>30</v>
      </c>
    </row>
    <row r="97" spans="1:6" s="1086" customFormat="1" ht="36">
      <c r="A97" s="1135">
        <v>37</v>
      </c>
      <c r="B97" s="4038"/>
      <c r="C97" s="1135" t="s">
        <v>1565</v>
      </c>
      <c r="D97" s="1049" t="s">
        <v>1566</v>
      </c>
      <c r="E97" s="1120">
        <v>0.2</v>
      </c>
      <c r="F97" s="1135">
        <v>30</v>
      </c>
    </row>
    <row r="98" spans="1:6" s="1086" customFormat="1" ht="36">
      <c r="A98" s="1135">
        <v>38</v>
      </c>
      <c r="B98" s="4038"/>
      <c r="C98" s="1135" t="s">
        <v>1567</v>
      </c>
      <c r="D98" s="1049" t="s">
        <v>1568</v>
      </c>
      <c r="E98" s="1120">
        <v>0.2</v>
      </c>
      <c r="F98" s="1135">
        <v>30</v>
      </c>
    </row>
    <row r="99" spans="1:6" s="1086" customFormat="1" ht="36">
      <c r="A99" s="1135">
        <v>39</v>
      </c>
      <c r="B99" s="4038" t="s">
        <v>1569</v>
      </c>
      <c r="C99" s="1135" t="s">
        <v>1570</v>
      </c>
      <c r="D99" s="1049" t="s">
        <v>1571</v>
      </c>
      <c r="E99" s="1120">
        <v>0.3</v>
      </c>
      <c r="F99" s="1135">
        <v>50</v>
      </c>
    </row>
    <row r="100" spans="1:6" s="1086" customFormat="1" ht="24">
      <c r="A100" s="1135">
        <v>40</v>
      </c>
      <c r="B100" s="4038"/>
      <c r="C100" s="1135" t="s">
        <v>1572</v>
      </c>
      <c r="D100" s="1049" t="s">
        <v>1573</v>
      </c>
      <c r="E100" s="1120">
        <v>0.2</v>
      </c>
      <c r="F100" s="1135">
        <v>30</v>
      </c>
    </row>
    <row r="101" spans="1:6" s="1086" customFormat="1" ht="36">
      <c r="A101" s="1135">
        <v>41</v>
      </c>
      <c r="B101" s="4038"/>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4038" t="s">
        <v>1584</v>
      </c>
      <c r="C105" s="1135" t="s">
        <v>1585</v>
      </c>
      <c r="D105" s="1049" t="s">
        <v>1586</v>
      </c>
      <c r="E105" s="1120">
        <v>0.2</v>
      </c>
      <c r="F105" s="1135">
        <v>30</v>
      </c>
    </row>
    <row r="106" spans="1:6" s="1086" customFormat="1" ht="36">
      <c r="A106" s="1135">
        <v>46</v>
      </c>
      <c r="B106" s="4038"/>
      <c r="C106" s="1135" t="s">
        <v>1587</v>
      </c>
      <c r="D106" s="1049" t="s">
        <v>1588</v>
      </c>
      <c r="E106" s="1120">
        <v>0.2</v>
      </c>
      <c r="F106" s="1135">
        <v>30</v>
      </c>
    </row>
    <row r="107" spans="1:6" s="1086" customFormat="1" ht="36">
      <c r="A107" s="1135">
        <v>47</v>
      </c>
      <c r="B107" s="4038" t="s">
        <v>1589</v>
      </c>
      <c r="C107" s="1135" t="s">
        <v>1590</v>
      </c>
      <c r="D107" s="1049" t="s">
        <v>1591</v>
      </c>
      <c r="E107" s="1120">
        <v>0.3</v>
      </c>
      <c r="F107" s="1135">
        <v>50</v>
      </c>
    </row>
    <row r="108" spans="1:6" s="1086" customFormat="1" ht="36">
      <c r="A108" s="1135">
        <v>48</v>
      </c>
      <c r="B108" s="4038"/>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4038" t="s">
        <v>1600</v>
      </c>
      <c r="C111" s="1135" t="s">
        <v>1601</v>
      </c>
      <c r="D111" s="1049" t="s">
        <v>1602</v>
      </c>
      <c r="E111" s="1120">
        <v>0.2</v>
      </c>
      <c r="F111" s="1135">
        <v>30</v>
      </c>
    </row>
    <row r="112" spans="1:6" s="1086" customFormat="1" ht="24">
      <c r="A112" s="1135">
        <v>52</v>
      </c>
      <c r="B112" s="4038"/>
      <c r="C112" s="1135" t="s">
        <v>1603</v>
      </c>
      <c r="D112" s="1049" t="s">
        <v>1604</v>
      </c>
      <c r="E112" s="1120">
        <v>0.2</v>
      </c>
      <c r="F112" s="1135">
        <v>30</v>
      </c>
    </row>
    <row r="113" spans="1:14" s="1086" customFormat="1" ht="24">
      <c r="A113" s="1135">
        <v>53</v>
      </c>
      <c r="B113" s="4038"/>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4038" t="s">
        <v>1613</v>
      </c>
      <c r="C116" s="1135" t="s">
        <v>1614</v>
      </c>
      <c r="D116" s="1049" t="s">
        <v>1615</v>
      </c>
      <c r="E116" s="1120">
        <v>0.2</v>
      </c>
      <c r="F116" s="1135">
        <v>30</v>
      </c>
    </row>
    <row r="117" spans="1:14" ht="36">
      <c r="A117" s="1135">
        <v>57</v>
      </c>
      <c r="B117" s="4038"/>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4037" t="s">
        <v>1622</v>
      </c>
      <c r="B121" s="4037"/>
      <c r="C121" s="4037"/>
      <c r="D121" s="4037"/>
      <c r="E121" s="4037"/>
      <c r="F121" s="4037"/>
      <c r="G121" s="4037"/>
      <c r="H121" s="4037"/>
      <c r="I121" s="4037"/>
      <c r="J121" s="4037"/>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4039" t="s">
        <v>1028</v>
      </c>
      <c r="B1" s="4039"/>
      <c r="C1" s="4039"/>
      <c r="D1" s="4039"/>
      <c r="E1" s="4039"/>
      <c r="F1" s="4039"/>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4040" t="s">
        <v>1041</v>
      </c>
      <c r="B2" s="4040"/>
      <c r="C2" s="4040"/>
      <c r="D2" s="4040"/>
      <c r="E2" s="4040"/>
      <c r="F2" s="4040"/>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4041"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4042"/>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10080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0.79930000000000001</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4043" t="s">
        <v>2065</v>
      </c>
      <c r="B1" s="4043"/>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E30" sqref="E3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27968</v>
      </c>
      <c r="U2" s="2641"/>
      <c r="V2" s="2652">
        <f ca="1">ROUND(T2*U2/10000,0)</f>
        <v>0</v>
      </c>
      <c r="W2" s="2068"/>
      <c r="X2" s="2068"/>
      <c r="Y2" s="2068"/>
      <c r="Z2" s="2068"/>
      <c r="AA2" s="2068"/>
      <c r="AB2" s="2068"/>
      <c r="AC2" s="2069"/>
    </row>
    <row r="3" spans="1:39" ht="15.75">
      <c r="A3" s="1358" t="s">
        <v>1675</v>
      </c>
      <c r="B3" s="1023" t="e">
        <f ca="1">ROUND(B2*10000/D1,0)</f>
        <v>#DIV/0!</v>
      </c>
      <c r="C3" s="1354" t="s">
        <v>916</v>
      </c>
      <c r="D3" s="1355" t="s">
        <v>917</v>
      </c>
      <c r="E3" s="1359" t="s">
        <v>3063</v>
      </c>
      <c r="F3" s="1360" t="s">
        <v>3060</v>
      </c>
      <c r="G3" s="1024">
        <f>IF(F3="宗地容积率",'数据-汇总表'!I4,IF(F3="估价对象容积率",'数据-汇总表'!I6,'数据-汇总表'!I7))</f>
        <v>5.79</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20076</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16196</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10154</v>
      </c>
      <c r="D5" s="2791">
        <f>ROUND(C6+C16,0)</f>
        <v>10154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12995</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10160</v>
      </c>
      <c r="D6" s="1370" t="s">
        <v>1683</v>
      </c>
      <c r="E6" s="1371"/>
      <c r="F6" s="1371"/>
      <c r="G6" s="1372"/>
      <c r="H6" s="1372"/>
      <c r="I6" s="1372"/>
      <c r="J6" s="1373"/>
      <c r="K6" s="3222"/>
      <c r="L6" s="1797" t="s">
        <v>2229</v>
      </c>
      <c r="M6" s="1798">
        <f>SUMPRODUCT((区片价!B110:B157=I2)*(区片价!C3:F3=E2)*(区片价!C110:F157))</f>
        <v>10160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11066</v>
      </c>
      <c r="U6" s="2641"/>
      <c r="V6" s="2652">
        <f t="shared" ca="1" si="1"/>
        <v>0</v>
      </c>
      <c r="W6" s="2068"/>
      <c r="X6" s="2068"/>
      <c r="Y6" s="2068"/>
      <c r="Z6" s="2068"/>
      <c r="AA6" s="2068"/>
      <c r="AB6" s="2068"/>
      <c r="AC6" s="2070"/>
      <c r="AD6" s="1366"/>
      <c r="AE6" s="1366"/>
      <c r="AF6" s="1366"/>
      <c r="AG6" s="1366"/>
      <c r="AH6" s="1366"/>
      <c r="AI6" s="1366"/>
      <c r="AJ6" s="1367"/>
    </row>
    <row r="7" spans="1:39" ht="24">
      <c r="A7" s="4032" t="str">
        <f>IF(E2="商业",IF(C8="不临58条商业街","",2),"")</f>
        <v/>
      </c>
      <c r="B7" s="1374" t="s">
        <v>921</v>
      </c>
      <c r="C7" s="1028">
        <f>IF(C8="不临58条商业街",1,ROUND(1+(1.6*E8+1.2*E9+0.8*E10+0.4*E11)*C9,4))</f>
        <v>1</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9732</v>
      </c>
      <c r="U7" s="2641"/>
      <c r="V7" s="2652">
        <f t="shared" ca="1" si="1"/>
        <v>0</v>
      </c>
      <c r="W7" s="3271" t="s">
        <v>2742</v>
      </c>
      <c r="X7" s="2642" t="str">
        <f>G2</f>
        <v>六级</v>
      </c>
      <c r="Y7" s="2642" t="s">
        <v>2743</v>
      </c>
      <c r="Z7" s="2643">
        <f>G3</f>
        <v>5.79</v>
      </c>
      <c r="AA7" s="2071"/>
      <c r="AB7" s="2071"/>
      <c r="AC7" s="2072"/>
      <c r="AD7" s="2644"/>
      <c r="AE7" s="2644"/>
      <c r="AF7" s="2644"/>
      <c r="AG7" s="2644"/>
      <c r="AH7" s="2644"/>
      <c r="AI7" s="2644"/>
      <c r="AJ7" s="2645"/>
    </row>
    <row r="8" spans="1:39" ht="25.5">
      <c r="A8" s="4033"/>
      <c r="B8" s="1361" t="s">
        <v>923</v>
      </c>
      <c r="C8" s="1467" t="s">
        <v>3064</v>
      </c>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19" t="s">
        <v>2760</v>
      </c>
      <c r="X8" s="402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3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1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3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1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3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18" t="s">
        <v>2758</v>
      </c>
      <c r="X11" s="1033" t="s">
        <v>2743</v>
      </c>
      <c r="Y11" s="1580">
        <f>$G$3</f>
        <v>5.79</v>
      </c>
      <c r="Z11" s="1580">
        <f t="shared" ref="Z11:AJ11" si="3">$G$3</f>
        <v>5.79</v>
      </c>
      <c r="AA11" s="1580">
        <f t="shared" si="3"/>
        <v>5.79</v>
      </c>
      <c r="AB11" s="1580">
        <f t="shared" si="3"/>
        <v>5.79</v>
      </c>
      <c r="AC11" s="1580">
        <f t="shared" si="3"/>
        <v>5.79</v>
      </c>
      <c r="AD11" s="1580">
        <f t="shared" si="3"/>
        <v>5.79</v>
      </c>
      <c r="AE11" s="1580">
        <f t="shared" si="3"/>
        <v>5.79</v>
      </c>
      <c r="AF11" s="1580">
        <f t="shared" si="3"/>
        <v>5.79</v>
      </c>
      <c r="AG11" s="1580">
        <f t="shared" si="3"/>
        <v>5.79</v>
      </c>
      <c r="AH11" s="1580">
        <f t="shared" si="3"/>
        <v>5.79</v>
      </c>
      <c r="AI11" s="1580">
        <f t="shared" si="3"/>
        <v>5.79</v>
      </c>
      <c r="AJ11" s="1580">
        <f t="shared" si="3"/>
        <v>5.79</v>
      </c>
    </row>
    <row r="12" spans="1:39" ht="25.5" thickBot="1">
      <c r="A12" s="403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1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3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18"/>
      <c r="X13" s="2649"/>
      <c r="Y13" s="2648">
        <f>(-0.163*(Y12^2)-0.59*Y12+7617)*(10^(-4))/Y11</f>
        <v>0.13155440414507771</v>
      </c>
      <c r="Z13" s="2648">
        <f t="shared" ref="Z13:AJ13" si="5">(-0.163*(Z12^2)-0.59*Z12+7617)*(10^(-4))/Z11</f>
        <v>0.13155440414507771</v>
      </c>
      <c r="AA13" s="2648">
        <f t="shared" si="5"/>
        <v>0.13155440414507771</v>
      </c>
      <c r="AB13" s="2648">
        <f t="shared" si="5"/>
        <v>0.13155440414507771</v>
      </c>
      <c r="AC13" s="2648">
        <f t="shared" si="5"/>
        <v>0.13155440414507771</v>
      </c>
      <c r="AD13" s="2648">
        <f t="shared" si="5"/>
        <v>0.13155440414507771</v>
      </c>
      <c r="AE13" s="2648">
        <f t="shared" si="5"/>
        <v>0.13155440414507771</v>
      </c>
      <c r="AF13" s="2648">
        <f t="shared" si="5"/>
        <v>0.13155440414507771</v>
      </c>
      <c r="AG13" s="2648">
        <f t="shared" si="5"/>
        <v>0.13155440414507771</v>
      </c>
      <c r="AH13" s="2648">
        <f t="shared" si="5"/>
        <v>0.13155440414507771</v>
      </c>
      <c r="AI13" s="2648">
        <f t="shared" si="5"/>
        <v>0.13155440414507771</v>
      </c>
      <c r="AJ13" s="2648">
        <f t="shared" si="5"/>
        <v>0.13155440414507771</v>
      </c>
    </row>
    <row r="14" spans="1:39" ht="12.75" customHeight="1">
      <c r="A14" s="403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3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32" t="s">
        <v>1826</v>
      </c>
      <c r="B16" s="1374" t="s">
        <v>939</v>
      </c>
      <c r="C16" s="3370">
        <f>ROUND(IF(F17="与级别开发程度一致",0,(G17-E17)/C17),0)</f>
        <v>-6</v>
      </c>
      <c r="D16" s="4026" t="s">
        <v>943</v>
      </c>
      <c r="E16" s="4027"/>
      <c r="F16" s="4026" t="s">
        <v>940</v>
      </c>
      <c r="G16" s="4027"/>
      <c r="H16" s="1406" t="s">
        <v>3148</v>
      </c>
      <c r="I16" s="1406" t="s">
        <v>3149</v>
      </c>
      <c r="J16" s="1406" t="s">
        <v>3150</v>
      </c>
      <c r="K16" s="1406" t="s">
        <v>3167</v>
      </c>
      <c r="L16" s="1406" t="s">
        <v>3165</v>
      </c>
      <c r="M16" s="1406" t="s">
        <v>3168</v>
      </c>
      <c r="N16" s="1406" t="s">
        <v>3151</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3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3147</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地价!Y5</f>
        <v>1.3963000000000001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0.79569999999999996</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0.79569999999999996</v>
      </c>
      <c r="E22" s="1024">
        <f>ROUNDDOWN(G3,1)</f>
        <v>5.7</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0.79820000000000002</v>
      </c>
      <c r="G22" s="1024">
        <f>ROUNDUP(G3,1)</f>
        <v>5.8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0.7954</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1.0589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11946</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2987</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28"/>
      <c r="B33" s="1462" t="s">
        <v>988</v>
      </c>
      <c r="C33" s="1044">
        <f ca="1">ROUND(D5*C19*C20*C24*F33,0)</f>
        <v>10509</v>
      </c>
      <c r="D33" s="1475"/>
      <c r="E33" s="1033">
        <f ca="1">ROUND(C33*D33/10000,0)</f>
        <v>0</v>
      </c>
      <c r="F33" s="1033">
        <f>SUMIF(修正!A45:A56,G2,修正!B45:B56)</f>
        <v>0.7</v>
      </c>
      <c r="G33" s="1033">
        <f t="shared" ref="G33" ca="1" si="6">ROUND(IF(E2="工业",C33*$M$39,C33*$M$38),0)</f>
        <v>2627</v>
      </c>
      <c r="H33" s="1033">
        <f>D33</f>
        <v>0</v>
      </c>
      <c r="I33" s="1033">
        <f ca="1">ROUND(G33*H33/10000,0)</f>
        <v>0</v>
      </c>
      <c r="J33" s="402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29"/>
      <c r="B34" s="1392" t="s">
        <v>989</v>
      </c>
      <c r="C34" s="1044">
        <f ca="1">ROUND(D5*C19*C20*C24*F34,0)</f>
        <v>6005</v>
      </c>
      <c r="D34" s="1475"/>
      <c r="E34" s="1033">
        <f t="shared" ref="E34:E39" ca="1" si="7">ROUND(C34*D34/10000,0)</f>
        <v>0</v>
      </c>
      <c r="F34" s="1033">
        <f>SUMIF(修正!A45:A56,G2,修正!C45:C56)</f>
        <v>0.4</v>
      </c>
      <c r="G34" s="1033">
        <f ca="1">ROUND(IF(E2="工业",C34*$M$39,C34*$M$38),0)</f>
        <v>1501</v>
      </c>
      <c r="H34" s="1033">
        <f t="shared" ref="H34:H39" si="8">D34</f>
        <v>0</v>
      </c>
      <c r="I34" s="1033">
        <f t="shared" ref="I34:I39" ca="1" si="9">ROUND(G34*H34/10000,0)</f>
        <v>0</v>
      </c>
      <c r="J34" s="402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29"/>
      <c r="B35" s="1392" t="s">
        <v>990</v>
      </c>
      <c r="C35" s="1044">
        <f ca="1">ROUND(D5*C19*C20*C24*F35,0)</f>
        <v>4204</v>
      </c>
      <c r="D35" s="1475"/>
      <c r="E35" s="1033">
        <f t="shared" ca="1" si="7"/>
        <v>0</v>
      </c>
      <c r="F35" s="1033">
        <f>SUMIF(修正!A45:A56,G2,修正!D45:D56)</f>
        <v>0.28000000000000003</v>
      </c>
      <c r="G35" s="1033">
        <f ca="1">ROUND(IF(E2="工业",C35*$M$39,C35*$M$38),0)</f>
        <v>1051</v>
      </c>
      <c r="H35" s="1033">
        <f t="shared" si="8"/>
        <v>0</v>
      </c>
      <c r="I35" s="1033">
        <f t="shared" ca="1" si="9"/>
        <v>0</v>
      </c>
      <c r="J35" s="402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0"/>
      <c r="B36" s="1392" t="s">
        <v>991</v>
      </c>
      <c r="C36" s="1044">
        <f ca="1">ROUND(D5*C19*C20*C24*F36,0)</f>
        <v>3753</v>
      </c>
      <c r="D36" s="1475"/>
      <c r="E36" s="1033">
        <f t="shared" ca="1" si="7"/>
        <v>0</v>
      </c>
      <c r="F36" s="1033">
        <f>SUMIF(修正!A45:A56,G2,修正!E45:E56)</f>
        <v>0.25</v>
      </c>
      <c r="G36" s="1033">
        <f ca="1">ROUND(IF(E2="工业",C36*$M$39,C36*$M$38),0)</f>
        <v>938</v>
      </c>
      <c r="H36" s="1033">
        <f t="shared" si="8"/>
        <v>0</v>
      </c>
      <c r="I36" s="1033">
        <f t="shared" ca="1" si="9"/>
        <v>0</v>
      </c>
      <c r="J36" s="403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3753</v>
      </c>
      <c r="D37" s="1475"/>
      <c r="E37" s="1033">
        <f t="shared" ca="1" si="7"/>
        <v>0</v>
      </c>
      <c r="F37" s="1044">
        <f>SUMIF(修正!A45:A56,G2,修正!F45:F56)</f>
        <v>0.25</v>
      </c>
      <c r="G37" s="1033">
        <f ca="1">ROUND(IF(E2="工业",C37*$M$39,C37*$M$38),0)</f>
        <v>938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1.0589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3071</v>
      </c>
      <c r="D47" s="2270">
        <f t="shared" ref="D47:D55" si="10">SUMIF($J$46:$N$46,C47,J47:N47)</f>
        <v>2.1399999999999999E-2</v>
      </c>
      <c r="E47" s="2289">
        <f>ROUND(SUM(D47:D55),4)</f>
        <v>5.8900000000000001E-2</v>
      </c>
      <c r="F47" s="2290">
        <f>IF(E2="商业",SUMIF(L1:L12,G2,N1:N12),"——")</f>
        <v>0.13</v>
      </c>
      <c r="G47" s="2268">
        <f>H47</f>
        <v>2.1399999999999999E-2</v>
      </c>
      <c r="H47" s="2313">
        <f t="shared" ref="H47:H55" si="11">IFERROR(ROUNDDOWN(($F$47*I47/2),4),"——")</f>
        <v>2.1399999999999999E-2</v>
      </c>
      <c r="I47" s="2288">
        <v>0.33</v>
      </c>
      <c r="J47" s="2291">
        <f t="shared" ref="J47:J55" si="12">K47+$G47</f>
        <v>4.2799999999999998E-2</v>
      </c>
      <c r="K47" s="2291">
        <f t="shared" ref="K47:K55" si="13">$L47+$G47</f>
        <v>2.1399999999999999E-2</v>
      </c>
      <c r="L47" s="2291">
        <v>0</v>
      </c>
      <c r="M47" s="2291">
        <f t="shared" ref="M47:N55" si="14">L47-$G47</f>
        <v>-2.1399999999999999E-2</v>
      </c>
      <c r="N47" s="2291">
        <f t="shared" si="14"/>
        <v>-4.2799999999999998E-2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69" t="s">
        <v>3070</v>
      </c>
      <c r="D48" s="2270">
        <f t="shared" si="10"/>
        <v>0</v>
      </c>
      <c r="E48" s="2292"/>
      <c r="F48" s="2290"/>
      <c r="G48" s="2268">
        <f t="shared" ref="G48:G55" si="15">H48</f>
        <v>1.6199999999999999E-2</v>
      </c>
      <c r="H48" s="2313">
        <f t="shared" si="11"/>
        <v>1.6199999999999999E-2</v>
      </c>
      <c r="I48" s="2288">
        <v>0.25</v>
      </c>
      <c r="J48" s="2291">
        <f t="shared" si="12"/>
        <v>3.2399999999999998E-2</v>
      </c>
      <c r="K48" s="2291">
        <f t="shared" si="13"/>
        <v>1.6199999999999999E-2</v>
      </c>
      <c r="L48" s="2291">
        <v>0</v>
      </c>
      <c r="M48" s="2291">
        <f t="shared" si="14"/>
        <v>-1.6199999999999999E-2</v>
      </c>
      <c r="N48" s="2291">
        <f t="shared" si="14"/>
        <v>-3.2399999999999998E-2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1035" t="s">
        <v>3071</v>
      </c>
      <c r="D49" s="2270">
        <f t="shared" si="10"/>
        <v>3.2000000000000002E-3</v>
      </c>
      <c r="E49" s="2292"/>
      <c r="F49" s="2290"/>
      <c r="G49" s="2268">
        <f t="shared" si="15"/>
        <v>3.2000000000000002E-3</v>
      </c>
      <c r="H49" s="2313">
        <f t="shared" si="11"/>
        <v>3.2000000000000002E-3</v>
      </c>
      <c r="I49" s="2288">
        <v>0.05</v>
      </c>
      <c r="J49" s="2291">
        <f t="shared" si="12"/>
        <v>6.4000000000000003E-3</v>
      </c>
      <c r="K49" s="2291">
        <f t="shared" si="13"/>
        <v>3.2000000000000002E-3</v>
      </c>
      <c r="L49" s="2291">
        <v>0</v>
      </c>
      <c r="M49" s="2291">
        <f t="shared" si="14"/>
        <v>-3.2000000000000002E-3</v>
      </c>
      <c r="N49" s="2291">
        <f t="shared" si="14"/>
        <v>-6.4000000000000003E-3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3071</v>
      </c>
      <c r="D50" s="2270">
        <f t="shared" si="10"/>
        <v>3.2000000000000002E-3</v>
      </c>
      <c r="E50" s="2292"/>
      <c r="F50" s="2290"/>
      <c r="G50" s="2268">
        <f t="shared" si="15"/>
        <v>3.2000000000000002E-3</v>
      </c>
      <c r="H50" s="2313">
        <f t="shared" si="11"/>
        <v>3.2000000000000002E-3</v>
      </c>
      <c r="I50" s="2288">
        <v>0.05</v>
      </c>
      <c r="J50" s="2291">
        <f t="shared" si="12"/>
        <v>6.4000000000000003E-3</v>
      </c>
      <c r="K50" s="2291">
        <f t="shared" si="13"/>
        <v>3.2000000000000002E-3</v>
      </c>
      <c r="L50" s="2291">
        <v>0</v>
      </c>
      <c r="M50" s="2291">
        <f t="shared" si="14"/>
        <v>-3.2000000000000002E-3</v>
      </c>
      <c r="N50" s="2291">
        <f t="shared" si="14"/>
        <v>-6.4000000000000003E-3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3071</v>
      </c>
      <c r="D51" s="2270">
        <f t="shared" si="10"/>
        <v>5.1999999999999998E-3</v>
      </c>
      <c r="E51" s="2292"/>
      <c r="F51" s="2290"/>
      <c r="G51" s="2268">
        <f t="shared" si="15"/>
        <v>5.1999999999999998E-3</v>
      </c>
      <c r="H51" s="2313">
        <f t="shared" si="11"/>
        <v>5.1999999999999998E-3</v>
      </c>
      <c r="I51" s="2288">
        <v>0.08</v>
      </c>
      <c r="J51" s="2291">
        <f t="shared" si="12"/>
        <v>1.04E-2</v>
      </c>
      <c r="K51" s="2291">
        <f t="shared" si="13"/>
        <v>5.1999999999999998E-3</v>
      </c>
      <c r="L51" s="2291">
        <v>0</v>
      </c>
      <c r="M51" s="2291">
        <f t="shared" si="14"/>
        <v>-5.1999999999999998E-3</v>
      </c>
      <c r="N51" s="2291">
        <f t="shared" si="14"/>
        <v>-1.04E-2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3071</v>
      </c>
      <c r="D52" s="2270">
        <f t="shared" si="10"/>
        <v>1.9E-3</v>
      </c>
      <c r="E52" s="2292"/>
      <c r="F52" s="2290"/>
      <c r="G52" s="2268">
        <f t="shared" si="15"/>
        <v>1.9E-3</v>
      </c>
      <c r="H52" s="2313">
        <f t="shared" si="11"/>
        <v>1.9E-3</v>
      </c>
      <c r="I52" s="2288">
        <v>0.03</v>
      </c>
      <c r="J52" s="2291">
        <f t="shared" si="12"/>
        <v>3.8E-3</v>
      </c>
      <c r="K52" s="2291">
        <f t="shared" si="13"/>
        <v>1.9E-3</v>
      </c>
      <c r="L52" s="2291">
        <v>0</v>
      </c>
      <c r="M52" s="2291">
        <f t="shared" si="14"/>
        <v>-1.9E-3</v>
      </c>
      <c r="N52" s="2291">
        <f t="shared" si="14"/>
        <v>-3.8E-3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3071</v>
      </c>
      <c r="D53" s="2270">
        <f t="shared" si="10"/>
        <v>3.2000000000000002E-3</v>
      </c>
      <c r="E53" s="2292"/>
      <c r="F53" s="2290"/>
      <c r="G53" s="2268">
        <f t="shared" si="15"/>
        <v>3.2000000000000002E-3</v>
      </c>
      <c r="H53" s="2313">
        <f t="shared" si="11"/>
        <v>3.2000000000000002E-3</v>
      </c>
      <c r="I53" s="2288">
        <v>0.05</v>
      </c>
      <c r="J53" s="2291">
        <f t="shared" si="12"/>
        <v>6.4000000000000003E-3</v>
      </c>
      <c r="K53" s="2291">
        <f t="shared" si="13"/>
        <v>3.2000000000000002E-3</v>
      </c>
      <c r="L53" s="2291">
        <v>0</v>
      </c>
      <c r="M53" s="2291">
        <f t="shared" si="14"/>
        <v>-3.2000000000000002E-3</v>
      </c>
      <c r="N53" s="2291">
        <f t="shared" si="14"/>
        <v>-6.4000000000000003E-3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3077</v>
      </c>
      <c r="D54" s="2270">
        <f t="shared" si="10"/>
        <v>1.2999999999999999E-2</v>
      </c>
      <c r="E54" s="2292"/>
      <c r="F54" s="2290"/>
      <c r="G54" s="2268">
        <f t="shared" si="15"/>
        <v>6.4999999999999997E-3</v>
      </c>
      <c r="H54" s="2313">
        <f t="shared" si="11"/>
        <v>6.4999999999999997E-3</v>
      </c>
      <c r="I54" s="2288">
        <v>0.1</v>
      </c>
      <c r="J54" s="2291">
        <f t="shared" si="12"/>
        <v>1.2999999999999999E-2</v>
      </c>
      <c r="K54" s="2291">
        <f t="shared" si="13"/>
        <v>6.4999999999999997E-3</v>
      </c>
      <c r="L54" s="2291">
        <v>0</v>
      </c>
      <c r="M54" s="2291">
        <f t="shared" si="14"/>
        <v>-6.4999999999999997E-3</v>
      </c>
      <c r="N54" s="2291">
        <f t="shared" si="14"/>
        <v>-1.2999999999999999E-2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3077</v>
      </c>
      <c r="D55" s="2270">
        <f t="shared" si="10"/>
        <v>7.7999999999999996E-3</v>
      </c>
      <c r="E55" s="2296"/>
      <c r="F55" s="2290"/>
      <c r="G55" s="2268">
        <f t="shared" si="15"/>
        <v>3.8999999999999998E-3</v>
      </c>
      <c r="H55" s="2313">
        <f t="shared" si="11"/>
        <v>3.8999999999999998E-3</v>
      </c>
      <c r="I55" s="2295">
        <v>0.06</v>
      </c>
      <c r="J55" s="2291">
        <f t="shared" si="12"/>
        <v>7.7999999999999996E-3</v>
      </c>
      <c r="K55" s="2291">
        <f t="shared" si="13"/>
        <v>3.8999999999999998E-3</v>
      </c>
      <c r="L55" s="2291">
        <v>0</v>
      </c>
      <c r="M55" s="2291">
        <f t="shared" si="14"/>
        <v>-3.8999999999999998E-3</v>
      </c>
      <c r="N55" s="2291">
        <f t="shared" si="14"/>
        <v>-7.7999999999999996E-3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37" t="s">
        <v>1622</v>
      </c>
      <c r="B90" s="4037"/>
      <c r="C90" s="4037"/>
      <c r="D90" s="4037"/>
      <c r="E90" s="4037"/>
      <c r="F90" s="4037"/>
      <c r="G90" s="4037"/>
      <c r="H90" s="4037"/>
      <c r="I90" s="4037"/>
      <c r="J90" s="4037"/>
      <c r="K90" s="3269"/>
      <c r="L90" s="3269"/>
      <c r="M90" s="3269"/>
      <c r="N90" s="3269"/>
    </row>
    <row r="91" spans="1:40">
      <c r="A91" s="4038" t="s">
        <v>1432</v>
      </c>
      <c r="B91" s="4038" t="s">
        <v>1623</v>
      </c>
      <c r="C91" s="1121" t="s">
        <v>1624</v>
      </c>
      <c r="D91" s="1122"/>
      <c r="E91" s="1122"/>
      <c r="F91" s="1122"/>
      <c r="G91" s="1122"/>
      <c r="H91" s="1122"/>
      <c r="I91" s="1122"/>
      <c r="J91" s="1123"/>
      <c r="K91" s="1115"/>
      <c r="L91" s="1115"/>
      <c r="M91" s="1115"/>
      <c r="N91" s="1115"/>
    </row>
    <row r="92" spans="1:40">
      <c r="A92" s="4038"/>
      <c r="B92" s="4038"/>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2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2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2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2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2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2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2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2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1" t="s">
        <v>1626</v>
      </c>
      <c r="B101" s="1128" t="s">
        <v>872</v>
      </c>
      <c r="C101" s="1129">
        <f>$G$3</f>
        <v>5.79</v>
      </c>
      <c r="D101" s="1129">
        <f t="shared" ref="D101:N101" si="32">$G$3</f>
        <v>5.79</v>
      </c>
      <c r="E101" s="1129">
        <f t="shared" si="32"/>
        <v>5.79</v>
      </c>
      <c r="F101" s="1129">
        <f t="shared" si="32"/>
        <v>5.79</v>
      </c>
      <c r="G101" s="1129">
        <f t="shared" si="32"/>
        <v>5.79</v>
      </c>
      <c r="H101" s="1129">
        <f t="shared" si="32"/>
        <v>5.79</v>
      </c>
      <c r="I101" s="1129">
        <f t="shared" si="32"/>
        <v>5.79</v>
      </c>
      <c r="J101" s="1129">
        <f t="shared" si="32"/>
        <v>5.79</v>
      </c>
      <c r="K101" s="1129">
        <f t="shared" si="32"/>
        <v>5.79</v>
      </c>
      <c r="L101" s="1129">
        <f t="shared" si="32"/>
        <v>5.79</v>
      </c>
      <c r="M101" s="1129">
        <f t="shared" si="32"/>
        <v>5.79</v>
      </c>
      <c r="N101" s="1129">
        <f t="shared" si="32"/>
        <v>5.79</v>
      </c>
    </row>
    <row r="102" spans="1:14">
      <c r="A102" s="4022"/>
      <c r="B102" s="1124">
        <v>1</v>
      </c>
      <c r="C102" s="1125">
        <f>1.9362/C101</f>
        <v>0.33440414507772021</v>
      </c>
      <c r="D102" s="1125">
        <f>1.9362/D101</f>
        <v>0.33440414507772021</v>
      </c>
      <c r="E102" s="1125">
        <f>1.8629/E101</f>
        <v>0.32174438687392054</v>
      </c>
      <c r="F102" s="1125">
        <f>1.8629/F101</f>
        <v>0.32174438687392054</v>
      </c>
      <c r="G102" s="1125">
        <f>1.8629/G101</f>
        <v>0.32174438687392054</v>
      </c>
      <c r="H102" s="1125">
        <f>1.8629/H101</f>
        <v>0.32174438687392054</v>
      </c>
      <c r="I102" s="1125">
        <f>1.8629/I101</f>
        <v>0.32174438687392054</v>
      </c>
      <c r="J102" s="1125">
        <f>1.942/J101</f>
        <v>0.33540587219343693</v>
      </c>
      <c r="K102" s="1125">
        <f>1.942/K101</f>
        <v>0.33540587219343693</v>
      </c>
      <c r="L102" s="1125">
        <f>1.942/L101</f>
        <v>0.33540587219343693</v>
      </c>
      <c r="M102" s="1125">
        <f>1.942/M101</f>
        <v>0.33540587219343693</v>
      </c>
      <c r="N102" s="1125">
        <f>1.942/N101</f>
        <v>0.33540587219343693</v>
      </c>
    </row>
    <row r="103" spans="1:14">
      <c r="A103" s="4022"/>
      <c r="B103" s="1124">
        <v>2</v>
      </c>
      <c r="C103" s="1125">
        <f>1.4198/C101</f>
        <v>0.24521588946459411</v>
      </c>
      <c r="D103" s="1125">
        <f>1.4198/D101</f>
        <v>0.24521588946459411</v>
      </c>
      <c r="E103" s="1125">
        <f>1.3372/E101</f>
        <v>0.23094991364421416</v>
      </c>
      <c r="F103" s="1125">
        <f>1.3372/F101</f>
        <v>0.23094991364421416</v>
      </c>
      <c r="G103" s="1125">
        <f>1.3372/G101</f>
        <v>0.23094991364421416</v>
      </c>
      <c r="H103" s="1125">
        <f>1.3372/H101</f>
        <v>0.23094991364421416</v>
      </c>
      <c r="I103" s="1125">
        <f>1.3372/I101</f>
        <v>0.23094991364421416</v>
      </c>
      <c r="J103" s="1125">
        <f>1.2799/J101</f>
        <v>0.22105354058721935</v>
      </c>
      <c r="K103" s="1125">
        <f>1.2799/K101</f>
        <v>0.22105354058721935</v>
      </c>
      <c r="L103" s="1125">
        <f>1.2799/L101</f>
        <v>0.22105354058721935</v>
      </c>
      <c r="M103" s="1125">
        <f>1.2799/M101</f>
        <v>0.22105354058721935</v>
      </c>
      <c r="N103" s="1125">
        <f>1.2799/N101</f>
        <v>0.22105354058721935</v>
      </c>
    </row>
    <row r="104" spans="1:14">
      <c r="A104" s="4022"/>
      <c r="B104" s="1124">
        <v>3</v>
      </c>
      <c r="C104" s="1125">
        <f>1.1594/C101</f>
        <v>0.20024179620034541</v>
      </c>
      <c r="D104" s="1125">
        <f>1.1594/D101</f>
        <v>0.20024179620034541</v>
      </c>
      <c r="E104" s="1125">
        <f>1.0788/E101</f>
        <v>0.18632124352331605</v>
      </c>
      <c r="F104" s="1125">
        <f>1.0788/F101</f>
        <v>0.18632124352331605</v>
      </c>
      <c r="G104" s="1125">
        <f>1.0788/G101</f>
        <v>0.18632124352331605</v>
      </c>
      <c r="H104" s="1125">
        <f>1.0788/H101</f>
        <v>0.18632124352331605</v>
      </c>
      <c r="I104" s="1125">
        <f>1.0788/I101</f>
        <v>0.18632124352331605</v>
      </c>
      <c r="J104" s="1125">
        <f>1.0072/J101</f>
        <v>0.17395509499136444</v>
      </c>
      <c r="K104" s="1125">
        <f>1.0072/K101</f>
        <v>0.17395509499136444</v>
      </c>
      <c r="L104" s="1125">
        <f>1.0072/L101</f>
        <v>0.17395509499136444</v>
      </c>
      <c r="M104" s="1125">
        <f>1.0072/M101</f>
        <v>0.17395509499136444</v>
      </c>
      <c r="N104" s="1125">
        <f>1.0072/N101</f>
        <v>0.17395509499136444</v>
      </c>
    </row>
    <row r="105" spans="1:14">
      <c r="A105" s="4022"/>
      <c r="B105" s="1124">
        <v>4</v>
      </c>
      <c r="C105" s="1125">
        <f>0.9622/C101</f>
        <v>0.16618307426597584</v>
      </c>
      <c r="D105" s="1125">
        <f>0.9622/D101</f>
        <v>0.16618307426597584</v>
      </c>
      <c r="E105" s="1125">
        <f>0.8656/E101</f>
        <v>0.14949913644214163</v>
      </c>
      <c r="F105" s="1125">
        <f>0.8656/F101</f>
        <v>0.14949913644214163</v>
      </c>
      <c r="G105" s="1125">
        <f>0.8656/G101</f>
        <v>0.14949913644214163</v>
      </c>
      <c r="H105" s="1125">
        <f>0.8656/H101</f>
        <v>0.14949913644214163</v>
      </c>
      <c r="I105" s="1125">
        <f>0.8656/I101</f>
        <v>0.14949913644214163</v>
      </c>
      <c r="J105" s="1125">
        <f>0.7525/J101</f>
        <v>0.12996545768566492</v>
      </c>
      <c r="K105" s="1125">
        <f>0.7525/K101</f>
        <v>0.12996545768566492</v>
      </c>
      <c r="L105" s="1125">
        <f>0.7525/L101</f>
        <v>0.12996545768566492</v>
      </c>
      <c r="M105" s="1125">
        <f>0.7525/M101</f>
        <v>0.12996545768566492</v>
      </c>
      <c r="N105" s="1125">
        <f>0.7525/N101</f>
        <v>0.12996545768566492</v>
      </c>
    </row>
    <row r="106" spans="1:14">
      <c r="A106" s="4022"/>
      <c r="B106" s="1124">
        <v>5</v>
      </c>
      <c r="C106" s="1125">
        <f>0.8417/C101</f>
        <v>0.1453713298791019</v>
      </c>
      <c r="D106" s="1125">
        <f>0.8417/D101</f>
        <v>0.1453713298791019</v>
      </c>
      <c r="E106" s="1125">
        <f>0.7371/E101</f>
        <v>0.12730569948186529</v>
      </c>
      <c r="F106" s="1125">
        <f>0.7371/F101</f>
        <v>0.12730569948186529</v>
      </c>
      <c r="G106" s="1125">
        <f>0.7371/G101</f>
        <v>0.12730569948186529</v>
      </c>
      <c r="H106" s="1125">
        <f>0.7371/H101</f>
        <v>0.12730569948186529</v>
      </c>
      <c r="I106" s="1125">
        <f>0.7371/I101</f>
        <v>0.12730569948186529</v>
      </c>
      <c r="J106" s="1125">
        <f>0.5659/J101</f>
        <v>9.7737478411053527E-2</v>
      </c>
      <c r="K106" s="1125">
        <f>0.5659/K101</f>
        <v>9.7737478411053527E-2</v>
      </c>
      <c r="L106" s="1125">
        <f>0.5659/L101</f>
        <v>9.7737478411053527E-2</v>
      </c>
      <c r="M106" s="1125">
        <f>0.5659/M101</f>
        <v>9.7737478411053527E-2</v>
      </c>
      <c r="N106" s="1125">
        <f>0.5659/N101</f>
        <v>9.7737478411053527E-2</v>
      </c>
    </row>
    <row r="107" spans="1:14">
      <c r="A107" s="4022"/>
      <c r="B107" s="1124">
        <v>6</v>
      </c>
      <c r="C107" s="1125">
        <f>0.7608/C101</f>
        <v>0.13139896373056995</v>
      </c>
      <c r="D107" s="1125">
        <f>0.7608/D101</f>
        <v>0.13139896373056995</v>
      </c>
      <c r="E107" s="1125">
        <f>0.6482/E101</f>
        <v>0.11195164075993091</v>
      </c>
      <c r="F107" s="1125">
        <f>0.6482/F101</f>
        <v>0.11195164075993091</v>
      </c>
      <c r="G107" s="1125">
        <f>0.6482/G101</f>
        <v>0.11195164075993091</v>
      </c>
      <c r="H107" s="1125">
        <f>0.6482/H101</f>
        <v>0.11195164075993091</v>
      </c>
      <c r="I107" s="1125">
        <f>0.6482/I101</f>
        <v>0.11195164075993091</v>
      </c>
      <c r="J107" s="1125">
        <f>0.4525/J101</f>
        <v>7.8151986183074271E-2</v>
      </c>
      <c r="K107" s="1125">
        <f>0.4525/K101</f>
        <v>7.8151986183074271E-2</v>
      </c>
      <c r="L107" s="1125">
        <f>0.4525/L101</f>
        <v>7.8151986183074271E-2</v>
      </c>
      <c r="M107" s="1125">
        <f>0.4525/M101</f>
        <v>7.8151986183074271E-2</v>
      </c>
      <c r="N107" s="1125">
        <f>0.4525/N101</f>
        <v>7.8151986183074271E-2</v>
      </c>
    </row>
    <row r="108" spans="1:14">
      <c r="A108" s="4022"/>
      <c r="B108" s="402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23"/>
      <c r="B109" s="4025"/>
      <c r="C109" s="1127">
        <f>(-0.163*(C108^2)-0.59*C108+7617)*(10^(-4))/C101</f>
        <v>0.13155440414507771</v>
      </c>
      <c r="D109" s="1127">
        <f>(-0.163*(D108^2)-0.59*D108+7617)*(10^(-4))/D101</f>
        <v>0.13155440414507771</v>
      </c>
      <c r="E109" s="1127">
        <f>(-0.161*(E108^2)-7.509*E108+6533)*(10^(-4))/E101</f>
        <v>0.11283246977547495</v>
      </c>
      <c r="F109" s="1127">
        <f>(-0.161*(F108^2)-7.509*F108+6533)*(10^(-4))/F101</f>
        <v>0.11283246977547495</v>
      </c>
      <c r="G109" s="1127">
        <f>(-0.161*(G108^2)-7.509*G108+6533)*(10^(-4))/G101</f>
        <v>0.11283246977547495</v>
      </c>
      <c r="H109" s="1127">
        <f>(-0.161*(H108^2)-7.509*H108+6533)*(10^(-4))/H101</f>
        <v>0.11283246977547495</v>
      </c>
      <c r="I109" s="1127">
        <f>(-0.161*(I108^2)-7.509*I108+6533)*(10^(-4))/I101</f>
        <v>0.11283246977547495</v>
      </c>
      <c r="J109" s="1127">
        <f>(-0.214*(J108^2)-21.991*J108+4665)*(10^(-4))/J101</f>
        <v>8.0569948186528503E-2</v>
      </c>
      <c r="K109" s="1127">
        <f>(-0.214*(K108^2)-21.991*K108+4665)*(10^(-4))/K101</f>
        <v>8.0569948186528503E-2</v>
      </c>
      <c r="L109" s="1127">
        <f>(-0.214*(L108^2)-21.991*L108+4665)*(10^(-4))/L101</f>
        <v>8.0569948186528503E-2</v>
      </c>
      <c r="M109" s="1127">
        <f>(-0.214*(M108^2)-21.991*M108+4665)*(10^(-4))/M101</f>
        <v>8.0569948186528503E-2</v>
      </c>
      <c r="N109" s="1127">
        <f>(-0.214*(N108^2)-21.991*N108+4665)*(10^(-4))/N101</f>
        <v>8.0569948186528503E-2</v>
      </c>
    </row>
    <row r="110" spans="1:14">
      <c r="A110" s="4031" t="s">
        <v>1628</v>
      </c>
      <c r="B110" s="4031"/>
      <c r="C110" s="4031"/>
      <c r="D110" s="4031"/>
      <c r="E110" s="4031"/>
      <c r="F110" s="4031"/>
      <c r="G110" s="4031"/>
      <c r="H110" s="4031"/>
      <c r="I110" s="4031"/>
      <c r="J110" s="4031"/>
      <c r="K110" s="3268"/>
      <c r="L110" s="3268"/>
      <c r="M110" s="3268"/>
      <c r="N110" s="3268"/>
    </row>
    <row r="112" spans="1:14" ht="12.75" thickBot="1"/>
    <row r="113" spans="1:13" ht="25.5" thickBot="1">
      <c r="A113" s="1001" t="s">
        <v>885</v>
      </c>
      <c r="B113" s="2304">
        <f>G3</f>
        <v>5.79</v>
      </c>
      <c r="C113" s="1002" t="s">
        <v>886</v>
      </c>
      <c r="D113" s="1003">
        <f>SUMPRODUCT((A115:A118=F113)*(B114:M114=H113)*B115:M118)</f>
        <v>0.77</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0.87909999999999999</v>
      </c>
      <c r="C115" s="1015">
        <f>B115</f>
        <v>0.87909999999999999</v>
      </c>
      <c r="D115" s="1015">
        <f>ROUND(0.8331-0.0109*B113,4)</f>
        <v>0.77</v>
      </c>
      <c r="E115" s="1015">
        <f>D115</f>
        <v>0.77</v>
      </c>
      <c r="F115" s="1015">
        <f>E115</f>
        <v>0.77</v>
      </c>
      <c r="G115" s="1015">
        <f>F115</f>
        <v>0.77</v>
      </c>
      <c r="H115" s="1015">
        <f>G115</f>
        <v>0.77</v>
      </c>
      <c r="I115" s="1015">
        <f>ROUND(0.689-0.0155*B113,4)</f>
        <v>0.59930000000000005</v>
      </c>
      <c r="J115" s="1015">
        <f t="shared" ref="J115:M118" si="34">I115</f>
        <v>0.59930000000000005</v>
      </c>
      <c r="K115" s="1015">
        <f t="shared" si="34"/>
        <v>0.59930000000000005</v>
      </c>
      <c r="L115" s="1015">
        <f t="shared" si="34"/>
        <v>0.59930000000000005</v>
      </c>
      <c r="M115" s="1016">
        <f t="shared" si="34"/>
        <v>0.59930000000000005</v>
      </c>
    </row>
    <row r="116" spans="1:13" ht="12.75">
      <c r="A116" s="1014" t="s">
        <v>890</v>
      </c>
      <c r="B116" s="1015">
        <f>ROUND(0.949-0.012*B113,4)</f>
        <v>0.87949999999999995</v>
      </c>
      <c r="C116" s="1015">
        <f>B116</f>
        <v>0.87949999999999995</v>
      </c>
      <c r="D116" s="1015">
        <f>ROUND(0.8567-0.013*B113,4)</f>
        <v>0.78139999999999998</v>
      </c>
      <c r="E116" s="1015">
        <f t="shared" ref="E116:H117" si="35">D116</f>
        <v>0.78139999999999998</v>
      </c>
      <c r="F116" s="1015">
        <f t="shared" si="35"/>
        <v>0.78139999999999998</v>
      </c>
      <c r="G116" s="1015">
        <f t="shared" si="35"/>
        <v>0.78139999999999998</v>
      </c>
      <c r="H116" s="1015">
        <f t="shared" si="35"/>
        <v>0.78139999999999998</v>
      </c>
      <c r="I116" s="1015">
        <f>ROUND(0.7694-0.014*B113,4)</f>
        <v>0.68830000000000002</v>
      </c>
      <c r="J116" s="1015">
        <f t="shared" si="34"/>
        <v>0.68830000000000002</v>
      </c>
      <c r="K116" s="1015">
        <f t="shared" si="34"/>
        <v>0.68830000000000002</v>
      </c>
      <c r="L116" s="1015">
        <f t="shared" si="34"/>
        <v>0.68830000000000002</v>
      </c>
      <c r="M116" s="1016">
        <f t="shared" si="34"/>
        <v>0.68830000000000002</v>
      </c>
    </row>
    <row r="117" spans="1:13" ht="12.75">
      <c r="A117" s="1017" t="s">
        <v>891</v>
      </c>
      <c r="B117" s="1015">
        <f>ROUND(0.8808-0.006*B113,4)</f>
        <v>0.84609999999999996</v>
      </c>
      <c r="C117" s="1015">
        <f>B117</f>
        <v>0.84609999999999996</v>
      </c>
      <c r="D117" s="1015">
        <f>ROUND(0.8748-0.008*B113,4)</f>
        <v>0.82850000000000001</v>
      </c>
      <c r="E117" s="1015">
        <f t="shared" si="35"/>
        <v>0.82850000000000001</v>
      </c>
      <c r="F117" s="1015">
        <f t="shared" si="35"/>
        <v>0.82850000000000001</v>
      </c>
      <c r="G117" s="1015">
        <f t="shared" si="35"/>
        <v>0.82850000000000001</v>
      </c>
      <c r="H117" s="1015">
        <f t="shared" si="35"/>
        <v>0.82850000000000001</v>
      </c>
      <c r="I117" s="1015">
        <f>ROUND(0.7412-0.0095*B113,4)</f>
        <v>0.68620000000000003</v>
      </c>
      <c r="J117" s="1015">
        <f t="shared" si="34"/>
        <v>0.68620000000000003</v>
      </c>
      <c r="K117" s="1015">
        <f t="shared" si="34"/>
        <v>0.68620000000000003</v>
      </c>
      <c r="L117" s="1015">
        <f t="shared" si="34"/>
        <v>0.68620000000000003</v>
      </c>
      <c r="M117" s="1016">
        <f t="shared" si="34"/>
        <v>0.68620000000000003</v>
      </c>
    </row>
    <row r="118" spans="1:13" ht="13.5" thickBot="1">
      <c r="A118" s="1018" t="s">
        <v>892</v>
      </c>
      <c r="B118" s="1019">
        <f>ROUND(0.7275-0.01*B113,4)</f>
        <v>0.66959999999999997</v>
      </c>
      <c r="C118" s="1019">
        <f>B118</f>
        <v>0.66959999999999997</v>
      </c>
      <c r="D118" s="1019">
        <f>ROUND(0.7043-0.012*B113,4)</f>
        <v>0.63480000000000003</v>
      </c>
      <c r="E118" s="1019">
        <f>D118</f>
        <v>0.63480000000000003</v>
      </c>
      <c r="F118" s="1019">
        <f>E118</f>
        <v>0.63480000000000003</v>
      </c>
      <c r="G118" s="1019">
        <f>ROUND(0.6299-0.0122*B113,4)</f>
        <v>0.55930000000000002</v>
      </c>
      <c r="H118" s="1019">
        <f>G118</f>
        <v>0.55930000000000002</v>
      </c>
      <c r="I118" s="1019">
        <f>ROUND(0.5667-0.0136*B113,4)</f>
        <v>0.48799999999999999</v>
      </c>
      <c r="J118" s="1019">
        <f t="shared" si="34"/>
        <v>0.48799999999999999</v>
      </c>
      <c r="K118" s="1019">
        <f t="shared" si="34"/>
        <v>0.48799999999999999</v>
      </c>
      <c r="L118" s="1019">
        <f t="shared" si="34"/>
        <v>0.48799999999999999</v>
      </c>
      <c r="M118" s="1020">
        <f t="shared" si="34"/>
        <v>0.48799999999999999</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14" priority="5" stopIfTrue="1" operator="notEqual">
      <formula>"——"</formula>
    </cfRule>
  </conditionalFormatting>
  <conditionalFormatting sqref="F58">
    <cfRule type="cellIs" dxfId="213" priority="4" stopIfTrue="1" operator="notEqual">
      <formula>"——"</formula>
    </cfRule>
  </conditionalFormatting>
  <conditionalFormatting sqref="F69">
    <cfRule type="cellIs" dxfId="212" priority="3" stopIfTrue="1" operator="notEqual">
      <formula>"——"</formula>
    </cfRule>
  </conditionalFormatting>
  <conditionalFormatting sqref="F80">
    <cfRule type="cellIs" dxfId="211" priority="2" stopIfTrue="1" operator="notEqual">
      <formula>"——"</formula>
    </cfRule>
  </conditionalFormatting>
  <conditionalFormatting sqref="H58:H66 H47:H55 H69:H77 H80:H87">
    <cfRule type="cellIs" dxfId="21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81070.11平方米。根据《建设工程规划许可证》[]、《出让合同》[]，估价对象规划建筑面积为771700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根据《国有土地使用证》[]，估价对象（分摊）出让国有建设用地使用权面积为81070.11平方米。根据《建设工程规划许可证》[]、《出让合同》[]，估价对象规划建筑面积为771700平方米。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E3" sqref="E3"/>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980</v>
      </c>
      <c r="D1" s="1459">
        <f>SUM(D29:D30,D33:D39)</f>
        <v>302100</v>
      </c>
      <c r="E1" s="1353" t="s">
        <v>2409</v>
      </c>
      <c r="F1" s="2305">
        <f>'数据-汇总表'!D3</f>
        <v>81070.11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359167</v>
      </c>
      <c r="C2" s="1354" t="s">
        <v>910</v>
      </c>
      <c r="D2" s="1355" t="s">
        <v>887</v>
      </c>
      <c r="E2" s="1356" t="s">
        <v>1665</v>
      </c>
      <c r="F2" s="1355" t="s">
        <v>888</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27786</v>
      </c>
      <c r="U2" s="2641"/>
      <c r="V2" s="2652">
        <f ca="1">ROUND(T2*U2/10000,0)</f>
        <v>0</v>
      </c>
      <c r="W2" s="2068"/>
      <c r="X2" s="2068"/>
      <c r="Y2" s="2068"/>
      <c r="Z2" s="2068"/>
      <c r="AA2" s="2068"/>
      <c r="AB2" s="2068"/>
      <c r="AC2" s="2069"/>
    </row>
    <row r="3" spans="1:39" ht="24">
      <c r="A3" s="1358" t="s">
        <v>1675</v>
      </c>
      <c r="B3" s="1023">
        <f ca="1">ROUND(B2*10000/D1,0)</f>
        <v>11889</v>
      </c>
      <c r="C3" s="1354" t="s">
        <v>916</v>
      </c>
      <c r="D3" s="1355" t="s">
        <v>917</v>
      </c>
      <c r="E3" s="1359" t="s">
        <v>3065</v>
      </c>
      <c r="F3" s="1360" t="s">
        <v>3060</v>
      </c>
      <c r="G3" s="1024">
        <f>IF(F3="宗地容积率",'数据-汇总表'!I4,IF(F3="估价对象容积率",'数据-汇总表'!I6,'数据-汇总表'!I7))</f>
        <v>5.79</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19945</v>
      </c>
      <c r="U3" s="2641"/>
      <c r="V3" s="2652">
        <f t="shared" ref="V3:V16" ca="1" si="1">ROUND(T3*U3/10000,0)</f>
        <v>0</v>
      </c>
      <c r="W3" s="2068"/>
      <c r="X3" s="2068"/>
      <c r="Y3" s="2068"/>
      <c r="Z3" s="2068"/>
      <c r="AA3" s="2068"/>
      <c r="AB3" s="2068"/>
      <c r="AC3" s="2069"/>
    </row>
    <row r="4" spans="1:39" ht="28.5">
      <c r="A4" s="1803" t="s">
        <v>2265</v>
      </c>
      <c r="B4" s="2306">
        <f ca="1">ROUND(B2*10000/F1,0)</f>
        <v>44303</v>
      </c>
      <c r="C4" s="1806" t="s">
        <v>2240</v>
      </c>
      <c r="D4" s="1806">
        <f ca="1">ROUND(B2/(F1/666.67),0)</f>
        <v>2954</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16091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12911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SUMIF(L1:L12,基准地价商务公寓!G2,M1:M12)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10994</v>
      </c>
      <c r="U6" s="2641"/>
      <c r="V6" s="2652">
        <f t="shared" ca="1" si="1"/>
        <v>0</v>
      </c>
      <c r="W6" s="2068"/>
      <c r="X6" s="2068"/>
      <c r="Y6" s="2068"/>
      <c r="Z6" s="2068"/>
      <c r="AA6" s="2068"/>
      <c r="AB6" s="2068"/>
      <c r="AC6" s="2070"/>
      <c r="AD6" s="1366"/>
      <c r="AE6" s="1366"/>
      <c r="AF6" s="1366"/>
      <c r="AG6" s="1366"/>
      <c r="AH6" s="1366"/>
      <c r="AI6" s="1366"/>
      <c r="AJ6" s="1367"/>
    </row>
    <row r="7" spans="1:39" ht="24">
      <c r="A7" s="4032"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9668</v>
      </c>
      <c r="U7" s="2641"/>
      <c r="V7" s="2652">
        <f t="shared" ca="1" si="1"/>
        <v>0</v>
      </c>
      <c r="W7" s="3393" t="s">
        <v>2742</v>
      </c>
      <c r="X7" s="2642" t="str">
        <f>G2</f>
        <v>六级</v>
      </c>
      <c r="Y7" s="2642" t="s">
        <v>2743</v>
      </c>
      <c r="Z7" s="2643">
        <f>G3</f>
        <v>5.79</v>
      </c>
      <c r="AA7" s="2071"/>
      <c r="AB7" s="2071"/>
      <c r="AC7" s="2072"/>
      <c r="AD7" s="2644"/>
      <c r="AE7" s="2644"/>
      <c r="AF7" s="2644"/>
      <c r="AG7" s="2644"/>
      <c r="AH7" s="2644"/>
      <c r="AI7" s="2644"/>
      <c r="AJ7" s="2645"/>
    </row>
    <row r="8" spans="1:39" ht="15">
      <c r="A8" s="4033"/>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19" t="s">
        <v>2760</v>
      </c>
      <c r="X8" s="402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3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1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3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1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3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18" t="s">
        <v>2758</v>
      </c>
      <c r="X11" s="1033" t="s">
        <v>2743</v>
      </c>
      <c r="Y11" s="1580">
        <f>$G$3</f>
        <v>5.79</v>
      </c>
      <c r="Z11" s="1580">
        <f t="shared" ref="Z11:AJ11" si="3">$G$3</f>
        <v>5.79</v>
      </c>
      <c r="AA11" s="1580">
        <f t="shared" si="3"/>
        <v>5.79</v>
      </c>
      <c r="AB11" s="1580">
        <f t="shared" si="3"/>
        <v>5.79</v>
      </c>
      <c r="AC11" s="1580">
        <f t="shared" si="3"/>
        <v>5.79</v>
      </c>
      <c r="AD11" s="1580">
        <f t="shared" si="3"/>
        <v>5.79</v>
      </c>
      <c r="AE11" s="1580">
        <f t="shared" si="3"/>
        <v>5.79</v>
      </c>
      <c r="AF11" s="1580">
        <f t="shared" si="3"/>
        <v>5.79</v>
      </c>
      <c r="AG11" s="1580">
        <f t="shared" si="3"/>
        <v>5.79</v>
      </c>
      <c r="AH11" s="1580">
        <f t="shared" si="3"/>
        <v>5.79</v>
      </c>
      <c r="AI11" s="1580">
        <f t="shared" si="3"/>
        <v>5.79</v>
      </c>
      <c r="AJ11" s="1580">
        <f t="shared" si="3"/>
        <v>5.79</v>
      </c>
    </row>
    <row r="12" spans="1:39" ht="25.5" thickBot="1">
      <c r="A12" s="403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1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3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18"/>
      <c r="X13" s="2649"/>
      <c r="Y13" s="2648">
        <f>(-0.163*(Y12^2)-0.59*Y12+7617)*(10^(-4))/Y11</f>
        <v>0.13155440414507771</v>
      </c>
      <c r="Z13" s="2648">
        <f t="shared" ref="Z13:AJ13" si="5">(-0.163*(Z12^2)-0.59*Z12+7617)*(10^(-4))/Z11</f>
        <v>0.13155440414507771</v>
      </c>
      <c r="AA13" s="2648">
        <f t="shared" si="5"/>
        <v>0.13155440414507771</v>
      </c>
      <c r="AB13" s="2648">
        <f t="shared" si="5"/>
        <v>0.13155440414507771</v>
      </c>
      <c r="AC13" s="2648">
        <f t="shared" si="5"/>
        <v>0.13155440414507771</v>
      </c>
      <c r="AD13" s="2648">
        <f t="shared" si="5"/>
        <v>0.13155440414507771</v>
      </c>
      <c r="AE13" s="2648">
        <f t="shared" si="5"/>
        <v>0.13155440414507771</v>
      </c>
      <c r="AF13" s="2648">
        <f t="shared" si="5"/>
        <v>0.13155440414507771</v>
      </c>
      <c r="AG13" s="2648">
        <f t="shared" si="5"/>
        <v>0.13155440414507771</v>
      </c>
      <c r="AH13" s="2648">
        <f t="shared" si="5"/>
        <v>0.13155440414507771</v>
      </c>
      <c r="AI13" s="2648">
        <f t="shared" si="5"/>
        <v>0.13155440414507771</v>
      </c>
      <c r="AJ13" s="2648">
        <f t="shared" si="5"/>
        <v>0.13155440414507771</v>
      </c>
    </row>
    <row r="14" spans="1:39" ht="12.75" customHeight="1">
      <c r="A14" s="403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3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32" t="s">
        <v>1826</v>
      </c>
      <c r="B16" s="1374" t="s">
        <v>939</v>
      </c>
      <c r="C16" s="1037">
        <f>ROUND(IF(F17="与级别开发程度一致",0,(G17-E17)/C17),0)</f>
        <v>-6</v>
      </c>
      <c r="D16" s="4026" t="s">
        <v>943</v>
      </c>
      <c r="E16" s="4027"/>
      <c r="F16" s="4026" t="s">
        <v>940</v>
      </c>
      <c r="G16" s="4027"/>
      <c r="H16" s="1406" t="s">
        <v>3148</v>
      </c>
      <c r="I16" s="1406" t="s">
        <v>3149</v>
      </c>
      <c r="J16" s="1406" t="s">
        <v>3150</v>
      </c>
      <c r="K16" s="1406" t="s">
        <v>3167</v>
      </c>
      <c r="L16" s="1406" t="s">
        <v>3165</v>
      </c>
      <c r="M16" s="1406" t="s">
        <v>3168</v>
      </c>
      <c r="N16" s="1406" t="s">
        <v>3151</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3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3147</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基准地价商业!C19</f>
        <v>1.3963000000000001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0.79710000000000003</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0.79710000000000003</v>
      </c>
      <c r="E22" s="1024">
        <f>ROUNDDOWN(G3,1)</f>
        <v>5.7</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0.79930000000000001</v>
      </c>
      <c r="G22" s="1024">
        <f>ROUNDUP(G3,1)</f>
        <v>5.8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0.79679999999999995</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1.0571999999999999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359167</v>
      </c>
      <c r="D26" s="1428"/>
      <c r="E26" s="1403"/>
      <c r="F26" s="1429"/>
      <c r="G26" s="1403"/>
      <c r="H26" s="1403"/>
      <c r="I26" s="1403"/>
      <c r="J26" s="1430"/>
      <c r="K26" s="3222"/>
      <c r="L26" s="1527" t="s">
        <v>887</v>
      </c>
      <c r="M26" s="1375" t="s">
        <v>964</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11889</v>
      </c>
      <c r="D29" s="1442">
        <f>'数据-基础表'!K13</f>
        <v>302100</v>
      </c>
      <c r="E29" s="1761">
        <f ca="1">ROUND(C29*D29/10000,0)</f>
        <v>359167</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2972</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28"/>
      <c r="B33" s="1462" t="s">
        <v>988</v>
      </c>
      <c r="C33" s="1044">
        <f ca="1">ROUND(D5*C19*C20*C24*F33,0)</f>
        <v>10441</v>
      </c>
      <c r="D33" s="1475"/>
      <c r="E33" s="1033">
        <f ca="1">ROUND(C33*D33/10000,0)</f>
        <v>0</v>
      </c>
      <c r="F33" s="1033">
        <f>SUMIF(修正!A45:A56,G2,修正!B45:B56)</f>
        <v>0.7</v>
      </c>
      <c r="G33" s="1033">
        <f t="shared" ref="G33" ca="1" si="6">ROUND(IF(E2="工业",C33*$M$39,C33*$M$38),0)</f>
        <v>2610</v>
      </c>
      <c r="H33" s="1033">
        <f>D33</f>
        <v>0</v>
      </c>
      <c r="I33" s="1033">
        <f ca="1">ROUND(G33*H33/10000,0)</f>
        <v>0</v>
      </c>
      <c r="J33" s="402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29"/>
      <c r="B34" s="1392" t="s">
        <v>989</v>
      </c>
      <c r="C34" s="1044">
        <f ca="1">ROUND(D5*C19*C20*C24*F34,0)</f>
        <v>5966</v>
      </c>
      <c r="D34" s="1475"/>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2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29"/>
      <c r="B35" s="1392" t="s">
        <v>990</v>
      </c>
      <c r="C35" s="1044">
        <f ca="1">ROUND(D5*C19*C20*C24*F35,0)</f>
        <v>4176</v>
      </c>
      <c r="D35" s="1475"/>
      <c r="E35" s="1033">
        <f t="shared" ca="1" si="7"/>
        <v>0</v>
      </c>
      <c r="F35" s="1033">
        <f>SUMIF(修正!A45:A56,G2,修正!D45:D56)</f>
        <v>0.28000000000000003</v>
      </c>
      <c r="G35" s="1033">
        <f ca="1">ROUND(IF(E2="工业",C35*$M$39,C35*$M$38),0)</f>
        <v>1044</v>
      </c>
      <c r="H35" s="1033">
        <f t="shared" si="8"/>
        <v>0</v>
      </c>
      <c r="I35" s="1033">
        <f t="shared" ca="1" si="9"/>
        <v>0</v>
      </c>
      <c r="J35" s="402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0"/>
      <c r="B36" s="1392" t="s">
        <v>991</v>
      </c>
      <c r="C36" s="1044">
        <f ca="1">ROUND(D5*C19*C20*C24*F36,0)</f>
        <v>3729</v>
      </c>
      <c r="D36" s="1475"/>
      <c r="E36" s="1033">
        <f t="shared" ca="1" si="7"/>
        <v>0</v>
      </c>
      <c r="F36" s="1033">
        <f>SUMIF(修正!A45:A56,G2,修正!E45:E56)</f>
        <v>0.25</v>
      </c>
      <c r="G36" s="1033">
        <f ca="1">ROUND(IF(E2="工业",C36*$M$39,C36*$M$38),0)</f>
        <v>932</v>
      </c>
      <c r="H36" s="1033">
        <f t="shared" si="8"/>
        <v>0</v>
      </c>
      <c r="I36" s="1033">
        <f t="shared" ca="1" si="9"/>
        <v>0</v>
      </c>
      <c r="J36" s="403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3729</v>
      </c>
      <c r="D37" s="1475"/>
      <c r="E37" s="1033">
        <f t="shared" ca="1" si="7"/>
        <v>0</v>
      </c>
      <c r="F37" s="1044">
        <f>SUMIF(修正!A45:A56,G2,修正!F45:F56)</f>
        <v>0.25</v>
      </c>
      <c r="G37" s="1033">
        <f ca="1">ROUND(IF(E2="工业",C37*$M$39,C37*$M$38),0)</f>
        <v>932</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75" hidden="1" thickBot="1">
      <c r="A45" s="2277" t="s">
        <v>964</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75" hidden="1" thickBot="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75" hidden="1" thickBot="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75" hidden="1" thickBot="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75" hidden="1" thickBot="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75" hidden="1" thickBot="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75" hidden="1" thickBot="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75" hidden="1" thickBot="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75" hidden="1" thickBot="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75" hidden="1" thickBot="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967</v>
      </c>
      <c r="B56" s="2278">
        <f>1+E58</f>
        <v>1.0571999999999999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3071</v>
      </c>
      <c r="D58" s="2270">
        <f t="shared" ref="D58:D66" si="15">SUMIF($J$57:$N$57,C58,J58:N58)</f>
        <v>1.5599999999999999E-2</v>
      </c>
      <c r="E58" s="2289">
        <f>ROUND(SUM(D58:D66),4)</f>
        <v>5.7200000000000001E-2</v>
      </c>
      <c r="F58" s="2290">
        <f>IF(E2="办公",SUMIF(L1:L12,G2,N1:N12),"——")</f>
        <v>0.13</v>
      </c>
      <c r="G58" s="2268">
        <f>H58</f>
        <v>1.5599999999999999E-2</v>
      </c>
      <c r="H58" s="2313">
        <f>IFERROR(ROUNDDOWN($F$58*I58/2,4),"——")</f>
        <v>1.5599999999999999E-2</v>
      </c>
      <c r="I58" s="2288">
        <v>0.24</v>
      </c>
      <c r="J58" s="2291">
        <f t="shared" ref="J58:J66" si="16">K58+$G58</f>
        <v>3.1199999999999999E-2</v>
      </c>
      <c r="K58" s="2291">
        <f t="shared" ref="K58:K66" si="17">$L58+$G58</f>
        <v>1.5599999999999999E-2</v>
      </c>
      <c r="L58" s="2291">
        <v>0</v>
      </c>
      <c r="M58" s="2291">
        <f t="shared" ref="M58:N66" si="18">L58-$G58</f>
        <v>-1.5599999999999999E-2</v>
      </c>
      <c r="N58" s="2291">
        <f t="shared" si="18"/>
        <v>-3.1199999999999999E-2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9" t="s">
        <v>3070</v>
      </c>
      <c r="D59" s="2270">
        <f t="shared" si="15"/>
        <v>0</v>
      </c>
      <c r="E59" s="2292"/>
      <c r="F59" s="2290"/>
      <c r="G59" s="2268">
        <f t="shared" ref="G59:G66" si="19">H59</f>
        <v>1.95E-2</v>
      </c>
      <c r="H59" s="2269">
        <f t="shared" ref="H59:H66" si="20">IFERROR($F$58*I59/2,"——")</f>
        <v>1.95E-2</v>
      </c>
      <c r="I59" s="2288">
        <v>0.3</v>
      </c>
      <c r="J59" s="2291">
        <f t="shared" si="16"/>
        <v>3.9E-2</v>
      </c>
      <c r="K59" s="2291">
        <f t="shared" si="17"/>
        <v>1.95E-2</v>
      </c>
      <c r="L59" s="2291">
        <v>0</v>
      </c>
      <c r="M59" s="2291">
        <f t="shared" si="18"/>
        <v>-1.95E-2</v>
      </c>
      <c r="N59" s="2291">
        <f t="shared" si="18"/>
        <v>-3.9E-2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3071</v>
      </c>
      <c r="D60" s="2270">
        <f t="shared" si="15"/>
        <v>5.2000000000000006E-3</v>
      </c>
      <c r="E60" s="2292"/>
      <c r="F60" s="2290"/>
      <c r="G60" s="2268">
        <f t="shared" si="19"/>
        <v>5.2000000000000006E-3</v>
      </c>
      <c r="H60" s="2269">
        <f t="shared" si="20"/>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3071</v>
      </c>
      <c r="D61" s="2270">
        <f t="shared" si="15"/>
        <v>2.6000000000000003E-3</v>
      </c>
      <c r="E61" s="2292"/>
      <c r="F61" s="2290"/>
      <c r="G61" s="2268">
        <f t="shared" si="19"/>
        <v>2.6000000000000003E-3</v>
      </c>
      <c r="H61" s="2269">
        <f t="shared" si="20"/>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3071</v>
      </c>
      <c r="D62" s="2270">
        <f t="shared" si="15"/>
        <v>3.2500000000000003E-3</v>
      </c>
      <c r="E62" s="2292"/>
      <c r="F62" s="2290"/>
      <c r="G62" s="2268">
        <f t="shared" si="19"/>
        <v>3.2500000000000003E-3</v>
      </c>
      <c r="H62" s="2269">
        <f t="shared" si="20"/>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3071</v>
      </c>
      <c r="D63" s="2270">
        <f t="shared" si="15"/>
        <v>3.2500000000000003E-3</v>
      </c>
      <c r="E63" s="2292"/>
      <c r="F63" s="2290"/>
      <c r="G63" s="2268">
        <f t="shared" si="19"/>
        <v>3.2500000000000003E-3</v>
      </c>
      <c r="H63" s="2269">
        <f t="shared" si="20"/>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3071</v>
      </c>
      <c r="D64" s="2270">
        <f t="shared" si="15"/>
        <v>3.8999999999999998E-3</v>
      </c>
      <c r="E64" s="2292"/>
      <c r="F64" s="2290"/>
      <c r="G64" s="2268">
        <f t="shared" si="19"/>
        <v>3.8999999999999998E-3</v>
      </c>
      <c r="H64" s="2269">
        <f t="shared" si="20"/>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3077</v>
      </c>
      <c r="D65" s="2270">
        <f t="shared" si="15"/>
        <v>1.5599999999999999E-2</v>
      </c>
      <c r="E65" s="2292"/>
      <c r="F65" s="2290"/>
      <c r="G65" s="2268">
        <f t="shared" si="19"/>
        <v>7.7999999999999996E-3</v>
      </c>
      <c r="H65" s="2269">
        <f t="shared" si="20"/>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3077</v>
      </c>
      <c r="D66" s="2270">
        <f t="shared" si="15"/>
        <v>7.7999999999999996E-3</v>
      </c>
      <c r="E66" s="2296"/>
      <c r="F66" s="2290"/>
      <c r="G66" s="2268">
        <f t="shared" si="19"/>
        <v>3.8999999999999998E-3</v>
      </c>
      <c r="H66" s="2269">
        <f t="shared" si="20"/>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891</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1010</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974</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1010</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37" t="s">
        <v>1622</v>
      </c>
      <c r="B90" s="4037"/>
      <c r="C90" s="4037"/>
      <c r="D90" s="4037"/>
      <c r="E90" s="4037"/>
      <c r="F90" s="4037"/>
      <c r="G90" s="4037"/>
      <c r="H90" s="4037"/>
      <c r="I90" s="4037"/>
      <c r="J90" s="4037"/>
      <c r="K90" s="3391"/>
      <c r="L90" s="3391"/>
      <c r="M90" s="3391"/>
      <c r="N90" s="3391"/>
    </row>
    <row r="91" spans="1:40">
      <c r="A91" s="4038" t="s">
        <v>887</v>
      </c>
      <c r="B91" s="4038" t="s">
        <v>1623</v>
      </c>
      <c r="C91" s="1121" t="s">
        <v>1624</v>
      </c>
      <c r="D91" s="1122"/>
      <c r="E91" s="1122"/>
      <c r="F91" s="1122"/>
      <c r="G91" s="1122"/>
      <c r="H91" s="1122"/>
      <c r="I91" s="1122"/>
      <c r="J91" s="1123"/>
      <c r="K91" s="1115"/>
      <c r="L91" s="1115"/>
      <c r="M91" s="1115"/>
      <c r="N91" s="1115"/>
    </row>
    <row r="92" spans="1:40">
      <c r="A92" s="4038"/>
      <c r="B92" s="4038"/>
      <c r="C92" s="3392" t="s">
        <v>873</v>
      </c>
      <c r="D92" s="3392" t="s">
        <v>874</v>
      </c>
      <c r="E92" s="3392" t="s">
        <v>875</v>
      </c>
      <c r="F92" s="3392" t="s">
        <v>876</v>
      </c>
      <c r="G92" s="3392" t="s">
        <v>877</v>
      </c>
      <c r="H92" s="3392" t="s">
        <v>878</v>
      </c>
      <c r="I92" s="3392" t="s">
        <v>879</v>
      </c>
      <c r="J92" s="3392" t="s">
        <v>880</v>
      </c>
      <c r="K92" s="3392" t="s">
        <v>881</v>
      </c>
      <c r="L92" s="3392" t="s">
        <v>882</v>
      </c>
      <c r="M92" s="3392" t="s">
        <v>883</v>
      </c>
      <c r="N92" s="3392" t="s">
        <v>884</v>
      </c>
    </row>
    <row r="93" spans="1:40">
      <c r="A93" s="402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2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2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2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2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2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2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2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1" t="s">
        <v>1626</v>
      </c>
      <c r="B101" s="1128" t="s">
        <v>872</v>
      </c>
      <c r="C101" s="1129">
        <f>$G$3</f>
        <v>5.79</v>
      </c>
      <c r="D101" s="1129">
        <f t="shared" ref="D101:N101" si="32">$G$3</f>
        <v>5.79</v>
      </c>
      <c r="E101" s="1129">
        <f t="shared" si="32"/>
        <v>5.79</v>
      </c>
      <c r="F101" s="1129">
        <f t="shared" si="32"/>
        <v>5.79</v>
      </c>
      <c r="G101" s="1129">
        <f t="shared" si="32"/>
        <v>5.79</v>
      </c>
      <c r="H101" s="1129">
        <f t="shared" si="32"/>
        <v>5.79</v>
      </c>
      <c r="I101" s="1129">
        <f t="shared" si="32"/>
        <v>5.79</v>
      </c>
      <c r="J101" s="1129">
        <f t="shared" si="32"/>
        <v>5.79</v>
      </c>
      <c r="K101" s="1129">
        <f t="shared" si="32"/>
        <v>5.79</v>
      </c>
      <c r="L101" s="1129">
        <f t="shared" si="32"/>
        <v>5.79</v>
      </c>
      <c r="M101" s="1129">
        <f t="shared" si="32"/>
        <v>5.79</v>
      </c>
      <c r="N101" s="1129">
        <f t="shared" si="32"/>
        <v>5.79</v>
      </c>
    </row>
    <row r="102" spans="1:14">
      <c r="A102" s="4022"/>
      <c r="B102" s="1124">
        <v>1</v>
      </c>
      <c r="C102" s="1125">
        <f>1.9362/C101</f>
        <v>0.33440414507772021</v>
      </c>
      <c r="D102" s="1125">
        <f>1.9362/D101</f>
        <v>0.33440414507772021</v>
      </c>
      <c r="E102" s="1125">
        <f>1.8629/E101</f>
        <v>0.32174438687392054</v>
      </c>
      <c r="F102" s="1125">
        <f>1.8629/F101</f>
        <v>0.32174438687392054</v>
      </c>
      <c r="G102" s="1125">
        <f>1.8629/G101</f>
        <v>0.32174438687392054</v>
      </c>
      <c r="H102" s="1125">
        <f>1.8629/H101</f>
        <v>0.32174438687392054</v>
      </c>
      <c r="I102" s="1125">
        <f>1.8629/I101</f>
        <v>0.32174438687392054</v>
      </c>
      <c r="J102" s="1125">
        <f>1.942/J101</f>
        <v>0.33540587219343693</v>
      </c>
      <c r="K102" s="1125">
        <f>1.942/K101</f>
        <v>0.33540587219343693</v>
      </c>
      <c r="L102" s="1125">
        <f>1.942/L101</f>
        <v>0.33540587219343693</v>
      </c>
      <c r="M102" s="1125">
        <f>1.942/M101</f>
        <v>0.33540587219343693</v>
      </c>
      <c r="N102" s="1125">
        <f>1.942/N101</f>
        <v>0.33540587219343693</v>
      </c>
    </row>
    <row r="103" spans="1:14">
      <c r="A103" s="4022"/>
      <c r="B103" s="1124">
        <v>2</v>
      </c>
      <c r="C103" s="1125">
        <f>1.4198/C101</f>
        <v>0.24521588946459411</v>
      </c>
      <c r="D103" s="1125">
        <f>1.4198/D101</f>
        <v>0.24521588946459411</v>
      </c>
      <c r="E103" s="1125">
        <f>1.3372/E101</f>
        <v>0.23094991364421416</v>
      </c>
      <c r="F103" s="1125">
        <f>1.3372/F101</f>
        <v>0.23094991364421416</v>
      </c>
      <c r="G103" s="1125">
        <f>1.3372/G101</f>
        <v>0.23094991364421416</v>
      </c>
      <c r="H103" s="1125">
        <f>1.3372/H101</f>
        <v>0.23094991364421416</v>
      </c>
      <c r="I103" s="1125">
        <f>1.3372/I101</f>
        <v>0.23094991364421416</v>
      </c>
      <c r="J103" s="1125">
        <f>1.2799/J101</f>
        <v>0.22105354058721935</v>
      </c>
      <c r="K103" s="1125">
        <f>1.2799/K101</f>
        <v>0.22105354058721935</v>
      </c>
      <c r="L103" s="1125">
        <f>1.2799/L101</f>
        <v>0.22105354058721935</v>
      </c>
      <c r="M103" s="1125">
        <f>1.2799/M101</f>
        <v>0.22105354058721935</v>
      </c>
      <c r="N103" s="1125">
        <f>1.2799/N101</f>
        <v>0.22105354058721935</v>
      </c>
    </row>
    <row r="104" spans="1:14">
      <c r="A104" s="4022"/>
      <c r="B104" s="1124">
        <v>3</v>
      </c>
      <c r="C104" s="1125">
        <f>1.1594/C101</f>
        <v>0.20024179620034541</v>
      </c>
      <c r="D104" s="1125">
        <f>1.1594/D101</f>
        <v>0.20024179620034541</v>
      </c>
      <c r="E104" s="1125">
        <f>1.0788/E101</f>
        <v>0.18632124352331605</v>
      </c>
      <c r="F104" s="1125">
        <f>1.0788/F101</f>
        <v>0.18632124352331605</v>
      </c>
      <c r="G104" s="1125">
        <f>1.0788/G101</f>
        <v>0.18632124352331605</v>
      </c>
      <c r="H104" s="1125">
        <f>1.0788/H101</f>
        <v>0.18632124352331605</v>
      </c>
      <c r="I104" s="1125">
        <f>1.0788/I101</f>
        <v>0.18632124352331605</v>
      </c>
      <c r="J104" s="1125">
        <f>1.0072/J101</f>
        <v>0.17395509499136444</v>
      </c>
      <c r="K104" s="1125">
        <f>1.0072/K101</f>
        <v>0.17395509499136444</v>
      </c>
      <c r="L104" s="1125">
        <f>1.0072/L101</f>
        <v>0.17395509499136444</v>
      </c>
      <c r="M104" s="1125">
        <f>1.0072/M101</f>
        <v>0.17395509499136444</v>
      </c>
      <c r="N104" s="1125">
        <f>1.0072/N101</f>
        <v>0.17395509499136444</v>
      </c>
    </row>
    <row r="105" spans="1:14">
      <c r="A105" s="4022"/>
      <c r="B105" s="1124">
        <v>4</v>
      </c>
      <c r="C105" s="1125">
        <f>0.9622/C101</f>
        <v>0.16618307426597584</v>
      </c>
      <c r="D105" s="1125">
        <f>0.9622/D101</f>
        <v>0.16618307426597584</v>
      </c>
      <c r="E105" s="1125">
        <f>0.8656/E101</f>
        <v>0.14949913644214163</v>
      </c>
      <c r="F105" s="1125">
        <f>0.8656/F101</f>
        <v>0.14949913644214163</v>
      </c>
      <c r="G105" s="1125">
        <f>0.8656/G101</f>
        <v>0.14949913644214163</v>
      </c>
      <c r="H105" s="1125">
        <f>0.8656/H101</f>
        <v>0.14949913644214163</v>
      </c>
      <c r="I105" s="1125">
        <f>0.8656/I101</f>
        <v>0.14949913644214163</v>
      </c>
      <c r="J105" s="1125">
        <f>0.7525/J101</f>
        <v>0.12996545768566492</v>
      </c>
      <c r="K105" s="1125">
        <f>0.7525/K101</f>
        <v>0.12996545768566492</v>
      </c>
      <c r="L105" s="1125">
        <f>0.7525/L101</f>
        <v>0.12996545768566492</v>
      </c>
      <c r="M105" s="1125">
        <f>0.7525/M101</f>
        <v>0.12996545768566492</v>
      </c>
      <c r="N105" s="1125">
        <f>0.7525/N101</f>
        <v>0.12996545768566492</v>
      </c>
    </row>
    <row r="106" spans="1:14">
      <c r="A106" s="4022"/>
      <c r="B106" s="1124">
        <v>5</v>
      </c>
      <c r="C106" s="1125">
        <f>0.8417/C101</f>
        <v>0.1453713298791019</v>
      </c>
      <c r="D106" s="1125">
        <f>0.8417/D101</f>
        <v>0.1453713298791019</v>
      </c>
      <c r="E106" s="1125">
        <f>0.7371/E101</f>
        <v>0.12730569948186529</v>
      </c>
      <c r="F106" s="1125">
        <f>0.7371/F101</f>
        <v>0.12730569948186529</v>
      </c>
      <c r="G106" s="1125">
        <f>0.7371/G101</f>
        <v>0.12730569948186529</v>
      </c>
      <c r="H106" s="1125">
        <f>0.7371/H101</f>
        <v>0.12730569948186529</v>
      </c>
      <c r="I106" s="1125">
        <f>0.7371/I101</f>
        <v>0.12730569948186529</v>
      </c>
      <c r="J106" s="1125">
        <f>0.5659/J101</f>
        <v>9.7737478411053527E-2</v>
      </c>
      <c r="K106" s="1125">
        <f>0.5659/K101</f>
        <v>9.7737478411053527E-2</v>
      </c>
      <c r="L106" s="1125">
        <f>0.5659/L101</f>
        <v>9.7737478411053527E-2</v>
      </c>
      <c r="M106" s="1125">
        <f>0.5659/M101</f>
        <v>9.7737478411053527E-2</v>
      </c>
      <c r="N106" s="1125">
        <f>0.5659/N101</f>
        <v>9.7737478411053527E-2</v>
      </c>
    </row>
    <row r="107" spans="1:14">
      <c r="A107" s="4022"/>
      <c r="B107" s="1124">
        <v>6</v>
      </c>
      <c r="C107" s="1125">
        <f>0.7608/C101</f>
        <v>0.13139896373056995</v>
      </c>
      <c r="D107" s="1125">
        <f>0.7608/D101</f>
        <v>0.13139896373056995</v>
      </c>
      <c r="E107" s="1125">
        <f>0.6482/E101</f>
        <v>0.11195164075993091</v>
      </c>
      <c r="F107" s="1125">
        <f>0.6482/F101</f>
        <v>0.11195164075993091</v>
      </c>
      <c r="G107" s="1125">
        <f>0.6482/G101</f>
        <v>0.11195164075993091</v>
      </c>
      <c r="H107" s="1125">
        <f>0.6482/H101</f>
        <v>0.11195164075993091</v>
      </c>
      <c r="I107" s="1125">
        <f>0.6482/I101</f>
        <v>0.11195164075993091</v>
      </c>
      <c r="J107" s="1125">
        <f>0.4525/J101</f>
        <v>7.8151986183074271E-2</v>
      </c>
      <c r="K107" s="1125">
        <f>0.4525/K101</f>
        <v>7.8151986183074271E-2</v>
      </c>
      <c r="L107" s="1125">
        <f>0.4525/L101</f>
        <v>7.8151986183074271E-2</v>
      </c>
      <c r="M107" s="1125">
        <f>0.4525/M101</f>
        <v>7.8151986183074271E-2</v>
      </c>
      <c r="N107" s="1125">
        <f>0.4525/N101</f>
        <v>7.8151986183074271E-2</v>
      </c>
    </row>
    <row r="108" spans="1:14">
      <c r="A108" s="4022"/>
      <c r="B108" s="402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23"/>
      <c r="B109" s="4025"/>
      <c r="C109" s="1127">
        <f>(-0.163*(C108^2)-0.59*C108+7617)*(10^(-4))/C101</f>
        <v>0.13155440414507771</v>
      </c>
      <c r="D109" s="1127">
        <f>(-0.163*(D108^2)-0.59*D108+7617)*(10^(-4))/D101</f>
        <v>0.13155440414507771</v>
      </c>
      <c r="E109" s="1127">
        <f>(-0.161*(E108^2)-7.509*E108+6533)*(10^(-4))/E101</f>
        <v>0.11283246977547495</v>
      </c>
      <c r="F109" s="1127">
        <f>(-0.161*(F108^2)-7.509*F108+6533)*(10^(-4))/F101</f>
        <v>0.11283246977547495</v>
      </c>
      <c r="G109" s="1127">
        <f>(-0.161*(G108^2)-7.509*G108+6533)*(10^(-4))/G101</f>
        <v>0.11283246977547495</v>
      </c>
      <c r="H109" s="1127">
        <f>(-0.161*(H108^2)-7.509*H108+6533)*(10^(-4))/H101</f>
        <v>0.11283246977547495</v>
      </c>
      <c r="I109" s="1127">
        <f>(-0.161*(I108^2)-7.509*I108+6533)*(10^(-4))/I101</f>
        <v>0.11283246977547495</v>
      </c>
      <c r="J109" s="1127">
        <f>(-0.214*(J108^2)-21.991*J108+4665)*(10^(-4))/J101</f>
        <v>8.0569948186528503E-2</v>
      </c>
      <c r="K109" s="1127">
        <f>(-0.214*(K108^2)-21.991*K108+4665)*(10^(-4))/K101</f>
        <v>8.0569948186528503E-2</v>
      </c>
      <c r="L109" s="1127">
        <f>(-0.214*(L108^2)-21.991*L108+4665)*(10^(-4))/L101</f>
        <v>8.0569948186528503E-2</v>
      </c>
      <c r="M109" s="1127">
        <f>(-0.214*(M108^2)-21.991*M108+4665)*(10^(-4))/M101</f>
        <v>8.0569948186528503E-2</v>
      </c>
      <c r="N109" s="1127">
        <f>(-0.214*(N108^2)-21.991*N108+4665)*(10^(-4))/N101</f>
        <v>8.0569948186528503E-2</v>
      </c>
    </row>
    <row r="110" spans="1:14">
      <c r="A110" s="4031" t="s">
        <v>1628</v>
      </c>
      <c r="B110" s="4031"/>
      <c r="C110" s="4031"/>
      <c r="D110" s="4031"/>
      <c r="E110" s="4031"/>
      <c r="F110" s="4031"/>
      <c r="G110" s="4031"/>
      <c r="H110" s="4031"/>
      <c r="I110" s="4031"/>
      <c r="J110" s="4031"/>
      <c r="K110" s="3390"/>
      <c r="L110" s="3390"/>
      <c r="M110" s="3390"/>
      <c r="N110" s="3390"/>
    </row>
    <row r="112" spans="1:14" ht="12.75" thickBot="1"/>
    <row r="113" spans="1:13" ht="25.5" thickBot="1">
      <c r="A113" s="1001" t="s">
        <v>885</v>
      </c>
      <c r="B113" s="2304">
        <f>G3</f>
        <v>5.79</v>
      </c>
      <c r="C113" s="1002" t="s">
        <v>886</v>
      </c>
      <c r="D113" s="1003">
        <f>SUMPRODUCT((A115:A118=F113)*(B114:M114=H113)*B115:M118)</f>
        <v>0.78139999999999998</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0.87909999999999999</v>
      </c>
      <c r="C115" s="1015">
        <f>B115</f>
        <v>0.87909999999999999</v>
      </c>
      <c r="D115" s="1015">
        <f>ROUND(0.8331-0.0109*B113,4)</f>
        <v>0.77</v>
      </c>
      <c r="E115" s="1015">
        <f>D115</f>
        <v>0.77</v>
      </c>
      <c r="F115" s="1015">
        <f>E115</f>
        <v>0.77</v>
      </c>
      <c r="G115" s="1015">
        <f>F115</f>
        <v>0.77</v>
      </c>
      <c r="H115" s="1015">
        <f>G115</f>
        <v>0.77</v>
      </c>
      <c r="I115" s="1015">
        <f>ROUND(0.689-0.0155*B113,4)</f>
        <v>0.59930000000000005</v>
      </c>
      <c r="J115" s="1015">
        <f t="shared" ref="J115:M118" si="34">I115</f>
        <v>0.59930000000000005</v>
      </c>
      <c r="K115" s="1015">
        <f t="shared" si="34"/>
        <v>0.59930000000000005</v>
      </c>
      <c r="L115" s="1015">
        <f t="shared" si="34"/>
        <v>0.59930000000000005</v>
      </c>
      <c r="M115" s="1016">
        <f t="shared" si="34"/>
        <v>0.59930000000000005</v>
      </c>
    </row>
    <row r="116" spans="1:13" ht="12.75">
      <c r="A116" s="1014" t="s">
        <v>890</v>
      </c>
      <c r="B116" s="1015">
        <f>ROUND(0.949-0.012*B113,4)</f>
        <v>0.87949999999999995</v>
      </c>
      <c r="C116" s="1015">
        <f>B116</f>
        <v>0.87949999999999995</v>
      </c>
      <c r="D116" s="1015">
        <f>ROUND(0.8567-0.013*B113,4)</f>
        <v>0.78139999999999998</v>
      </c>
      <c r="E116" s="1015">
        <f t="shared" ref="E116:H117" si="35">D116</f>
        <v>0.78139999999999998</v>
      </c>
      <c r="F116" s="1015">
        <f t="shared" si="35"/>
        <v>0.78139999999999998</v>
      </c>
      <c r="G116" s="1015">
        <f t="shared" si="35"/>
        <v>0.78139999999999998</v>
      </c>
      <c r="H116" s="1015">
        <f t="shared" si="35"/>
        <v>0.78139999999999998</v>
      </c>
      <c r="I116" s="1015">
        <f>ROUND(0.7694-0.014*B113,4)</f>
        <v>0.68830000000000002</v>
      </c>
      <c r="J116" s="1015">
        <f t="shared" si="34"/>
        <v>0.68830000000000002</v>
      </c>
      <c r="K116" s="1015">
        <f t="shared" si="34"/>
        <v>0.68830000000000002</v>
      </c>
      <c r="L116" s="1015">
        <f t="shared" si="34"/>
        <v>0.68830000000000002</v>
      </c>
      <c r="M116" s="1016">
        <f t="shared" si="34"/>
        <v>0.68830000000000002</v>
      </c>
    </row>
    <row r="117" spans="1:13" ht="12.75">
      <c r="A117" s="1017" t="s">
        <v>891</v>
      </c>
      <c r="B117" s="1015">
        <f>ROUND(0.8808-0.006*B113,4)</f>
        <v>0.84609999999999996</v>
      </c>
      <c r="C117" s="1015">
        <f>B117</f>
        <v>0.84609999999999996</v>
      </c>
      <c r="D117" s="1015">
        <f>ROUND(0.8748-0.008*B113,4)</f>
        <v>0.82850000000000001</v>
      </c>
      <c r="E117" s="1015">
        <f t="shared" si="35"/>
        <v>0.82850000000000001</v>
      </c>
      <c r="F117" s="1015">
        <f t="shared" si="35"/>
        <v>0.82850000000000001</v>
      </c>
      <c r="G117" s="1015">
        <f t="shared" si="35"/>
        <v>0.82850000000000001</v>
      </c>
      <c r="H117" s="1015">
        <f t="shared" si="35"/>
        <v>0.82850000000000001</v>
      </c>
      <c r="I117" s="1015">
        <f>ROUND(0.7412-0.0095*B113,4)</f>
        <v>0.68620000000000003</v>
      </c>
      <c r="J117" s="1015">
        <f t="shared" si="34"/>
        <v>0.68620000000000003</v>
      </c>
      <c r="K117" s="1015">
        <f t="shared" si="34"/>
        <v>0.68620000000000003</v>
      </c>
      <c r="L117" s="1015">
        <f t="shared" si="34"/>
        <v>0.68620000000000003</v>
      </c>
      <c r="M117" s="1016">
        <f t="shared" si="34"/>
        <v>0.68620000000000003</v>
      </c>
    </row>
    <row r="118" spans="1:13" ht="13.5" thickBot="1">
      <c r="A118" s="1018" t="s">
        <v>892</v>
      </c>
      <c r="B118" s="1019">
        <f>ROUND(0.7275-0.01*B113,4)</f>
        <v>0.66959999999999997</v>
      </c>
      <c r="C118" s="1019">
        <f>B118</f>
        <v>0.66959999999999997</v>
      </c>
      <c r="D118" s="1019">
        <f>ROUND(0.7043-0.012*B113,4)</f>
        <v>0.63480000000000003</v>
      </c>
      <c r="E118" s="1019">
        <f>D118</f>
        <v>0.63480000000000003</v>
      </c>
      <c r="F118" s="1019">
        <f>E118</f>
        <v>0.63480000000000003</v>
      </c>
      <c r="G118" s="1019">
        <f>ROUND(0.6299-0.0122*B113,4)</f>
        <v>0.55930000000000002</v>
      </c>
      <c r="H118" s="1019">
        <f>G118</f>
        <v>0.55930000000000002</v>
      </c>
      <c r="I118" s="1019">
        <f>ROUND(0.5667-0.0136*B113,4)</f>
        <v>0.48799999999999999</v>
      </c>
      <c r="J118" s="1019">
        <f t="shared" si="34"/>
        <v>0.48799999999999999</v>
      </c>
      <c r="K118" s="1019">
        <f t="shared" si="34"/>
        <v>0.48799999999999999</v>
      </c>
      <c r="L118" s="1019">
        <f t="shared" si="34"/>
        <v>0.48799999999999999</v>
      </c>
      <c r="M118" s="1020">
        <f t="shared" si="34"/>
        <v>0.48799999999999999</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09" priority="5" stopIfTrue="1" operator="notEqual">
      <formula>"——"</formula>
    </cfRule>
  </conditionalFormatting>
  <conditionalFormatting sqref="F58">
    <cfRule type="cellIs" dxfId="208" priority="4" stopIfTrue="1" operator="notEqual">
      <formula>"——"</formula>
    </cfRule>
  </conditionalFormatting>
  <conditionalFormatting sqref="F69">
    <cfRule type="cellIs" dxfId="207" priority="3" stopIfTrue="1" operator="notEqual">
      <formula>"——"</formula>
    </cfRule>
  </conditionalFormatting>
  <conditionalFormatting sqref="F80">
    <cfRule type="cellIs" dxfId="206" priority="2" stopIfTrue="1" operator="notEqual">
      <formula>"——"</formula>
    </cfRule>
  </conditionalFormatting>
  <conditionalFormatting sqref="H58:H66 H47:H55 H69:H77 H80:H87">
    <cfRule type="cellIs" dxfId="20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L26" sqref="L2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302100</v>
      </c>
      <c r="E1" s="1353" t="s">
        <v>2409</v>
      </c>
      <c r="F1" s="2305">
        <f>'数据-汇总表'!D3</f>
        <v>81070.11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359167</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27786</v>
      </c>
      <c r="U2" s="2641"/>
      <c r="V2" s="2652">
        <f ca="1">ROUND(T2*U2/10000,0)</f>
        <v>0</v>
      </c>
      <c r="W2" s="2068"/>
      <c r="X2" s="2068"/>
      <c r="Y2" s="2068"/>
      <c r="Z2" s="2068"/>
      <c r="AA2" s="2068"/>
      <c r="AB2" s="2068"/>
      <c r="AC2" s="2069"/>
    </row>
    <row r="3" spans="1:39" ht="24">
      <c r="A3" s="1358" t="s">
        <v>1675</v>
      </c>
      <c r="B3" s="1023">
        <f ca="1">ROUND(B2*10000/D1,0)</f>
        <v>11889</v>
      </c>
      <c r="C3" s="1354" t="s">
        <v>916</v>
      </c>
      <c r="D3" s="1355" t="s">
        <v>917</v>
      </c>
      <c r="E3" s="1359" t="s">
        <v>3065</v>
      </c>
      <c r="F3" s="1360" t="s">
        <v>3060</v>
      </c>
      <c r="G3" s="1024">
        <f>IF(F3="宗地容积率",'数据-汇总表'!I4,IF(F3="估价对象容积率",'数据-汇总表'!I6,'数据-汇总表'!I7))</f>
        <v>5.79</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19945</v>
      </c>
      <c r="U3" s="2641"/>
      <c r="V3" s="2652">
        <f t="shared" ref="V3:V16" ca="1" si="1">ROUND(T3*U3/10000,0)</f>
        <v>0</v>
      </c>
      <c r="W3" s="2068"/>
      <c r="X3" s="2068"/>
      <c r="Y3" s="2068"/>
      <c r="Z3" s="2068"/>
      <c r="AA3" s="2068"/>
      <c r="AB3" s="2068"/>
      <c r="AC3" s="2069"/>
    </row>
    <row r="4" spans="1:39" ht="28.5">
      <c r="A4" s="1803" t="s">
        <v>2265</v>
      </c>
      <c r="B4" s="2306">
        <f ca="1">ROUND(B2*10000/F1,0)</f>
        <v>44303</v>
      </c>
      <c r="C4" s="1806" t="s">
        <v>2240</v>
      </c>
      <c r="D4" s="1806">
        <f ca="1">ROUND(B2/(F1/666.67),0)</f>
        <v>2954</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16091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12911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10994</v>
      </c>
      <c r="U6" s="2641"/>
      <c r="V6" s="2652">
        <f t="shared" ca="1" si="1"/>
        <v>0</v>
      </c>
      <c r="W6" s="2068"/>
      <c r="X6" s="2068"/>
      <c r="Y6" s="2068"/>
      <c r="Z6" s="2068"/>
      <c r="AA6" s="2068"/>
      <c r="AB6" s="2068"/>
      <c r="AC6" s="2070"/>
      <c r="AD6" s="1366"/>
      <c r="AE6" s="1366"/>
      <c r="AF6" s="1366"/>
      <c r="AG6" s="1366"/>
      <c r="AH6" s="1366"/>
      <c r="AI6" s="1366"/>
      <c r="AJ6" s="1367"/>
    </row>
    <row r="7" spans="1:39" ht="24">
      <c r="A7" s="4032"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9668</v>
      </c>
      <c r="U7" s="2641"/>
      <c r="V7" s="2652">
        <f t="shared" ca="1" si="1"/>
        <v>0</v>
      </c>
      <c r="W7" s="3271" t="s">
        <v>2742</v>
      </c>
      <c r="X7" s="2642" t="str">
        <f>G2</f>
        <v>六级</v>
      </c>
      <c r="Y7" s="2642" t="s">
        <v>2743</v>
      </c>
      <c r="Z7" s="2643">
        <f>G3</f>
        <v>5.79</v>
      </c>
      <c r="AA7" s="2071"/>
      <c r="AB7" s="2071"/>
      <c r="AC7" s="2072"/>
      <c r="AD7" s="2644"/>
      <c r="AE7" s="2644"/>
      <c r="AF7" s="2644"/>
      <c r="AG7" s="2644"/>
      <c r="AH7" s="2644"/>
      <c r="AI7" s="2644"/>
      <c r="AJ7" s="2645"/>
    </row>
    <row r="8" spans="1:39" ht="15">
      <c r="A8" s="4033"/>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19" t="s">
        <v>2760</v>
      </c>
      <c r="X8" s="402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3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1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3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1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3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18" t="s">
        <v>2758</v>
      </c>
      <c r="X11" s="1033" t="s">
        <v>2743</v>
      </c>
      <c r="Y11" s="1580">
        <f>$G$3</f>
        <v>5.79</v>
      </c>
      <c r="Z11" s="1580">
        <f t="shared" ref="Z11:AJ11" si="3">$G$3</f>
        <v>5.79</v>
      </c>
      <c r="AA11" s="1580">
        <f t="shared" si="3"/>
        <v>5.79</v>
      </c>
      <c r="AB11" s="1580">
        <f t="shared" si="3"/>
        <v>5.79</v>
      </c>
      <c r="AC11" s="1580">
        <f t="shared" si="3"/>
        <v>5.79</v>
      </c>
      <c r="AD11" s="1580">
        <f t="shared" si="3"/>
        <v>5.79</v>
      </c>
      <c r="AE11" s="1580">
        <f t="shared" si="3"/>
        <v>5.79</v>
      </c>
      <c r="AF11" s="1580">
        <f t="shared" si="3"/>
        <v>5.79</v>
      </c>
      <c r="AG11" s="1580">
        <f t="shared" si="3"/>
        <v>5.79</v>
      </c>
      <c r="AH11" s="1580">
        <f t="shared" si="3"/>
        <v>5.79</v>
      </c>
      <c r="AI11" s="1580">
        <f t="shared" si="3"/>
        <v>5.79</v>
      </c>
      <c r="AJ11" s="1580">
        <f t="shared" si="3"/>
        <v>5.79</v>
      </c>
    </row>
    <row r="12" spans="1:39" ht="25.5" thickBot="1">
      <c r="A12" s="403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1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3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18"/>
      <c r="X13" s="2649"/>
      <c r="Y13" s="2648">
        <f>(-0.163*(Y12^2)-0.59*Y12+7617)*(10^(-4))/Y11</f>
        <v>0.13155440414507771</v>
      </c>
      <c r="Z13" s="2648">
        <f t="shared" ref="Z13:AJ13" si="5">(-0.163*(Z12^2)-0.59*Z12+7617)*(10^(-4))/Z11</f>
        <v>0.13155440414507771</v>
      </c>
      <c r="AA13" s="2648">
        <f t="shared" si="5"/>
        <v>0.13155440414507771</v>
      </c>
      <c r="AB13" s="2648">
        <f t="shared" si="5"/>
        <v>0.13155440414507771</v>
      </c>
      <c r="AC13" s="2648">
        <f t="shared" si="5"/>
        <v>0.13155440414507771</v>
      </c>
      <c r="AD13" s="2648">
        <f t="shared" si="5"/>
        <v>0.13155440414507771</v>
      </c>
      <c r="AE13" s="2648">
        <f t="shared" si="5"/>
        <v>0.13155440414507771</v>
      </c>
      <c r="AF13" s="2648">
        <f t="shared" si="5"/>
        <v>0.13155440414507771</v>
      </c>
      <c r="AG13" s="2648">
        <f t="shared" si="5"/>
        <v>0.13155440414507771</v>
      </c>
      <c r="AH13" s="2648">
        <f t="shared" si="5"/>
        <v>0.13155440414507771</v>
      </c>
      <c r="AI13" s="2648">
        <f t="shared" si="5"/>
        <v>0.13155440414507771</v>
      </c>
      <c r="AJ13" s="2648">
        <f t="shared" si="5"/>
        <v>0.13155440414507771</v>
      </c>
    </row>
    <row r="14" spans="1:39" ht="12.75" customHeight="1">
      <c r="A14" s="403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3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32" t="s">
        <v>1826</v>
      </c>
      <c r="B16" s="1374" t="s">
        <v>939</v>
      </c>
      <c r="C16" s="1037">
        <f>ROUND(IF(F17="与级别开发程度一致",0,(G17-E17)/C17),0)</f>
        <v>-6</v>
      </c>
      <c r="D16" s="4026" t="s">
        <v>943</v>
      </c>
      <c r="E16" s="4027"/>
      <c r="F16" s="4026" t="s">
        <v>940</v>
      </c>
      <c r="G16" s="4027"/>
      <c r="H16" s="1406" t="s">
        <v>3148</v>
      </c>
      <c r="I16" s="1406" t="s">
        <v>3149</v>
      </c>
      <c r="J16" s="1406" t="s">
        <v>3150</v>
      </c>
      <c r="K16" s="1406" t="s">
        <v>3167</v>
      </c>
      <c r="L16" s="1406" t="s">
        <v>3165</v>
      </c>
      <c r="M16" s="1406" t="s">
        <v>3168</v>
      </c>
      <c r="N16" s="1406" t="s">
        <v>3151</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3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3147</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基准地价商业!C19</f>
        <v>1.3963000000000001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0.79710000000000003</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0.79710000000000003</v>
      </c>
      <c r="E22" s="1024">
        <f>ROUNDDOWN(G3,1)</f>
        <v>5.7</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0.79930000000000001</v>
      </c>
      <c r="G22" s="1024">
        <f>ROUNDUP(G3,1)</f>
        <v>5.8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0.79679999999999995</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1.0571999999999999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359167</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11889</v>
      </c>
      <c r="D29" s="1442">
        <f>'数据-基础表'!K13</f>
        <v>302100</v>
      </c>
      <c r="E29" s="1761">
        <f ca="1">ROUND(C29*D29/10000,0)</f>
        <v>359167</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2972</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28"/>
      <c r="B33" s="1462" t="s">
        <v>988</v>
      </c>
      <c r="C33" s="1044">
        <f ca="1">ROUND(D5*C19*C20*C24*F33,0)</f>
        <v>10441</v>
      </c>
      <c r="D33" s="1475"/>
      <c r="E33" s="1033">
        <f ca="1">ROUND(C33*D33/10000,0)</f>
        <v>0</v>
      </c>
      <c r="F33" s="1033">
        <f>SUMIF(修正!A45:A56,G2,修正!B45:B56)</f>
        <v>0.7</v>
      </c>
      <c r="G33" s="1033">
        <f t="shared" ref="G33" ca="1" si="6">ROUND(IF(E2="工业",C33*$M$39,C33*$M$38),0)</f>
        <v>2610</v>
      </c>
      <c r="H33" s="1033">
        <f>D33</f>
        <v>0</v>
      </c>
      <c r="I33" s="1033">
        <f ca="1">ROUND(G33*H33/10000,0)</f>
        <v>0</v>
      </c>
      <c r="J33" s="402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29"/>
      <c r="B34" s="1392" t="s">
        <v>989</v>
      </c>
      <c r="C34" s="1044">
        <f ca="1">ROUND(D5*C19*C20*C24*F34,0)</f>
        <v>5966</v>
      </c>
      <c r="D34" s="1475"/>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2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29"/>
      <c r="B35" s="1392" t="s">
        <v>990</v>
      </c>
      <c r="C35" s="1044">
        <f ca="1">ROUND(D5*C19*C20*C24*F35,0)</f>
        <v>4176</v>
      </c>
      <c r="D35" s="1475"/>
      <c r="E35" s="1033">
        <f t="shared" ca="1" si="7"/>
        <v>0</v>
      </c>
      <c r="F35" s="1033">
        <f>SUMIF(修正!A45:A56,G2,修正!D45:D56)</f>
        <v>0.28000000000000003</v>
      </c>
      <c r="G35" s="1033">
        <f ca="1">ROUND(IF(E2="工业",C35*$M$39,C35*$M$38),0)</f>
        <v>1044</v>
      </c>
      <c r="H35" s="1033">
        <f t="shared" si="8"/>
        <v>0</v>
      </c>
      <c r="I35" s="1033">
        <f t="shared" ca="1" si="9"/>
        <v>0</v>
      </c>
      <c r="J35" s="402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0"/>
      <c r="B36" s="1392" t="s">
        <v>991</v>
      </c>
      <c r="C36" s="1044">
        <f ca="1">ROUND(D5*C19*C20*C24*F36,0)</f>
        <v>3729</v>
      </c>
      <c r="D36" s="1475"/>
      <c r="E36" s="1033">
        <f t="shared" ca="1" si="7"/>
        <v>0</v>
      </c>
      <c r="F36" s="1033">
        <f>SUMIF(修正!A45:A56,G2,修正!E45:E56)</f>
        <v>0.25</v>
      </c>
      <c r="G36" s="1033">
        <f ca="1">ROUND(IF(E2="工业",C36*$M$39,C36*$M$38),0)</f>
        <v>932</v>
      </c>
      <c r="H36" s="1033">
        <f t="shared" si="8"/>
        <v>0</v>
      </c>
      <c r="I36" s="1033">
        <f t="shared" ca="1" si="9"/>
        <v>0</v>
      </c>
      <c r="J36" s="403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3729</v>
      </c>
      <c r="D37" s="1475"/>
      <c r="E37" s="1033">
        <f t="shared" ca="1" si="7"/>
        <v>0</v>
      </c>
      <c r="F37" s="1044">
        <f>SUMIF(修正!A45:A56,G2,修正!F45:F56)</f>
        <v>0.25</v>
      </c>
      <c r="G37" s="1033">
        <f ca="1">ROUND(IF(E2="工业",C37*$M$39,C37*$M$38),0)</f>
        <v>932</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1.0571999999999999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3071</v>
      </c>
      <c r="D58" s="2270">
        <f t="shared" ref="D58:D66" si="15">SUMIF($J$57:$N$57,C58,J58:N58)</f>
        <v>1.5599999999999999E-2</v>
      </c>
      <c r="E58" s="2289">
        <f>ROUND(SUM(D58:D66),4)</f>
        <v>5.7200000000000001E-2</v>
      </c>
      <c r="F58" s="2290">
        <f>IF(E2="办公",SUMIF(L1:L12,G2,N1:N12),"——")</f>
        <v>0.13</v>
      </c>
      <c r="G58" s="2268">
        <f>H58</f>
        <v>1.5599999999999999E-2</v>
      </c>
      <c r="H58" s="2313">
        <f>IFERROR(ROUNDDOWN($F$58*I58/2,4),"——")</f>
        <v>1.5599999999999999E-2</v>
      </c>
      <c r="I58" s="2288">
        <v>0.24</v>
      </c>
      <c r="J58" s="2291">
        <f t="shared" ref="J58:J66" si="16">K58+$G58</f>
        <v>3.1199999999999999E-2</v>
      </c>
      <c r="K58" s="2291">
        <f t="shared" ref="K58:K66" si="17">$L58+$G58</f>
        <v>1.5599999999999999E-2</v>
      </c>
      <c r="L58" s="2291">
        <v>0</v>
      </c>
      <c r="M58" s="2291">
        <f t="shared" ref="M58:N66" si="18">L58-$G58</f>
        <v>-1.5599999999999999E-2</v>
      </c>
      <c r="N58" s="2291">
        <f t="shared" si="18"/>
        <v>-3.1199999999999999E-2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9" t="s">
        <v>3070</v>
      </c>
      <c r="D59" s="2270">
        <f t="shared" si="15"/>
        <v>0</v>
      </c>
      <c r="E59" s="2292"/>
      <c r="F59" s="2290"/>
      <c r="G59" s="2268">
        <f t="shared" ref="G59:G66" si="19">H59</f>
        <v>1.95E-2</v>
      </c>
      <c r="H59" s="2269">
        <f t="shared" ref="H59:H66" si="20">IFERROR($F$58*I59/2,"——")</f>
        <v>1.95E-2</v>
      </c>
      <c r="I59" s="2288">
        <v>0.3</v>
      </c>
      <c r="J59" s="2291">
        <f t="shared" si="16"/>
        <v>3.9E-2</v>
      </c>
      <c r="K59" s="2291">
        <f t="shared" si="17"/>
        <v>1.95E-2</v>
      </c>
      <c r="L59" s="2291">
        <v>0</v>
      </c>
      <c r="M59" s="2291">
        <f t="shared" si="18"/>
        <v>-1.95E-2</v>
      </c>
      <c r="N59" s="2291">
        <f t="shared" si="18"/>
        <v>-3.9E-2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3071</v>
      </c>
      <c r="D60" s="2270">
        <f t="shared" si="15"/>
        <v>5.2000000000000006E-3</v>
      </c>
      <c r="E60" s="2292"/>
      <c r="F60" s="2290"/>
      <c r="G60" s="2268">
        <f t="shared" si="19"/>
        <v>5.2000000000000006E-3</v>
      </c>
      <c r="H60" s="2269">
        <f t="shared" si="20"/>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3071</v>
      </c>
      <c r="D61" s="2270">
        <f t="shared" si="15"/>
        <v>2.6000000000000003E-3</v>
      </c>
      <c r="E61" s="2292"/>
      <c r="F61" s="2290"/>
      <c r="G61" s="2268">
        <f t="shared" si="19"/>
        <v>2.6000000000000003E-3</v>
      </c>
      <c r="H61" s="2269">
        <f t="shared" si="20"/>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3071</v>
      </c>
      <c r="D62" s="2270">
        <f t="shared" si="15"/>
        <v>3.2500000000000003E-3</v>
      </c>
      <c r="E62" s="2292"/>
      <c r="F62" s="2290"/>
      <c r="G62" s="2268">
        <f t="shared" si="19"/>
        <v>3.2500000000000003E-3</v>
      </c>
      <c r="H62" s="2269">
        <f t="shared" si="20"/>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3071</v>
      </c>
      <c r="D63" s="2270">
        <f t="shared" si="15"/>
        <v>3.2500000000000003E-3</v>
      </c>
      <c r="E63" s="2292"/>
      <c r="F63" s="2290"/>
      <c r="G63" s="2268">
        <f t="shared" si="19"/>
        <v>3.2500000000000003E-3</v>
      </c>
      <c r="H63" s="2269">
        <f t="shared" si="20"/>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3071</v>
      </c>
      <c r="D64" s="2270">
        <f t="shared" si="15"/>
        <v>3.8999999999999998E-3</v>
      </c>
      <c r="E64" s="2292"/>
      <c r="F64" s="2290"/>
      <c r="G64" s="2268">
        <f t="shared" si="19"/>
        <v>3.8999999999999998E-3</v>
      </c>
      <c r="H64" s="2269">
        <f t="shared" si="20"/>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3077</v>
      </c>
      <c r="D65" s="2270">
        <f t="shared" si="15"/>
        <v>1.5599999999999999E-2</v>
      </c>
      <c r="E65" s="2292"/>
      <c r="F65" s="2290"/>
      <c r="G65" s="2268">
        <f t="shared" si="19"/>
        <v>7.7999999999999996E-3</v>
      </c>
      <c r="H65" s="2269">
        <f t="shared" si="20"/>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3077</v>
      </c>
      <c r="D66" s="2270">
        <f t="shared" si="15"/>
        <v>7.7999999999999996E-3</v>
      </c>
      <c r="E66" s="2296"/>
      <c r="F66" s="2290"/>
      <c r="G66" s="2268">
        <f t="shared" si="19"/>
        <v>3.8999999999999998E-3</v>
      </c>
      <c r="H66" s="2269">
        <f t="shared" si="20"/>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37" t="s">
        <v>1622</v>
      </c>
      <c r="B90" s="4037"/>
      <c r="C90" s="4037"/>
      <c r="D90" s="4037"/>
      <c r="E90" s="4037"/>
      <c r="F90" s="4037"/>
      <c r="G90" s="4037"/>
      <c r="H90" s="4037"/>
      <c r="I90" s="4037"/>
      <c r="J90" s="4037"/>
      <c r="K90" s="3269"/>
      <c r="L90" s="3269"/>
      <c r="M90" s="3269"/>
      <c r="N90" s="3269"/>
    </row>
    <row r="91" spans="1:40">
      <c r="A91" s="4038" t="s">
        <v>1432</v>
      </c>
      <c r="B91" s="4038" t="s">
        <v>1623</v>
      </c>
      <c r="C91" s="1121" t="s">
        <v>1624</v>
      </c>
      <c r="D91" s="1122"/>
      <c r="E91" s="1122"/>
      <c r="F91" s="1122"/>
      <c r="G91" s="1122"/>
      <c r="H91" s="1122"/>
      <c r="I91" s="1122"/>
      <c r="J91" s="1123"/>
      <c r="K91" s="1115"/>
      <c r="L91" s="1115"/>
      <c r="M91" s="1115"/>
      <c r="N91" s="1115"/>
    </row>
    <row r="92" spans="1:40">
      <c r="A92" s="4038"/>
      <c r="B92" s="4038"/>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2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2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2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2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2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2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2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2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1" t="s">
        <v>1626</v>
      </c>
      <c r="B101" s="1128" t="s">
        <v>872</v>
      </c>
      <c r="C101" s="1129">
        <f>$G$3</f>
        <v>5.79</v>
      </c>
      <c r="D101" s="1129">
        <f t="shared" ref="D101:N101" si="32">$G$3</f>
        <v>5.79</v>
      </c>
      <c r="E101" s="1129">
        <f t="shared" si="32"/>
        <v>5.79</v>
      </c>
      <c r="F101" s="1129">
        <f t="shared" si="32"/>
        <v>5.79</v>
      </c>
      <c r="G101" s="1129">
        <f t="shared" si="32"/>
        <v>5.79</v>
      </c>
      <c r="H101" s="1129">
        <f t="shared" si="32"/>
        <v>5.79</v>
      </c>
      <c r="I101" s="1129">
        <f t="shared" si="32"/>
        <v>5.79</v>
      </c>
      <c r="J101" s="1129">
        <f t="shared" si="32"/>
        <v>5.79</v>
      </c>
      <c r="K101" s="1129">
        <f t="shared" si="32"/>
        <v>5.79</v>
      </c>
      <c r="L101" s="1129">
        <f t="shared" si="32"/>
        <v>5.79</v>
      </c>
      <c r="M101" s="1129">
        <f t="shared" si="32"/>
        <v>5.79</v>
      </c>
      <c r="N101" s="1129">
        <f t="shared" si="32"/>
        <v>5.79</v>
      </c>
    </row>
    <row r="102" spans="1:14">
      <c r="A102" s="4022"/>
      <c r="B102" s="1124">
        <v>1</v>
      </c>
      <c r="C102" s="1125">
        <f>1.9362/C101</f>
        <v>0.33440414507772021</v>
      </c>
      <c r="D102" s="1125">
        <f>1.9362/D101</f>
        <v>0.33440414507772021</v>
      </c>
      <c r="E102" s="1125">
        <f>1.8629/E101</f>
        <v>0.32174438687392054</v>
      </c>
      <c r="F102" s="1125">
        <f>1.8629/F101</f>
        <v>0.32174438687392054</v>
      </c>
      <c r="G102" s="1125">
        <f>1.8629/G101</f>
        <v>0.32174438687392054</v>
      </c>
      <c r="H102" s="1125">
        <f>1.8629/H101</f>
        <v>0.32174438687392054</v>
      </c>
      <c r="I102" s="1125">
        <f>1.8629/I101</f>
        <v>0.32174438687392054</v>
      </c>
      <c r="J102" s="1125">
        <f>1.942/J101</f>
        <v>0.33540587219343693</v>
      </c>
      <c r="K102" s="1125">
        <f>1.942/K101</f>
        <v>0.33540587219343693</v>
      </c>
      <c r="L102" s="1125">
        <f>1.942/L101</f>
        <v>0.33540587219343693</v>
      </c>
      <c r="M102" s="1125">
        <f>1.942/M101</f>
        <v>0.33540587219343693</v>
      </c>
      <c r="N102" s="1125">
        <f>1.942/N101</f>
        <v>0.33540587219343693</v>
      </c>
    </row>
    <row r="103" spans="1:14">
      <c r="A103" s="4022"/>
      <c r="B103" s="1124">
        <v>2</v>
      </c>
      <c r="C103" s="1125">
        <f>1.4198/C101</f>
        <v>0.24521588946459411</v>
      </c>
      <c r="D103" s="1125">
        <f>1.4198/D101</f>
        <v>0.24521588946459411</v>
      </c>
      <c r="E103" s="1125">
        <f>1.3372/E101</f>
        <v>0.23094991364421416</v>
      </c>
      <c r="F103" s="1125">
        <f>1.3372/F101</f>
        <v>0.23094991364421416</v>
      </c>
      <c r="G103" s="1125">
        <f>1.3372/G101</f>
        <v>0.23094991364421416</v>
      </c>
      <c r="H103" s="1125">
        <f>1.3372/H101</f>
        <v>0.23094991364421416</v>
      </c>
      <c r="I103" s="1125">
        <f>1.3372/I101</f>
        <v>0.23094991364421416</v>
      </c>
      <c r="J103" s="1125">
        <f>1.2799/J101</f>
        <v>0.22105354058721935</v>
      </c>
      <c r="K103" s="1125">
        <f>1.2799/K101</f>
        <v>0.22105354058721935</v>
      </c>
      <c r="L103" s="1125">
        <f>1.2799/L101</f>
        <v>0.22105354058721935</v>
      </c>
      <c r="M103" s="1125">
        <f>1.2799/M101</f>
        <v>0.22105354058721935</v>
      </c>
      <c r="N103" s="1125">
        <f>1.2799/N101</f>
        <v>0.22105354058721935</v>
      </c>
    </row>
    <row r="104" spans="1:14">
      <c r="A104" s="4022"/>
      <c r="B104" s="1124">
        <v>3</v>
      </c>
      <c r="C104" s="1125">
        <f>1.1594/C101</f>
        <v>0.20024179620034541</v>
      </c>
      <c r="D104" s="1125">
        <f>1.1594/D101</f>
        <v>0.20024179620034541</v>
      </c>
      <c r="E104" s="1125">
        <f>1.0788/E101</f>
        <v>0.18632124352331605</v>
      </c>
      <c r="F104" s="1125">
        <f>1.0788/F101</f>
        <v>0.18632124352331605</v>
      </c>
      <c r="G104" s="1125">
        <f>1.0788/G101</f>
        <v>0.18632124352331605</v>
      </c>
      <c r="H104" s="1125">
        <f>1.0788/H101</f>
        <v>0.18632124352331605</v>
      </c>
      <c r="I104" s="1125">
        <f>1.0788/I101</f>
        <v>0.18632124352331605</v>
      </c>
      <c r="J104" s="1125">
        <f>1.0072/J101</f>
        <v>0.17395509499136444</v>
      </c>
      <c r="K104" s="1125">
        <f>1.0072/K101</f>
        <v>0.17395509499136444</v>
      </c>
      <c r="L104" s="1125">
        <f>1.0072/L101</f>
        <v>0.17395509499136444</v>
      </c>
      <c r="M104" s="1125">
        <f>1.0072/M101</f>
        <v>0.17395509499136444</v>
      </c>
      <c r="N104" s="1125">
        <f>1.0072/N101</f>
        <v>0.17395509499136444</v>
      </c>
    </row>
    <row r="105" spans="1:14">
      <c r="A105" s="4022"/>
      <c r="B105" s="1124">
        <v>4</v>
      </c>
      <c r="C105" s="1125">
        <f>0.9622/C101</f>
        <v>0.16618307426597584</v>
      </c>
      <c r="D105" s="1125">
        <f>0.9622/D101</f>
        <v>0.16618307426597584</v>
      </c>
      <c r="E105" s="1125">
        <f>0.8656/E101</f>
        <v>0.14949913644214163</v>
      </c>
      <c r="F105" s="1125">
        <f>0.8656/F101</f>
        <v>0.14949913644214163</v>
      </c>
      <c r="G105" s="1125">
        <f>0.8656/G101</f>
        <v>0.14949913644214163</v>
      </c>
      <c r="H105" s="1125">
        <f>0.8656/H101</f>
        <v>0.14949913644214163</v>
      </c>
      <c r="I105" s="1125">
        <f>0.8656/I101</f>
        <v>0.14949913644214163</v>
      </c>
      <c r="J105" s="1125">
        <f>0.7525/J101</f>
        <v>0.12996545768566492</v>
      </c>
      <c r="K105" s="1125">
        <f>0.7525/K101</f>
        <v>0.12996545768566492</v>
      </c>
      <c r="L105" s="1125">
        <f>0.7525/L101</f>
        <v>0.12996545768566492</v>
      </c>
      <c r="M105" s="1125">
        <f>0.7525/M101</f>
        <v>0.12996545768566492</v>
      </c>
      <c r="N105" s="1125">
        <f>0.7525/N101</f>
        <v>0.12996545768566492</v>
      </c>
    </row>
    <row r="106" spans="1:14">
      <c r="A106" s="4022"/>
      <c r="B106" s="1124">
        <v>5</v>
      </c>
      <c r="C106" s="1125">
        <f>0.8417/C101</f>
        <v>0.1453713298791019</v>
      </c>
      <c r="D106" s="1125">
        <f>0.8417/D101</f>
        <v>0.1453713298791019</v>
      </c>
      <c r="E106" s="1125">
        <f>0.7371/E101</f>
        <v>0.12730569948186529</v>
      </c>
      <c r="F106" s="1125">
        <f>0.7371/F101</f>
        <v>0.12730569948186529</v>
      </c>
      <c r="G106" s="1125">
        <f>0.7371/G101</f>
        <v>0.12730569948186529</v>
      </c>
      <c r="H106" s="1125">
        <f>0.7371/H101</f>
        <v>0.12730569948186529</v>
      </c>
      <c r="I106" s="1125">
        <f>0.7371/I101</f>
        <v>0.12730569948186529</v>
      </c>
      <c r="J106" s="1125">
        <f>0.5659/J101</f>
        <v>9.7737478411053527E-2</v>
      </c>
      <c r="K106" s="1125">
        <f>0.5659/K101</f>
        <v>9.7737478411053527E-2</v>
      </c>
      <c r="L106" s="1125">
        <f>0.5659/L101</f>
        <v>9.7737478411053527E-2</v>
      </c>
      <c r="M106" s="1125">
        <f>0.5659/M101</f>
        <v>9.7737478411053527E-2</v>
      </c>
      <c r="N106" s="1125">
        <f>0.5659/N101</f>
        <v>9.7737478411053527E-2</v>
      </c>
    </row>
    <row r="107" spans="1:14">
      <c r="A107" s="4022"/>
      <c r="B107" s="1124">
        <v>6</v>
      </c>
      <c r="C107" s="1125">
        <f>0.7608/C101</f>
        <v>0.13139896373056995</v>
      </c>
      <c r="D107" s="1125">
        <f>0.7608/D101</f>
        <v>0.13139896373056995</v>
      </c>
      <c r="E107" s="1125">
        <f>0.6482/E101</f>
        <v>0.11195164075993091</v>
      </c>
      <c r="F107" s="1125">
        <f>0.6482/F101</f>
        <v>0.11195164075993091</v>
      </c>
      <c r="G107" s="1125">
        <f>0.6482/G101</f>
        <v>0.11195164075993091</v>
      </c>
      <c r="H107" s="1125">
        <f>0.6482/H101</f>
        <v>0.11195164075993091</v>
      </c>
      <c r="I107" s="1125">
        <f>0.6482/I101</f>
        <v>0.11195164075993091</v>
      </c>
      <c r="J107" s="1125">
        <f>0.4525/J101</f>
        <v>7.8151986183074271E-2</v>
      </c>
      <c r="K107" s="1125">
        <f>0.4525/K101</f>
        <v>7.8151986183074271E-2</v>
      </c>
      <c r="L107" s="1125">
        <f>0.4525/L101</f>
        <v>7.8151986183074271E-2</v>
      </c>
      <c r="M107" s="1125">
        <f>0.4525/M101</f>
        <v>7.8151986183074271E-2</v>
      </c>
      <c r="N107" s="1125">
        <f>0.4525/N101</f>
        <v>7.8151986183074271E-2</v>
      </c>
    </row>
    <row r="108" spans="1:14">
      <c r="A108" s="4022"/>
      <c r="B108" s="402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23"/>
      <c r="B109" s="4025"/>
      <c r="C109" s="1127">
        <f>(-0.163*(C108^2)-0.59*C108+7617)*(10^(-4))/C101</f>
        <v>0.13155440414507771</v>
      </c>
      <c r="D109" s="1127">
        <f>(-0.163*(D108^2)-0.59*D108+7617)*(10^(-4))/D101</f>
        <v>0.13155440414507771</v>
      </c>
      <c r="E109" s="1127">
        <f>(-0.161*(E108^2)-7.509*E108+6533)*(10^(-4))/E101</f>
        <v>0.11283246977547495</v>
      </c>
      <c r="F109" s="1127">
        <f>(-0.161*(F108^2)-7.509*F108+6533)*(10^(-4))/F101</f>
        <v>0.11283246977547495</v>
      </c>
      <c r="G109" s="1127">
        <f>(-0.161*(G108^2)-7.509*G108+6533)*(10^(-4))/G101</f>
        <v>0.11283246977547495</v>
      </c>
      <c r="H109" s="1127">
        <f>(-0.161*(H108^2)-7.509*H108+6533)*(10^(-4))/H101</f>
        <v>0.11283246977547495</v>
      </c>
      <c r="I109" s="1127">
        <f>(-0.161*(I108^2)-7.509*I108+6533)*(10^(-4))/I101</f>
        <v>0.11283246977547495</v>
      </c>
      <c r="J109" s="1127">
        <f>(-0.214*(J108^2)-21.991*J108+4665)*(10^(-4))/J101</f>
        <v>8.0569948186528503E-2</v>
      </c>
      <c r="K109" s="1127">
        <f>(-0.214*(K108^2)-21.991*K108+4665)*(10^(-4))/K101</f>
        <v>8.0569948186528503E-2</v>
      </c>
      <c r="L109" s="1127">
        <f>(-0.214*(L108^2)-21.991*L108+4665)*(10^(-4))/L101</f>
        <v>8.0569948186528503E-2</v>
      </c>
      <c r="M109" s="1127">
        <f>(-0.214*(M108^2)-21.991*M108+4665)*(10^(-4))/M101</f>
        <v>8.0569948186528503E-2</v>
      </c>
      <c r="N109" s="1127">
        <f>(-0.214*(N108^2)-21.991*N108+4665)*(10^(-4))/N101</f>
        <v>8.0569948186528503E-2</v>
      </c>
    </row>
    <row r="110" spans="1:14">
      <c r="A110" s="4031" t="s">
        <v>1628</v>
      </c>
      <c r="B110" s="4031"/>
      <c r="C110" s="4031"/>
      <c r="D110" s="4031"/>
      <c r="E110" s="4031"/>
      <c r="F110" s="4031"/>
      <c r="G110" s="4031"/>
      <c r="H110" s="4031"/>
      <c r="I110" s="4031"/>
      <c r="J110" s="4031"/>
      <c r="K110" s="3268"/>
      <c r="L110" s="3268"/>
      <c r="M110" s="3268"/>
      <c r="N110" s="3268"/>
    </row>
    <row r="112" spans="1:14" ht="12.75" thickBot="1"/>
    <row r="113" spans="1:13" ht="25.5" thickBot="1">
      <c r="A113" s="1001" t="s">
        <v>885</v>
      </c>
      <c r="B113" s="2304">
        <f>G3</f>
        <v>5.79</v>
      </c>
      <c r="C113" s="1002" t="s">
        <v>886</v>
      </c>
      <c r="D113" s="1003">
        <f>SUMPRODUCT((A115:A118=F113)*(B114:M114=H113)*B115:M118)</f>
        <v>0.78139999999999998</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0.87909999999999999</v>
      </c>
      <c r="C115" s="1015">
        <f>B115</f>
        <v>0.87909999999999999</v>
      </c>
      <c r="D115" s="1015">
        <f>ROUND(0.8331-0.0109*B113,4)</f>
        <v>0.77</v>
      </c>
      <c r="E115" s="1015">
        <f>D115</f>
        <v>0.77</v>
      </c>
      <c r="F115" s="1015">
        <f>E115</f>
        <v>0.77</v>
      </c>
      <c r="G115" s="1015">
        <f>F115</f>
        <v>0.77</v>
      </c>
      <c r="H115" s="1015">
        <f>G115</f>
        <v>0.77</v>
      </c>
      <c r="I115" s="1015">
        <f>ROUND(0.689-0.0155*B113,4)</f>
        <v>0.59930000000000005</v>
      </c>
      <c r="J115" s="1015">
        <f t="shared" ref="J115:M118" si="34">I115</f>
        <v>0.59930000000000005</v>
      </c>
      <c r="K115" s="1015">
        <f t="shared" si="34"/>
        <v>0.59930000000000005</v>
      </c>
      <c r="L115" s="1015">
        <f t="shared" si="34"/>
        <v>0.59930000000000005</v>
      </c>
      <c r="M115" s="1016">
        <f t="shared" si="34"/>
        <v>0.59930000000000005</v>
      </c>
    </row>
    <row r="116" spans="1:13" ht="12.75">
      <c r="A116" s="1014" t="s">
        <v>890</v>
      </c>
      <c r="B116" s="1015">
        <f>ROUND(0.949-0.012*B113,4)</f>
        <v>0.87949999999999995</v>
      </c>
      <c r="C116" s="1015">
        <f>B116</f>
        <v>0.87949999999999995</v>
      </c>
      <c r="D116" s="1015">
        <f>ROUND(0.8567-0.013*B113,4)</f>
        <v>0.78139999999999998</v>
      </c>
      <c r="E116" s="1015">
        <f t="shared" ref="E116:H117" si="35">D116</f>
        <v>0.78139999999999998</v>
      </c>
      <c r="F116" s="1015">
        <f t="shared" si="35"/>
        <v>0.78139999999999998</v>
      </c>
      <c r="G116" s="1015">
        <f t="shared" si="35"/>
        <v>0.78139999999999998</v>
      </c>
      <c r="H116" s="1015">
        <f t="shared" si="35"/>
        <v>0.78139999999999998</v>
      </c>
      <c r="I116" s="1015">
        <f>ROUND(0.7694-0.014*B113,4)</f>
        <v>0.68830000000000002</v>
      </c>
      <c r="J116" s="1015">
        <f t="shared" si="34"/>
        <v>0.68830000000000002</v>
      </c>
      <c r="K116" s="1015">
        <f t="shared" si="34"/>
        <v>0.68830000000000002</v>
      </c>
      <c r="L116" s="1015">
        <f t="shared" si="34"/>
        <v>0.68830000000000002</v>
      </c>
      <c r="M116" s="1016">
        <f t="shared" si="34"/>
        <v>0.68830000000000002</v>
      </c>
    </row>
    <row r="117" spans="1:13" ht="12.75">
      <c r="A117" s="1017" t="s">
        <v>891</v>
      </c>
      <c r="B117" s="1015">
        <f>ROUND(0.8808-0.006*B113,4)</f>
        <v>0.84609999999999996</v>
      </c>
      <c r="C117" s="1015">
        <f>B117</f>
        <v>0.84609999999999996</v>
      </c>
      <c r="D117" s="1015">
        <f>ROUND(0.8748-0.008*B113,4)</f>
        <v>0.82850000000000001</v>
      </c>
      <c r="E117" s="1015">
        <f t="shared" si="35"/>
        <v>0.82850000000000001</v>
      </c>
      <c r="F117" s="1015">
        <f t="shared" si="35"/>
        <v>0.82850000000000001</v>
      </c>
      <c r="G117" s="1015">
        <f t="shared" si="35"/>
        <v>0.82850000000000001</v>
      </c>
      <c r="H117" s="1015">
        <f t="shared" si="35"/>
        <v>0.82850000000000001</v>
      </c>
      <c r="I117" s="1015">
        <f>ROUND(0.7412-0.0095*B113,4)</f>
        <v>0.68620000000000003</v>
      </c>
      <c r="J117" s="1015">
        <f t="shared" si="34"/>
        <v>0.68620000000000003</v>
      </c>
      <c r="K117" s="1015">
        <f t="shared" si="34"/>
        <v>0.68620000000000003</v>
      </c>
      <c r="L117" s="1015">
        <f t="shared" si="34"/>
        <v>0.68620000000000003</v>
      </c>
      <c r="M117" s="1016">
        <f t="shared" si="34"/>
        <v>0.68620000000000003</v>
      </c>
    </row>
    <row r="118" spans="1:13" ht="13.5" thickBot="1">
      <c r="A118" s="1018" t="s">
        <v>892</v>
      </c>
      <c r="B118" s="1019">
        <f>ROUND(0.7275-0.01*B113,4)</f>
        <v>0.66959999999999997</v>
      </c>
      <c r="C118" s="1019">
        <f>B118</f>
        <v>0.66959999999999997</v>
      </c>
      <c r="D118" s="1019">
        <f>ROUND(0.7043-0.012*B113,4)</f>
        <v>0.63480000000000003</v>
      </c>
      <c r="E118" s="1019">
        <f>D118</f>
        <v>0.63480000000000003</v>
      </c>
      <c r="F118" s="1019">
        <f>E118</f>
        <v>0.63480000000000003</v>
      </c>
      <c r="G118" s="1019">
        <f>ROUND(0.6299-0.0122*B113,4)</f>
        <v>0.55930000000000002</v>
      </c>
      <c r="H118" s="1019">
        <f>G118</f>
        <v>0.55930000000000002</v>
      </c>
      <c r="I118" s="1019">
        <f>ROUND(0.5667-0.0136*B113,4)</f>
        <v>0.48799999999999999</v>
      </c>
      <c r="J118" s="1019">
        <f t="shared" si="34"/>
        <v>0.48799999999999999</v>
      </c>
      <c r="K118" s="1019">
        <f t="shared" si="34"/>
        <v>0.48799999999999999</v>
      </c>
      <c r="L118" s="1019">
        <f t="shared" si="34"/>
        <v>0.48799999999999999</v>
      </c>
      <c r="M118" s="1020">
        <f t="shared" si="34"/>
        <v>0.48799999999999999</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04" priority="5" stopIfTrue="1" operator="notEqual">
      <formula>"——"</formula>
    </cfRule>
  </conditionalFormatting>
  <conditionalFormatting sqref="F58">
    <cfRule type="cellIs" dxfId="203" priority="4" stopIfTrue="1" operator="notEqual">
      <formula>"——"</formula>
    </cfRule>
  </conditionalFormatting>
  <conditionalFormatting sqref="F69">
    <cfRule type="cellIs" dxfId="202" priority="3" stopIfTrue="1" operator="notEqual">
      <formula>"——"</formula>
    </cfRule>
  </conditionalFormatting>
  <conditionalFormatting sqref="F80">
    <cfRule type="cellIs" dxfId="201" priority="2" stopIfTrue="1" operator="notEqual">
      <formula>"——"</formula>
    </cfRule>
  </conditionalFormatting>
  <conditionalFormatting sqref="H58:H66 H47:H55 H69:H77 H80:H87">
    <cfRule type="cellIs" dxfId="20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M1" zoomScale="80" zoomScaleNormal="80" workbookViewId="0">
      <selection activeCell="W19" sqref="W19"/>
    </sheetView>
  </sheetViews>
  <sheetFormatPr defaultColWidth="9" defaultRowHeight="12.75"/>
  <cols>
    <col min="1" max="1" width="9" style="2884"/>
    <col min="2" max="6" width="9" style="2884" customWidth="1"/>
    <col min="7" max="7" width="9" style="2913" customWidth="1"/>
    <col min="8" max="12" width="9" style="2884" customWidth="1"/>
    <col min="13" max="13" width="2.25" style="2884" customWidth="1"/>
    <col min="14" max="14" width="9" style="2913" customWidth="1"/>
    <col min="15" max="17" width="9" style="2884" customWidth="1"/>
    <col min="18" max="18" width="2.375" style="2884" customWidth="1"/>
    <col min="19" max="19" width="7.125" style="2913"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4051" t="s">
        <v>2554</v>
      </c>
      <c r="C1" s="4051"/>
      <c r="D1" s="4051"/>
      <c r="E1" s="4051"/>
      <c r="F1" s="4051"/>
      <c r="G1" s="4050" t="s">
        <v>2555</v>
      </c>
      <c r="H1" s="4050"/>
      <c r="I1" s="4050"/>
      <c r="J1" s="4050"/>
      <c r="K1" s="4050"/>
      <c r="L1" s="4050"/>
      <c r="N1" s="4050" t="s">
        <v>2556</v>
      </c>
      <c r="O1" s="4050"/>
      <c r="P1" s="4050"/>
      <c r="Q1" s="4050"/>
      <c r="S1" s="4050" t="s">
        <v>2557</v>
      </c>
      <c r="T1" s="4050"/>
      <c r="U1" s="4050"/>
      <c r="V1" s="4050"/>
      <c r="X1" s="4049" t="s">
        <v>2617</v>
      </c>
      <c r="Y1" s="4050"/>
      <c r="Z1" s="4050"/>
      <c r="AA1" s="4050"/>
      <c r="AB1" s="4050"/>
      <c r="AD1" s="4049" t="s">
        <v>2621</v>
      </c>
      <c r="AE1" s="4050"/>
      <c r="AF1" s="4050"/>
      <c r="AG1" s="4050"/>
      <c r="AH1" s="4050"/>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ROUND(AVERAGE($I4:$I36),2)</f>
        <v>1.66</v>
      </c>
      <c r="J3" s="2872">
        <f>ROUND(AVERAGE($J4:$J36),2)</f>
        <v>1.05</v>
      </c>
      <c r="K3" s="2872">
        <f>ROUND(AVERAGE($K4:$K36),2)</f>
        <v>1.83</v>
      </c>
      <c r="L3" s="2872">
        <f>ROUND(AVERAGE($L4:$L36),2)</f>
        <v>1.22</v>
      </c>
      <c r="N3" s="2870"/>
      <c r="S3" s="2870"/>
      <c r="W3" s="2874"/>
      <c r="X3" s="2875">
        <f>ROUND(SUMPRODUCT(PRODUCT(1+N3:N$35)),4)</f>
        <v>1.6415999999999999</v>
      </c>
      <c r="Y3" s="2875">
        <f>ROUND(SUMPRODUCT(PRODUCT(1+O3:O$35)),4)</f>
        <v>1.3644000000000001</v>
      </c>
      <c r="Z3" s="2875">
        <f t="shared" ref="Z3" si="0">Y3</f>
        <v>1.3644000000000001</v>
      </c>
      <c r="AA3" s="2875">
        <f>ROUND(SUMPRODUCT(PRODUCT(1+P3:P$35)),4)</f>
        <v>1.7232000000000001</v>
      </c>
      <c r="AB3" s="2875">
        <f>ROUND(SUMPRODUCT(PRODUCT(1+Q3:Q$35)),4)</f>
        <v>1.4529000000000001</v>
      </c>
      <c r="AD3" s="2876">
        <f>ROUND(AVERAGE(I3:I$36)/100,4)</f>
        <v>1.66E-2</v>
      </c>
      <c r="AE3" s="2876">
        <f>ROUND(AVERAGE(J3:J$36)/100,4)</f>
        <v>1.0500000000000001E-2</v>
      </c>
      <c r="AF3" s="2876">
        <f t="shared" ref="AF3:AF34" si="1">AE3</f>
        <v>1.0500000000000001E-2</v>
      </c>
      <c r="AG3" s="2876">
        <f>ROUND(AVERAGE(K3:K$36)/100,4)</f>
        <v>1.83E-2</v>
      </c>
      <c r="AH3" s="2876">
        <f>ROUND(AVERAGE(L3:L$36)/100,4)</f>
        <v>1.2200000000000001E-2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3764" customFormat="1">
      <c r="A5" s="3759" t="s">
        <v>3224</v>
      </c>
      <c r="B5" s="3760">
        <f t="shared" ref="B5:C7" si="2">B6*(1+N5)</f>
        <v>504.87072809615569</v>
      </c>
      <c r="C5" s="3760">
        <f t="shared" si="2"/>
        <v>351.71182348101968</v>
      </c>
      <c r="D5" s="3760">
        <f t="shared" ref="D5:D7" si="3">C5</f>
        <v>351.71182348101968</v>
      </c>
      <c r="E5" s="3760">
        <f t="shared" ref="E5:F7" si="4">E6*(1+P5)</f>
        <v>728.75350858360832</v>
      </c>
      <c r="F5" s="3760">
        <f t="shared" si="4"/>
        <v>334.04593931673656</v>
      </c>
      <c r="G5" s="3761">
        <v>2021</v>
      </c>
      <c r="H5" s="3762">
        <v>4</v>
      </c>
      <c r="I5" s="3763">
        <v>0</v>
      </c>
      <c r="J5" s="3763">
        <v>0</v>
      </c>
      <c r="K5" s="3763">
        <v>0</v>
      </c>
      <c r="L5" s="3763">
        <v>0</v>
      </c>
      <c r="N5" s="3765">
        <f t="shared" ref="N5:Q7" si="5">I5/100</f>
        <v>0</v>
      </c>
      <c r="O5" s="3765">
        <f t="shared" si="5"/>
        <v>0</v>
      </c>
      <c r="P5" s="3765">
        <f t="shared" si="5"/>
        <v>0</v>
      </c>
      <c r="Q5" s="3765">
        <f t="shared" si="5"/>
        <v>0</v>
      </c>
      <c r="S5" s="3766"/>
      <c r="W5" s="2886" t="s">
        <v>2929</v>
      </c>
      <c r="X5" s="3767">
        <f>ROUND(SUMPRODUCT(PRODUCT(1+N5:N$36)),4)</f>
        <v>1.6903999999999999</v>
      </c>
      <c r="Y5" s="3767">
        <f>ROUND(SUMPRODUCT(PRODUCT(1+O5:O$36)),4)</f>
        <v>1.3963000000000001</v>
      </c>
      <c r="Z5" s="3767">
        <f t="shared" ref="Z5:Z7" si="6">Y5</f>
        <v>1.3963000000000001</v>
      </c>
      <c r="AA5" s="3767">
        <f>ROUND(SUMPRODUCT(PRODUCT(1+P5:P$36)),4)</f>
        <v>1.7797000000000001</v>
      </c>
      <c r="AB5" s="3767">
        <f>ROUND(SUMPRODUCT(PRODUCT(1+Q5:Q$36)),4)</f>
        <v>1.4726999999999999</v>
      </c>
      <c r="AD5" s="3768">
        <f>ROUND(AVERAGE(I5:I$36)/100,4)</f>
        <v>1.66E-2</v>
      </c>
      <c r="AE5" s="3768">
        <f>ROUND(AVERAGE(J5:J$36)/100,4)</f>
        <v>1.0500000000000001E-2</v>
      </c>
      <c r="AF5" s="3768">
        <f t="shared" ref="AF5:AF7" si="7">AE5</f>
        <v>1.0500000000000001E-2</v>
      </c>
      <c r="AG5" s="3768">
        <f>ROUND(AVERAGE(K5:K$36)/100,4)</f>
        <v>1.83E-2</v>
      </c>
      <c r="AH5" s="3768">
        <f>ROUND(AVERAGE(L5:L$36)/100,4)</f>
        <v>1.2200000000000001E-2</v>
      </c>
    </row>
    <row r="6" spans="1:34" s="3779" customFormat="1">
      <c r="A6" s="3769" t="s">
        <v>3225</v>
      </c>
      <c r="B6" s="3770">
        <f t="shared" si="2"/>
        <v>504.87072809615569</v>
      </c>
      <c r="C6" s="3770">
        <f t="shared" si="2"/>
        <v>351.71182348101968</v>
      </c>
      <c r="D6" s="3770">
        <f t="shared" si="3"/>
        <v>351.71182348101968</v>
      </c>
      <c r="E6" s="3770">
        <f t="shared" si="4"/>
        <v>728.75350858360832</v>
      </c>
      <c r="F6" s="3770">
        <f t="shared" si="4"/>
        <v>334.04593931673656</v>
      </c>
      <c r="G6" s="3761">
        <v>2021</v>
      </c>
      <c r="H6" s="3771">
        <v>3</v>
      </c>
      <c r="I6" s="3771">
        <v>0.47</v>
      </c>
      <c r="J6" s="3771">
        <v>0.41</v>
      </c>
      <c r="K6" s="3771">
        <v>0.48</v>
      </c>
      <c r="L6" s="3772">
        <v>0.48</v>
      </c>
      <c r="M6" s="3773"/>
      <c r="N6" s="3774">
        <f t="shared" si="5"/>
        <v>4.6999999999999993E-3</v>
      </c>
      <c r="O6" s="3775">
        <f t="shared" si="5"/>
        <v>4.0999999999999995E-3</v>
      </c>
      <c r="P6" s="3775">
        <f t="shared" si="5"/>
        <v>4.7999999999999996E-3</v>
      </c>
      <c r="Q6" s="3775">
        <f t="shared" si="5"/>
        <v>4.7999999999999996E-3</v>
      </c>
      <c r="R6" s="3776"/>
      <c r="S6" s="3777"/>
      <c r="T6" s="3778"/>
      <c r="U6" s="3778"/>
      <c r="V6" s="3778"/>
      <c r="W6" s="3773"/>
      <c r="X6" s="3773">
        <f>ROUND(SUMPRODUCT(PRODUCT(1+N6:N$36)),4)</f>
        <v>1.6903999999999999</v>
      </c>
      <c r="Y6" s="3773">
        <f>ROUND(SUMPRODUCT(PRODUCT(1+O6:O$36)),4)</f>
        <v>1.3963000000000001</v>
      </c>
      <c r="Z6" s="3773">
        <f t="shared" si="6"/>
        <v>1.3963000000000001</v>
      </c>
      <c r="AA6" s="3773">
        <f>ROUND(SUMPRODUCT(PRODUCT(1+P6:P$36)),4)</f>
        <v>1.7797000000000001</v>
      </c>
      <c r="AB6" s="3773">
        <f>ROUND(SUMPRODUCT(PRODUCT(1+Q6:Q$36)),4)</f>
        <v>1.4726999999999999</v>
      </c>
      <c r="AC6" s="3773"/>
      <c r="AD6" s="3775">
        <f>ROUND(AVERAGE(I6:I$36)/100,4)</f>
        <v>1.72E-2</v>
      </c>
      <c r="AE6" s="3775">
        <f>ROUND(AVERAGE(J6:J$36)/100,4)</f>
        <v>1.09E-2</v>
      </c>
      <c r="AF6" s="3775">
        <f t="shared" si="7"/>
        <v>1.09E-2</v>
      </c>
      <c r="AG6" s="3775">
        <f>ROUND(AVERAGE(K6:K$36)/100,4)</f>
        <v>1.89E-2</v>
      </c>
      <c r="AH6" s="3775">
        <f>ROUND(AVERAGE(L6:L$36)/100,4)</f>
        <v>1.26E-2</v>
      </c>
    </row>
    <row r="7" spans="1:34" s="3779" customFormat="1">
      <c r="A7" s="3769" t="s">
        <v>2995</v>
      </c>
      <c r="B7" s="3770">
        <f t="shared" si="2"/>
        <v>502.50893609650217</v>
      </c>
      <c r="C7" s="3770">
        <f t="shared" si="2"/>
        <v>350.27569313914915</v>
      </c>
      <c r="D7" s="3770">
        <f t="shared" si="3"/>
        <v>350.27569313914915</v>
      </c>
      <c r="E7" s="3770">
        <f t="shared" si="4"/>
        <v>725.27220201394141</v>
      </c>
      <c r="F7" s="3770">
        <f t="shared" si="4"/>
        <v>332.45017846012797</v>
      </c>
      <c r="G7" s="3761">
        <v>2021</v>
      </c>
      <c r="H7" s="3771">
        <v>2</v>
      </c>
      <c r="I7" s="3771">
        <v>0.92</v>
      </c>
      <c r="J7" s="3771">
        <v>0.72</v>
      </c>
      <c r="K7" s="3771">
        <v>0.95</v>
      </c>
      <c r="L7" s="3772">
        <v>1.01</v>
      </c>
      <c r="M7" s="3773"/>
      <c r="N7" s="3774">
        <f t="shared" si="5"/>
        <v>9.1999999999999998E-3</v>
      </c>
      <c r="O7" s="3775">
        <f t="shared" si="5"/>
        <v>7.1999999999999998E-3</v>
      </c>
      <c r="P7" s="3775">
        <f t="shared" si="5"/>
        <v>9.4999999999999998E-3</v>
      </c>
      <c r="Q7" s="3775">
        <f t="shared" si="5"/>
        <v>1.01E-2</v>
      </c>
      <c r="R7" s="3776"/>
      <c r="S7" s="3777"/>
      <c r="T7" s="3778"/>
      <c r="U7" s="3778"/>
      <c r="V7" s="3778"/>
      <c r="W7" s="3773"/>
      <c r="X7" s="3773">
        <f>ROUND(SUMPRODUCT(PRODUCT(1+N7:N$36)),4)</f>
        <v>1.6825000000000001</v>
      </c>
      <c r="Y7" s="3773">
        <f>ROUND(SUMPRODUCT(PRODUCT(1+O7:O$36)),4)</f>
        <v>1.3906000000000001</v>
      </c>
      <c r="Z7" s="3773">
        <f t="shared" si="6"/>
        <v>1.3906000000000001</v>
      </c>
      <c r="AA7" s="3773">
        <f>ROUND(SUMPRODUCT(PRODUCT(1+P7:P$36)),4)</f>
        <v>1.7712000000000001</v>
      </c>
      <c r="AB7" s="3773">
        <f>ROUND(SUMPRODUCT(PRODUCT(1+Q7:Q$36)),4)</f>
        <v>1.4657</v>
      </c>
      <c r="AC7" s="3773"/>
      <c r="AD7" s="3775">
        <f>ROUND(AVERAGE(I7:I$36)/100,4)</f>
        <v>1.7600000000000001E-2</v>
      </c>
      <c r="AE7" s="3775">
        <f>ROUND(AVERAGE(J7:J$36)/100,4)</f>
        <v>1.11E-2</v>
      </c>
      <c r="AF7" s="3775">
        <f t="shared" si="7"/>
        <v>1.11E-2</v>
      </c>
      <c r="AG7" s="3775">
        <f>ROUND(AVERAGE(K7:K$36)/100,4)</f>
        <v>1.9400000000000001E-2</v>
      </c>
      <c r="AH7" s="3775">
        <f>ROUND(AVERAGE(L7:L$36)/100,4)</f>
        <v>1.2800000000000001E-2</v>
      </c>
    </row>
    <row r="8" spans="1:34" s="2894" customFormat="1">
      <c r="A8" s="2887" t="s">
        <v>2994</v>
      </c>
      <c r="B8" s="2888">
        <f t="shared" ref="B8" si="8">B9*(1+N8)</f>
        <v>497.92799851020823</v>
      </c>
      <c r="C8" s="2888">
        <f t="shared" ref="C8" si="9">C9*(1+O8)</f>
        <v>347.77173663537445</v>
      </c>
      <c r="D8" s="2888">
        <f t="shared" ref="D8" si="10">C8</f>
        <v>347.77173663537445</v>
      </c>
      <c r="E8" s="2888">
        <f t="shared" ref="E8" si="11">E9*(1+P8)</f>
        <v>718.44695593258189</v>
      </c>
      <c r="F8" s="2888">
        <f t="shared" ref="F8" si="12">F9*(1+Q8)</f>
        <v>329.12600580153247</v>
      </c>
      <c r="G8" s="2880">
        <v>2021</v>
      </c>
      <c r="H8" s="2889">
        <v>1</v>
      </c>
      <c r="I8" s="2860">
        <v>0.97</v>
      </c>
      <c r="J8" s="2860">
        <v>0.16</v>
      </c>
      <c r="K8" s="2860">
        <v>1.1100000000000001</v>
      </c>
      <c r="L8" s="2861">
        <v>0.36</v>
      </c>
      <c r="M8" s="2884"/>
      <c r="N8" s="2890">
        <f t="shared" ref="N8" si="13">I8/100</f>
        <v>9.7000000000000003E-3</v>
      </c>
      <c r="O8" s="2885">
        <f t="shared" ref="O8" si="14">J8/100</f>
        <v>1.6000000000000001E-3</v>
      </c>
      <c r="P8" s="2885">
        <f t="shared" ref="P8" si="15">K8/100</f>
        <v>1.11E-2</v>
      </c>
      <c r="Q8" s="2885">
        <f t="shared" ref="Q8" si="16">L8/100</f>
        <v>3.5999999999999999E-3</v>
      </c>
      <c r="R8" s="2891"/>
      <c r="S8" s="2892">
        <f>B8/B9-1</f>
        <v>9.7000000000000419E-3</v>
      </c>
      <c r="T8" s="2893">
        <f>C8/C9-1</f>
        <v>1.6000000000000458E-3</v>
      </c>
      <c r="U8" s="2893">
        <f>E8/E9-1</f>
        <v>1.110000000000011E-2</v>
      </c>
      <c r="V8" s="2893">
        <f>F8/F9-1</f>
        <v>3.6000000000000476E-3</v>
      </c>
      <c r="W8" s="2884"/>
      <c r="X8" s="2884">
        <f>ROUND(SUMPRODUCT(PRODUCT(1+N8:N$36)),4)</f>
        <v>1.6671</v>
      </c>
      <c r="Y8" s="2884">
        <f>ROUND(SUMPRODUCT(PRODUCT(1+O8:O$36)),4)</f>
        <v>1.3807</v>
      </c>
      <c r="Z8" s="2884">
        <f t="shared" ref="Z8" si="17">Y8</f>
        <v>1.3807</v>
      </c>
      <c r="AA8" s="2884">
        <f>ROUND(SUMPRODUCT(PRODUCT(1+P8:P$36)),4)</f>
        <v>1.7545999999999999</v>
      </c>
      <c r="AB8" s="2884">
        <f>ROUND(SUMPRODUCT(PRODUCT(1+Q8:Q$36)),4)</f>
        <v>1.4510000000000001</v>
      </c>
      <c r="AC8" s="2884"/>
      <c r="AD8" s="2885">
        <f>ROUND(AVERAGE(I8:I$36)/100,4)</f>
        <v>1.7899999999999999E-2</v>
      </c>
      <c r="AE8" s="2885">
        <f>ROUND(AVERAGE(J8:J$36)/100,4)</f>
        <v>1.12E-2</v>
      </c>
      <c r="AF8" s="2885">
        <f t="shared" ref="AF8" si="18">AE8</f>
        <v>1.12E-2</v>
      </c>
      <c r="AG8" s="2885">
        <f>ROUND(AVERAGE(K8:K$36)/100,4)</f>
        <v>1.9699999999999999E-2</v>
      </c>
      <c r="AH8" s="2885">
        <f>ROUND(AVERAGE(L8:L$36)/100,4)</f>
        <v>1.29E-2</v>
      </c>
    </row>
    <row r="9" spans="1:34" s="2894" customFormat="1">
      <c r="A9" s="2887" t="s">
        <v>2993</v>
      </c>
      <c r="B9" s="2888">
        <f t="shared" ref="B9" si="19">B10*(1+N9)</f>
        <v>493.14449689037161</v>
      </c>
      <c r="C9" s="2888">
        <f t="shared" ref="C9" si="20">C10*(1+O9)</f>
        <v>347.21619073020611</v>
      </c>
      <c r="D9" s="2888">
        <f t="shared" ref="D9" si="21">C9</f>
        <v>347.21619073020611</v>
      </c>
      <c r="E9" s="2888">
        <f t="shared" ref="E9" si="22">E10*(1+P9)</f>
        <v>710.55974278763904</v>
      </c>
      <c r="F9" s="2888">
        <f t="shared" ref="F9" si="23">F10*(1+Q9)</f>
        <v>327.94540235306141</v>
      </c>
      <c r="G9" s="2880">
        <v>2020</v>
      </c>
      <c r="H9" s="2889">
        <v>4</v>
      </c>
      <c r="I9" s="2860">
        <v>2.0699999999999998</v>
      </c>
      <c r="J9" s="2860">
        <v>0.37</v>
      </c>
      <c r="K9" s="2860">
        <v>2.35</v>
      </c>
      <c r="L9" s="2861">
        <v>2.69</v>
      </c>
      <c r="M9" s="2884"/>
      <c r="N9" s="2890">
        <f t="shared" ref="N9" si="24">I9/100</f>
        <v>2.07E-2</v>
      </c>
      <c r="O9" s="2885">
        <f t="shared" ref="O9" si="25">J9/100</f>
        <v>3.7000000000000002E-3</v>
      </c>
      <c r="P9" s="2885">
        <f t="shared" ref="P9" si="26">K9/100</f>
        <v>2.35E-2</v>
      </c>
      <c r="Q9" s="2885">
        <f t="shared" ref="Q9" si="27">L9/100</f>
        <v>2.69E-2</v>
      </c>
      <c r="R9" s="2891"/>
      <c r="S9" s="2892"/>
      <c r="T9" s="2893"/>
      <c r="U9" s="2893"/>
      <c r="V9" s="2893"/>
      <c r="W9" s="2884"/>
      <c r="X9" s="2884">
        <f>ROUND(SUMPRODUCT(PRODUCT(1+N9:N$36)),4)</f>
        <v>1.6511</v>
      </c>
      <c r="Y9" s="2884">
        <f>ROUND(SUMPRODUCT(PRODUCT(1+O9:O$36)),4)</f>
        <v>1.3785000000000001</v>
      </c>
      <c r="Z9" s="2884">
        <f t="shared" ref="Z9" si="28">Y9</f>
        <v>1.3785000000000001</v>
      </c>
      <c r="AA9" s="2884">
        <f>ROUND(SUMPRODUCT(PRODUCT(1+P9:P$36)),4)</f>
        <v>1.7353000000000001</v>
      </c>
      <c r="AB9" s="2884">
        <f>ROUND(SUMPRODUCT(PRODUCT(1+Q9:Q$36)),4)</f>
        <v>1.4458</v>
      </c>
      <c r="AC9" s="2884"/>
      <c r="AD9" s="2885">
        <f>ROUND(AVERAGE(I9:I$36)/100,4)</f>
        <v>1.8200000000000001E-2</v>
      </c>
      <c r="AE9" s="2885">
        <f>ROUND(AVERAGE(J9:J$36)/100,4)</f>
        <v>1.1599999999999999E-2</v>
      </c>
      <c r="AF9" s="2885">
        <f t="shared" ref="AF9" si="29">AE9</f>
        <v>1.1599999999999999E-2</v>
      </c>
      <c r="AG9" s="2885">
        <f>ROUND(AVERAGE(K9:K$36)/100,4)</f>
        <v>0.02</v>
      </c>
      <c r="AH9" s="2885">
        <f>ROUND(AVERAGE(L9:L$36)/100,4)</f>
        <v>1.3299999999999999E-2</v>
      </c>
    </row>
    <row r="10" spans="1:34" s="2894" customFormat="1">
      <c r="A10" s="2887" t="s">
        <v>2992</v>
      </c>
      <c r="B10" s="2888">
        <f t="shared" ref="B10" si="30">B11*(1+N10)</f>
        <v>483.1434279321756</v>
      </c>
      <c r="C10" s="2888">
        <f t="shared" ref="C10" si="31">C11*(1+O10)</f>
        <v>345.93622669144776</v>
      </c>
      <c r="D10" s="2888">
        <f t="shared" ref="D10" si="32">C10</f>
        <v>345.93622669144776</v>
      </c>
      <c r="E10" s="2888">
        <f t="shared" ref="E10" si="33">E11*(1+P10)</f>
        <v>694.24498562544113</v>
      </c>
      <c r="F10" s="2888">
        <f t="shared" ref="F10" si="34">F11*(1+Q10)</f>
        <v>319.35475932716082</v>
      </c>
      <c r="G10" s="2880">
        <v>2020</v>
      </c>
      <c r="H10" s="2889">
        <v>3</v>
      </c>
      <c r="I10" s="2860">
        <v>0.36</v>
      </c>
      <c r="J10" s="2860">
        <v>-0.39</v>
      </c>
      <c r="K10" s="2860">
        <v>0.49</v>
      </c>
      <c r="L10" s="2861">
        <v>7.0000000000000007E-2</v>
      </c>
      <c r="M10" s="2884"/>
      <c r="N10" s="2890">
        <f t="shared" ref="N10" si="35">I10/100</f>
        <v>3.5999999999999999E-3</v>
      </c>
      <c r="O10" s="2885">
        <f t="shared" ref="O10" si="36">J10/100</f>
        <v>-3.9000000000000003E-3</v>
      </c>
      <c r="P10" s="2885">
        <f t="shared" ref="P10" si="37">K10/100</f>
        <v>4.8999999999999998E-3</v>
      </c>
      <c r="Q10" s="2885">
        <f t="shared" ref="Q10" si="38">L10/100</f>
        <v>7.000000000000001E-4</v>
      </c>
      <c r="R10" s="2891"/>
      <c r="S10" s="2892"/>
      <c r="T10" s="2893"/>
      <c r="U10" s="2893"/>
      <c r="V10" s="2893"/>
      <c r="W10" s="2884"/>
      <c r="X10" s="2884">
        <f>ROUND(SUMPRODUCT(PRODUCT(1+N10:N$36)),4)</f>
        <v>1.6175999999999999</v>
      </c>
      <c r="Y10" s="2884">
        <f>ROUND(SUMPRODUCT(PRODUCT(1+O10:O$36)),4)</f>
        <v>1.3734</v>
      </c>
      <c r="Z10" s="2884">
        <f t="shared" ref="Z10" si="39">Y10</f>
        <v>1.3734</v>
      </c>
      <c r="AA10" s="2884">
        <f>ROUND(SUMPRODUCT(PRODUCT(1+P10:P$36)),4)</f>
        <v>1.6955</v>
      </c>
      <c r="AB10" s="2884">
        <f>ROUND(SUMPRODUCT(PRODUCT(1+Q10:Q$36)),4)</f>
        <v>1.4078999999999999</v>
      </c>
      <c r="AC10" s="2884"/>
      <c r="AD10" s="2885">
        <f>ROUND(AVERAGE(I10:I$36)/100,4)</f>
        <v>1.8100000000000002E-2</v>
      </c>
      <c r="AE10" s="2885">
        <f>ROUND(AVERAGE(J10:J$36)/100,4)</f>
        <v>1.1900000000000001E-2</v>
      </c>
      <c r="AF10" s="2885">
        <f t="shared" ref="AF10" si="40">AE10</f>
        <v>1.1900000000000001E-2</v>
      </c>
      <c r="AG10" s="2885">
        <f>ROUND(AVERAGE(K10:K$36)/100,4)</f>
        <v>1.9900000000000001E-2</v>
      </c>
      <c r="AH10" s="2885">
        <f>ROUND(AVERAGE(L10:L$36)/100,4)</f>
        <v>1.2800000000000001E-2</v>
      </c>
    </row>
    <row r="11" spans="1:34" s="2894" customFormat="1">
      <c r="A11" s="2887" t="s">
        <v>2955</v>
      </c>
      <c r="B11" s="2888">
        <f t="shared" ref="B11" si="41">B12*(1+N11)</f>
        <v>481.4103506697644</v>
      </c>
      <c r="C11" s="2888">
        <f t="shared" ref="C11" si="42">C12*(1+O11)</f>
        <v>347.29066026648707</v>
      </c>
      <c r="D11" s="2888">
        <f t="shared" ref="D11" si="43">C11</f>
        <v>347.29066026648707</v>
      </c>
      <c r="E11" s="2888">
        <f t="shared" ref="E11" si="44">E12*(1+P11)</f>
        <v>690.85977273901995</v>
      </c>
      <c r="F11" s="2888">
        <f t="shared" ref="F11" si="45">F12*(1+Q11)</f>
        <v>319.13136737000184</v>
      </c>
      <c r="G11" s="2880">
        <v>2020</v>
      </c>
      <c r="H11" s="2889">
        <v>2</v>
      </c>
      <c r="I11" s="2860">
        <v>0.31</v>
      </c>
      <c r="J11" s="2860">
        <v>-0.78</v>
      </c>
      <c r="K11" s="2860">
        <v>0.5</v>
      </c>
      <c r="L11" s="2861">
        <v>0.47</v>
      </c>
      <c r="M11" s="2884"/>
      <c r="N11" s="2890">
        <f t="shared" ref="N11" si="46">I11/100</f>
        <v>3.0999999999999999E-3</v>
      </c>
      <c r="O11" s="2885">
        <f t="shared" ref="O11" si="47">J11/100</f>
        <v>-7.8000000000000005E-3</v>
      </c>
      <c r="P11" s="2885">
        <f t="shared" ref="P11" si="48">K11/100</f>
        <v>5.0000000000000001E-3</v>
      </c>
      <c r="Q11" s="2885">
        <f t="shared" ref="Q11" si="49">L11/100</f>
        <v>4.6999999999999993E-3</v>
      </c>
      <c r="R11" s="2891"/>
      <c r="S11" s="2892"/>
      <c r="T11" s="2893"/>
      <c r="U11" s="2893"/>
      <c r="V11" s="2893"/>
      <c r="W11" s="2884"/>
      <c r="X11" s="2884">
        <f>ROUND(SUMPRODUCT(PRODUCT(1+N11:N$36)),4)</f>
        <v>1.6117999999999999</v>
      </c>
      <c r="Y11" s="2884">
        <f>ROUND(SUMPRODUCT(PRODUCT(1+O11:O$36)),4)</f>
        <v>1.3788</v>
      </c>
      <c r="Z11" s="2884">
        <f t="shared" ref="Z11" si="50">Y11</f>
        <v>1.3788</v>
      </c>
      <c r="AA11" s="2884">
        <f>ROUND(SUMPRODUCT(PRODUCT(1+P11:P$36)),4)</f>
        <v>1.6872</v>
      </c>
      <c r="AB11" s="2884">
        <f>ROUND(SUMPRODUCT(PRODUCT(1+Q11:Q$36)),4)</f>
        <v>1.4069</v>
      </c>
      <c r="AC11" s="2884"/>
      <c r="AD11" s="2885">
        <f>ROUND(AVERAGE(I11:I$36)/100,4)</f>
        <v>1.8599999999999998E-2</v>
      </c>
      <c r="AE11" s="2885">
        <f>ROUND(AVERAGE(J11:J$36)/100,4)</f>
        <v>1.2500000000000001E-2</v>
      </c>
      <c r="AF11" s="2885">
        <f t="shared" ref="AF11" si="51">AE11</f>
        <v>1.2500000000000001E-2</v>
      </c>
      <c r="AG11" s="2885">
        <f>ROUND(AVERAGE(K11:K$36)/100,4)</f>
        <v>2.0400000000000001E-2</v>
      </c>
      <c r="AH11" s="2885">
        <f>ROUND(AVERAGE(L11:L$36)/100,4)</f>
        <v>1.32E-2</v>
      </c>
    </row>
    <row r="12" spans="1:34" s="2894" customFormat="1">
      <c r="A12" s="2887" t="s">
        <v>2953</v>
      </c>
      <c r="B12" s="2888">
        <f t="shared" ref="B12" si="52">B13*(1+N12)</f>
        <v>479.92259063878413</v>
      </c>
      <c r="C12" s="2888">
        <f t="shared" ref="C12" si="53">C13*(1+O12)</f>
        <v>350.02082268341775</v>
      </c>
      <c r="D12" s="2888">
        <f t="shared" ref="D12" si="54">C12</f>
        <v>350.02082268341775</v>
      </c>
      <c r="E12" s="2888">
        <f t="shared" ref="E12" si="55">E13*(1+P12)</f>
        <v>687.42265944181099</v>
      </c>
      <c r="F12" s="2888">
        <f t="shared" ref="F12" si="56">F13*(1+Q12)</f>
        <v>317.63846657708956</v>
      </c>
      <c r="G12" s="2880">
        <v>2020</v>
      </c>
      <c r="H12" s="2889">
        <v>1</v>
      </c>
      <c r="I12" s="2860">
        <v>0.12</v>
      </c>
      <c r="J12" s="2860">
        <v>-0.4</v>
      </c>
      <c r="K12" s="2860">
        <v>0.21</v>
      </c>
      <c r="L12" s="2861">
        <v>0.27</v>
      </c>
      <c r="M12" s="2884"/>
      <c r="N12" s="2890">
        <f t="shared" ref="N12" si="57">I12/100</f>
        <v>1.1999999999999999E-3</v>
      </c>
      <c r="O12" s="2885">
        <f t="shared" ref="O12" si="58">J12/100</f>
        <v>-4.0000000000000001E-3</v>
      </c>
      <c r="P12" s="2885">
        <f t="shared" ref="P12" si="59">K12/100</f>
        <v>2.0999999999999999E-3</v>
      </c>
      <c r="Q12" s="2885">
        <f t="shared" ref="Q12" si="60">L12/100</f>
        <v>2.7000000000000001E-3</v>
      </c>
      <c r="R12" s="2891"/>
      <c r="S12" s="2892">
        <f>B12/B13-1</f>
        <v>1.2000000000000899E-3</v>
      </c>
      <c r="T12" s="2893">
        <f>C12/C13-1</f>
        <v>-4.0000000000000036E-3</v>
      </c>
      <c r="U12" s="2893">
        <f>E12/E13-1</f>
        <v>2.0999999999999908E-3</v>
      </c>
      <c r="V12" s="2893">
        <f>F12/F13-1</f>
        <v>2.6999999999999247E-3</v>
      </c>
      <c r="W12" s="2884"/>
      <c r="X12" s="2884">
        <f>ROUND(SUMPRODUCT(PRODUCT(1+N12:N$36)),4)</f>
        <v>1.6068</v>
      </c>
      <c r="Y12" s="2884">
        <f>ROUND(SUMPRODUCT(PRODUCT(1+O12:O$36)),4)</f>
        <v>1.3895999999999999</v>
      </c>
      <c r="Z12" s="2884">
        <f t="shared" ref="Z12:Z35" si="61">Y12</f>
        <v>1.3895999999999999</v>
      </c>
      <c r="AA12" s="2884">
        <f>ROUND(SUMPRODUCT(PRODUCT(1+P12:P$36)),4)</f>
        <v>1.6788000000000001</v>
      </c>
      <c r="AB12" s="2884">
        <f>ROUND(SUMPRODUCT(PRODUCT(1+Q12:Q$36)),4)</f>
        <v>1.4004000000000001</v>
      </c>
      <c r="AC12" s="2884"/>
      <c r="AD12" s="2885">
        <f>ROUND(AVERAGE(I12:I$36)/100,4)</f>
        <v>1.9199999999999998E-2</v>
      </c>
      <c r="AE12" s="2885">
        <f>ROUND(AVERAGE(J12:J$36)/100,4)</f>
        <v>1.3299999999999999E-2</v>
      </c>
      <c r="AF12" s="2885">
        <f t="shared" ref="AF12" si="62">AE12</f>
        <v>1.3299999999999999E-2</v>
      </c>
      <c r="AG12" s="2885">
        <f>ROUND(AVERAGE(K12:K$36)/100,4)</f>
        <v>2.1100000000000001E-2</v>
      </c>
      <c r="AH12" s="2885">
        <f>ROUND(AVERAGE(L12:L$36)/100,4)</f>
        <v>1.3599999999999999E-2</v>
      </c>
    </row>
    <row r="13" spans="1:34" s="2894" customFormat="1">
      <c r="A13" s="2887" t="s">
        <v>2950</v>
      </c>
      <c r="B13" s="2888">
        <f t="shared" ref="B13" si="63">B14*(1+N13)</f>
        <v>479.34737379023579</v>
      </c>
      <c r="C13" s="2888">
        <f t="shared" ref="C13" si="64">C14*(1+O13)</f>
        <v>351.4265287986122</v>
      </c>
      <c r="D13" s="2888">
        <f t="shared" ref="D13" si="65">C13</f>
        <v>351.4265287986122</v>
      </c>
      <c r="E13" s="2888">
        <f t="shared" ref="E13" si="66">E14*(1+P13)</f>
        <v>685.98209703803116</v>
      </c>
      <c r="F13" s="2888">
        <f t="shared" ref="F13" si="67">F14*(1+Q13)</f>
        <v>316.78315206651001</v>
      </c>
      <c r="G13" s="2880">
        <v>2019</v>
      </c>
      <c r="H13" s="2889">
        <v>4</v>
      </c>
      <c r="I13" s="2889">
        <v>0.45</v>
      </c>
      <c r="J13" s="2889">
        <v>-0.12</v>
      </c>
      <c r="K13" s="2889">
        <v>0.54</v>
      </c>
      <c r="L13" s="2895">
        <v>0.48</v>
      </c>
      <c r="M13" s="2884"/>
      <c r="N13" s="2890">
        <f t="shared" ref="N13" si="68">I13/100</f>
        <v>4.5000000000000005E-3</v>
      </c>
      <c r="O13" s="2885">
        <f t="shared" ref="O13" si="69">J13/100</f>
        <v>-1.1999999999999999E-3</v>
      </c>
      <c r="P13" s="2885">
        <f t="shared" ref="P13" si="70">K13/100</f>
        <v>5.4000000000000003E-3</v>
      </c>
      <c r="Q13" s="2885">
        <f t="shared" ref="Q13" si="71">L13/100</f>
        <v>4.7999999999999996E-3</v>
      </c>
      <c r="R13" s="2891"/>
      <c r="S13" s="2892"/>
      <c r="T13" s="2893"/>
      <c r="U13" s="2893"/>
      <c r="V13" s="2893"/>
      <c r="W13" s="2884"/>
      <c r="X13" s="2884">
        <f>ROUND(SUMPRODUCT(PRODUCT(1+N13:N$36)),4)</f>
        <v>1.6049</v>
      </c>
      <c r="Y13" s="2884">
        <f>ROUND(SUMPRODUCT(PRODUCT(1+O13:O$36)),4)</f>
        <v>1.3952</v>
      </c>
      <c r="Z13" s="2884">
        <f t="shared" si="61"/>
        <v>1.3952</v>
      </c>
      <c r="AA13" s="2884">
        <f>ROUND(SUMPRODUCT(PRODUCT(1+P13:P$36)),4)</f>
        <v>1.6753</v>
      </c>
      <c r="AB13" s="2884">
        <f>ROUND(SUMPRODUCT(PRODUCT(1+Q13:Q$36)),4)</f>
        <v>1.3966000000000001</v>
      </c>
      <c r="AC13" s="2884"/>
      <c r="AD13" s="2885">
        <f>ROUND(AVERAGE(I13:I$36)/100,4)</f>
        <v>0.02</v>
      </c>
      <c r="AE13" s="2885">
        <f>ROUND(AVERAGE(J13:J$36)/100,4)</f>
        <v>1.4E-2</v>
      </c>
      <c r="AF13" s="2885">
        <f t="shared" ref="AF13" si="72">AE13</f>
        <v>1.4E-2</v>
      </c>
      <c r="AG13" s="2885">
        <f>ROUND(AVERAGE(K13:K$36)/100,4)</f>
        <v>2.1899999999999999E-2</v>
      </c>
      <c r="AH13" s="2885">
        <f>ROUND(AVERAGE(L13:L$36)/100,4)</f>
        <v>1.4E-2</v>
      </c>
    </row>
    <row r="14" spans="1:34" s="2894" customFormat="1" ht="13.5" thickBot="1">
      <c r="A14" s="2887" t="s">
        <v>2949</v>
      </c>
      <c r="B14" s="2888">
        <f t="shared" ref="B14" si="73">B15*(1+N14)</f>
        <v>477.19997390765138</v>
      </c>
      <c r="C14" s="2888">
        <f t="shared" ref="C14" si="74">C15*(1+O14)</f>
        <v>351.84874729536665</v>
      </c>
      <c r="D14" s="2888">
        <f t="shared" ref="D14" si="75">C14</f>
        <v>351.84874729536665</v>
      </c>
      <c r="E14" s="2888">
        <f t="shared" ref="E14" si="76">E15*(1+P14)</f>
        <v>682.29768951465201</v>
      </c>
      <c r="F14" s="2888">
        <f t="shared" ref="F14" si="77">F15*(1+Q14)</f>
        <v>315.26985675409043</v>
      </c>
      <c r="G14" s="2880">
        <v>2019</v>
      </c>
      <c r="H14" s="2889">
        <v>3</v>
      </c>
      <c r="I14" s="2889">
        <v>0.61</v>
      </c>
      <c r="J14" s="2889">
        <v>0.67</v>
      </c>
      <c r="K14" s="2889">
        <v>0.6</v>
      </c>
      <c r="L14" s="2895">
        <v>1.03</v>
      </c>
      <c r="M14" s="2884"/>
      <c r="N14" s="2890">
        <f t="shared" ref="N14" si="78">I14/100</f>
        <v>6.0999999999999995E-3</v>
      </c>
      <c r="O14" s="2885">
        <f t="shared" ref="O14" si="79">J14/100</f>
        <v>6.7000000000000002E-3</v>
      </c>
      <c r="P14" s="2885">
        <f t="shared" ref="P14" si="80">K14/100</f>
        <v>6.0000000000000001E-3</v>
      </c>
      <c r="Q14" s="2885">
        <f t="shared" ref="Q14" si="81">L14/100</f>
        <v>1.03E-2</v>
      </c>
      <c r="R14" s="2891"/>
      <c r="S14" s="2892"/>
      <c r="T14" s="2893"/>
      <c r="U14" s="2893"/>
      <c r="V14" s="2893"/>
      <c r="W14" s="2884"/>
      <c r="X14" s="2884">
        <f>ROUND(SUMPRODUCT(PRODUCT(1+N14:N$36)),4)</f>
        <v>1.5976999999999999</v>
      </c>
      <c r="Y14" s="2884">
        <f>ROUND(SUMPRODUCT(PRODUCT(1+O14:O$36)),4)</f>
        <v>1.3969</v>
      </c>
      <c r="Z14" s="2884">
        <f t="shared" si="61"/>
        <v>1.3969</v>
      </c>
      <c r="AA14" s="2884">
        <f>ROUND(SUMPRODUCT(PRODUCT(1+P14:P$36)),4)</f>
        <v>1.6662999999999999</v>
      </c>
      <c r="AB14" s="2884">
        <f>ROUND(SUMPRODUCT(PRODUCT(1+Q14:Q$36)),4)</f>
        <v>1.3898999999999999</v>
      </c>
      <c r="AC14" s="2884"/>
      <c r="AD14" s="2885">
        <f>ROUND(AVERAGE(I14:I$36)/100,4)</f>
        <v>2.07E-2</v>
      </c>
      <c r="AE14" s="2885">
        <f>ROUND(AVERAGE(J14:J$36)/100,4)</f>
        <v>1.47E-2</v>
      </c>
      <c r="AF14" s="2885">
        <f t="shared" ref="AF14" si="82">AE14</f>
        <v>1.47E-2</v>
      </c>
      <c r="AG14" s="2885">
        <f>ROUND(AVERAGE(K14:K$36)/100,4)</f>
        <v>2.2599999999999999E-2</v>
      </c>
      <c r="AH14" s="2885">
        <f>ROUND(AVERAGE(L14:L$36)/100,4)</f>
        <v>1.44E-2</v>
      </c>
    </row>
    <row r="15" spans="1:34" s="2894" customFormat="1">
      <c r="A15" s="2887" t="s">
        <v>2948</v>
      </c>
      <c r="B15" s="2888">
        <f t="shared" ref="B15:B20" si="83">B16*(1+N15)</f>
        <v>474.30670301923408</v>
      </c>
      <c r="C15" s="2888">
        <f t="shared" ref="C15" si="84">C16*(1+O15)</f>
        <v>349.50705005996491</v>
      </c>
      <c r="D15" s="2888">
        <f t="shared" ref="D15" si="85">C15</f>
        <v>349.50705005996491</v>
      </c>
      <c r="E15" s="2888">
        <f t="shared" ref="E15" si="86">E16*(1+P15)</f>
        <v>678.22831959706957</v>
      </c>
      <c r="F15" s="2888">
        <f t="shared" ref="F15" si="87">F16*(1+Q15)</f>
        <v>312.0556832169558</v>
      </c>
      <c r="G15" s="2880">
        <v>2019</v>
      </c>
      <c r="H15" s="2896">
        <v>2</v>
      </c>
      <c r="I15" s="2896">
        <v>1.53</v>
      </c>
      <c r="J15" s="2896">
        <v>1.01</v>
      </c>
      <c r="K15" s="2896">
        <v>1.62</v>
      </c>
      <c r="L15" s="2897">
        <v>1.25</v>
      </c>
      <c r="M15" s="2884"/>
      <c r="N15" s="2890">
        <f t="shared" ref="N15" si="88">I15/100</f>
        <v>1.5300000000000001E-2</v>
      </c>
      <c r="O15" s="2885">
        <f t="shared" ref="O15" si="89">J15/100</f>
        <v>1.01E-2</v>
      </c>
      <c r="P15" s="2885">
        <f t="shared" ref="P15" si="90">K15/100</f>
        <v>1.6200000000000003E-2</v>
      </c>
      <c r="Q15" s="2885">
        <f t="shared" ref="Q15" si="91">L15/100</f>
        <v>1.2500000000000001E-2</v>
      </c>
      <c r="R15" s="2891"/>
      <c r="S15" s="2892"/>
      <c r="T15" s="2893"/>
      <c r="U15" s="2893"/>
      <c r="V15" s="2893"/>
      <c r="W15" s="2884"/>
      <c r="X15" s="2884">
        <f>ROUND(SUMPRODUCT(PRODUCT(1+N15:N$36)),4)</f>
        <v>1.5880000000000001</v>
      </c>
      <c r="Y15" s="2884">
        <f>ROUND(SUMPRODUCT(PRODUCT(1+O15:O$36)),4)</f>
        <v>1.3875999999999999</v>
      </c>
      <c r="Z15" s="2884">
        <f t="shared" si="61"/>
        <v>1.3875999999999999</v>
      </c>
      <c r="AA15" s="2884">
        <f>ROUND(SUMPRODUCT(PRODUCT(1+P15:P$36)),4)</f>
        <v>1.6563000000000001</v>
      </c>
      <c r="AB15" s="2884">
        <f>ROUND(SUMPRODUCT(PRODUCT(1+Q15:Q$36)),4)</f>
        <v>1.3756999999999999</v>
      </c>
      <c r="AC15" s="2884"/>
      <c r="AD15" s="2885">
        <f>ROUND(AVERAGE(I15:I$36)/100,4)</f>
        <v>2.1299999999999999E-2</v>
      </c>
      <c r="AE15" s="2885">
        <f>ROUND(AVERAGE(J15:J$36)/100,4)</f>
        <v>1.4999999999999999E-2</v>
      </c>
      <c r="AF15" s="2885">
        <f t="shared" ref="AF15" si="92">AE15</f>
        <v>1.4999999999999999E-2</v>
      </c>
      <c r="AG15" s="2885">
        <f>ROUND(AVERAGE(K15:K$36)/100,4)</f>
        <v>2.3300000000000001E-2</v>
      </c>
      <c r="AH15" s="2885">
        <f>ROUND(AVERAGE(L15:L$36)/100,4)</f>
        <v>1.46E-2</v>
      </c>
    </row>
    <row r="16" spans="1:34" s="2894" customFormat="1" ht="13.5" thickBot="1">
      <c r="A16" s="2887" t="s">
        <v>2947</v>
      </c>
      <c r="B16" s="2888">
        <f t="shared" si="83"/>
        <v>467.15916775261894</v>
      </c>
      <c r="C16" s="2888">
        <f t="shared" ref="C16" si="93">C17*(1+O16)</f>
        <v>346.01232557169084</v>
      </c>
      <c r="D16" s="2888">
        <f t="shared" ref="D16" si="94">C16</f>
        <v>346.01232557169084</v>
      </c>
      <c r="E16" s="2888">
        <f t="shared" ref="E16" si="95">E17*(1+P16)</f>
        <v>667.41617752122568</v>
      </c>
      <c r="F16" s="2888">
        <f t="shared" ref="F16" si="96">F17*(1+Q16)</f>
        <v>308.20314391798104</v>
      </c>
      <c r="G16" s="2880">
        <v>2019</v>
      </c>
      <c r="H16" s="2889">
        <v>1</v>
      </c>
      <c r="I16" s="2889">
        <v>0.6</v>
      </c>
      <c r="J16" s="2889">
        <v>0.37</v>
      </c>
      <c r="K16" s="2889">
        <v>0.63</v>
      </c>
      <c r="L16" s="2895">
        <v>1.1299999999999999</v>
      </c>
      <c r="M16" s="2884"/>
      <c r="N16" s="2890">
        <f t="shared" ref="N16" si="97">I16/100</f>
        <v>6.0000000000000001E-3</v>
      </c>
      <c r="O16" s="2885">
        <f t="shared" ref="O16" si="98">J16/100</f>
        <v>3.7000000000000002E-3</v>
      </c>
      <c r="P16" s="2885">
        <f t="shared" ref="P16" si="99">K16/100</f>
        <v>6.3E-3</v>
      </c>
      <c r="Q16" s="2885">
        <f t="shared" ref="Q16" si="100">L16/100</f>
        <v>1.1299999999999999E-2</v>
      </c>
      <c r="R16" s="2891"/>
      <c r="S16" s="2892">
        <f>B16/B17-1</f>
        <v>6.0000000000000053E-3</v>
      </c>
      <c r="T16" s="2893">
        <f>C16/C17-1</f>
        <v>3.7000000000000366E-3</v>
      </c>
      <c r="U16" s="2893">
        <f>E16/E17-1</f>
        <v>6.2999999999999723E-3</v>
      </c>
      <c r="V16" s="2893">
        <f>F16/F17-1</f>
        <v>1.1300000000000088E-2</v>
      </c>
      <c r="W16" s="2884"/>
      <c r="X16" s="2884">
        <f>ROUND(SUMPRODUCT(PRODUCT(1+N16:N$36)),4)</f>
        <v>1.5641</v>
      </c>
      <c r="Y16" s="2884">
        <f>ROUND(SUMPRODUCT(PRODUCT(1+O16:O$36)),4)</f>
        <v>1.3736999999999999</v>
      </c>
      <c r="Z16" s="2884">
        <f t="shared" si="61"/>
        <v>1.3736999999999999</v>
      </c>
      <c r="AA16" s="2884">
        <f>ROUND(SUMPRODUCT(PRODUCT(1+P16:P$36)),4)</f>
        <v>1.6298999999999999</v>
      </c>
      <c r="AB16" s="2884">
        <f>ROUND(SUMPRODUCT(PRODUCT(1+Q16:Q$36)),4)</f>
        <v>1.3588</v>
      </c>
      <c r="AC16" s="2884"/>
      <c r="AD16" s="2885">
        <f>ROUND(AVERAGE(I16:I$36)/100,4)</f>
        <v>2.1600000000000001E-2</v>
      </c>
      <c r="AE16" s="2885">
        <f>ROUND(AVERAGE(J16:J$36)/100,4)</f>
        <v>1.5299999999999999E-2</v>
      </c>
      <c r="AF16" s="2885">
        <f t="shared" ref="AF16" si="101">AE16</f>
        <v>1.5299999999999999E-2</v>
      </c>
      <c r="AG16" s="2885">
        <f>ROUND(AVERAGE(K16:K$36)/100,4)</f>
        <v>2.3699999999999999E-2</v>
      </c>
      <c r="AH16" s="2885">
        <f>ROUND(AVERAGE(L16:L$36)/100,4)</f>
        <v>1.47E-2</v>
      </c>
    </row>
    <row r="17" spans="1:34" s="2894" customFormat="1">
      <c r="A17" s="2887" t="s">
        <v>2945</v>
      </c>
      <c r="B17" s="2898">
        <f t="shared" si="83"/>
        <v>464.37293017158942</v>
      </c>
      <c r="C17" s="2898">
        <f t="shared" ref="C17" si="102">C18*(1+O17)</f>
        <v>344.73679941385956</v>
      </c>
      <c r="D17" s="2898">
        <f t="shared" ref="D17" si="103">C17</f>
        <v>344.73679941385956</v>
      </c>
      <c r="E17" s="2898">
        <f t="shared" ref="E17" si="104">E18*(1+P17)</f>
        <v>663.2377795103107</v>
      </c>
      <c r="F17" s="2899">
        <f t="shared" ref="F17" si="105">F18*(1+Q17)</f>
        <v>304.75936311478398</v>
      </c>
      <c r="G17" s="4045">
        <v>2018</v>
      </c>
      <c r="H17" s="2896">
        <v>4</v>
      </c>
      <c r="I17" s="2896">
        <v>0.96</v>
      </c>
      <c r="J17" s="2896">
        <v>1.03</v>
      </c>
      <c r="K17" s="2896">
        <v>0.92</v>
      </c>
      <c r="L17" s="2897">
        <v>1.29</v>
      </c>
      <c r="M17" s="2884"/>
      <c r="N17" s="2890">
        <f t="shared" ref="N17" si="106">I17/100</f>
        <v>9.5999999999999992E-3</v>
      </c>
      <c r="O17" s="2885">
        <f t="shared" ref="O17" si="107">J17/100</f>
        <v>1.03E-2</v>
      </c>
      <c r="P17" s="2885">
        <f t="shared" ref="P17" si="108">K17/100</f>
        <v>9.1999999999999998E-3</v>
      </c>
      <c r="Q17" s="2885">
        <f t="shared" ref="Q17" si="109">L17/100</f>
        <v>1.29E-2</v>
      </c>
      <c r="R17" s="2891"/>
      <c r="S17" s="2900"/>
      <c r="T17" s="2901"/>
      <c r="U17" s="2901"/>
      <c r="V17" s="2901"/>
      <c r="W17" s="2884"/>
      <c r="X17" s="2884">
        <f>ROUND(SUMPRODUCT(PRODUCT(1+N17:N$36)),4)</f>
        <v>1.5548</v>
      </c>
      <c r="Y17" s="2884">
        <f>ROUND(SUMPRODUCT(PRODUCT(1+O17:O$36)),4)</f>
        <v>1.3686</v>
      </c>
      <c r="Z17" s="2884">
        <f t="shared" si="61"/>
        <v>1.3686</v>
      </c>
      <c r="AA17" s="2884">
        <f>ROUND(SUMPRODUCT(PRODUCT(1+P17:P$36)),4)</f>
        <v>1.6196999999999999</v>
      </c>
      <c r="AB17" s="2884">
        <f>ROUND(SUMPRODUCT(PRODUCT(1+Q17:Q$36)),4)</f>
        <v>1.3435999999999999</v>
      </c>
      <c r="AC17" s="2884"/>
      <c r="AD17" s="2885">
        <f>ROUND(AVERAGE(I17:I$36)/100,4)</f>
        <v>2.24E-2</v>
      </c>
      <c r="AE17" s="2885">
        <f>ROUND(AVERAGE(J17:J$36)/100,4)</f>
        <v>1.5800000000000002E-2</v>
      </c>
      <c r="AF17" s="2885">
        <f t="shared" ref="AF17" si="110">AE17</f>
        <v>1.5800000000000002E-2</v>
      </c>
      <c r="AG17" s="2885">
        <f>ROUND(AVERAGE(K17:K$36)/100,4)</f>
        <v>2.4500000000000001E-2</v>
      </c>
      <c r="AH17" s="2885">
        <f>ROUND(AVERAGE(L17:L$36)/100,4)</f>
        <v>1.49E-2</v>
      </c>
    </row>
    <row r="18" spans="1:34" s="2894" customFormat="1" ht="14.45" customHeight="1">
      <c r="A18" s="2887" t="s">
        <v>2938</v>
      </c>
      <c r="B18" s="2888">
        <f t="shared" si="83"/>
        <v>459.95733971036987</v>
      </c>
      <c r="C18" s="2888">
        <f t="shared" ref="C18" si="111">C19*(1+O18)</f>
        <v>341.22221064422405</v>
      </c>
      <c r="D18" s="2888">
        <f t="shared" ref="D18" si="112">C18</f>
        <v>341.22221064422405</v>
      </c>
      <c r="E18" s="2888">
        <f t="shared" ref="E18" si="113">E19*(1+P18)</f>
        <v>657.19161663724799</v>
      </c>
      <c r="F18" s="2888">
        <f t="shared" ref="F18" si="114">F19*(1+Q18)</f>
        <v>300.87803644464805</v>
      </c>
      <c r="G18" s="4045"/>
      <c r="H18" s="2889">
        <v>3</v>
      </c>
      <c r="I18" s="2889">
        <v>1.51</v>
      </c>
      <c r="J18" s="2889">
        <v>1.41</v>
      </c>
      <c r="K18" s="2889">
        <v>1.52</v>
      </c>
      <c r="L18" s="2895">
        <v>1.74</v>
      </c>
      <c r="M18" s="2884"/>
      <c r="N18" s="2890">
        <f t="shared" ref="N18" si="115">I18/100</f>
        <v>1.5100000000000001E-2</v>
      </c>
      <c r="O18" s="2885">
        <f t="shared" ref="O18" si="116">J18/100</f>
        <v>1.41E-2</v>
      </c>
      <c r="P18" s="2885">
        <f t="shared" ref="P18" si="117">K18/100</f>
        <v>1.52E-2</v>
      </c>
      <c r="Q18" s="2885">
        <f t="shared" ref="Q18" si="118">L18/100</f>
        <v>1.7399999999999999E-2</v>
      </c>
      <c r="R18" s="2891"/>
      <c r="S18" s="2890"/>
      <c r="T18" s="2885"/>
      <c r="U18" s="2885"/>
      <c r="V18" s="2885"/>
      <c r="W18" s="2884"/>
      <c r="X18" s="2884">
        <f>ROUND(SUMPRODUCT(PRODUCT(1+N18:N$36)),4)</f>
        <v>1.54</v>
      </c>
      <c r="Y18" s="2884">
        <f>ROUND(SUMPRODUCT(PRODUCT(1+O18:O$36)),4)</f>
        <v>1.3547</v>
      </c>
      <c r="Z18" s="2884">
        <f t="shared" si="61"/>
        <v>1.3547</v>
      </c>
      <c r="AA18" s="2884">
        <f>ROUND(SUMPRODUCT(PRODUCT(1+P18:P$36)),4)</f>
        <v>1.605</v>
      </c>
      <c r="AB18" s="2884">
        <f>ROUND(SUMPRODUCT(PRODUCT(1+Q18:Q$36)),4)</f>
        <v>1.3265</v>
      </c>
      <c r="AC18" s="2884"/>
      <c r="AD18" s="2885">
        <f>ROUND(AVERAGE(I18:I$36)/100,4)</f>
        <v>2.3099999999999999E-2</v>
      </c>
      <c r="AE18" s="2885">
        <f>ROUND(AVERAGE(J18:J$36)/100,4)</f>
        <v>1.61E-2</v>
      </c>
      <c r="AF18" s="2885">
        <f t="shared" ref="AF18" si="119">AE18</f>
        <v>1.61E-2</v>
      </c>
      <c r="AG18" s="2885">
        <f>ROUND(AVERAGE(K18:K$36)/100,4)</f>
        <v>2.53E-2</v>
      </c>
      <c r="AH18" s="2885">
        <f>ROUND(AVERAGE(L18:L$36)/100,4)</f>
        <v>1.4999999999999999E-2</v>
      </c>
    </row>
    <row r="19" spans="1:34" s="2894" customFormat="1" ht="14.45" customHeight="1">
      <c r="A19" s="2887" t="s">
        <v>2939</v>
      </c>
      <c r="B19" s="2888">
        <f t="shared" si="83"/>
        <v>453.11529869999993</v>
      </c>
      <c r="C19" s="2888">
        <f t="shared" ref="C19" si="120">C20*(1+O19)</f>
        <v>336.47787264000004</v>
      </c>
      <c r="D19" s="2888">
        <f t="shared" ref="D19" si="121">C19</f>
        <v>336.47787264000004</v>
      </c>
      <c r="E19" s="2888">
        <f t="shared" ref="E19" si="122">E20*(1+P19)</f>
        <v>647.35186823999993</v>
      </c>
      <c r="F19" s="2888">
        <f t="shared" ref="F19" si="123">F20*(1+Q19)</f>
        <v>295.73229452000004</v>
      </c>
      <c r="G19" s="4045"/>
      <c r="H19" s="2902">
        <v>2</v>
      </c>
      <c r="I19" s="2902">
        <v>1.49</v>
      </c>
      <c r="J19" s="2902">
        <v>0.96</v>
      </c>
      <c r="K19" s="2902">
        <v>1.58</v>
      </c>
      <c r="L19" s="2903">
        <v>2.44</v>
      </c>
      <c r="M19" s="2884"/>
      <c r="N19" s="2890">
        <f t="shared" ref="N19" si="124">I19/100</f>
        <v>1.49E-2</v>
      </c>
      <c r="O19" s="2885">
        <f t="shared" ref="O19" si="125">J19/100</f>
        <v>9.5999999999999992E-3</v>
      </c>
      <c r="P19" s="2885">
        <f t="shared" ref="P19" si="126">K19/100</f>
        <v>1.5800000000000002E-2</v>
      </c>
      <c r="Q19" s="2885">
        <f t="shared" ref="Q19" si="127">L19/100</f>
        <v>2.4399999999999998E-2</v>
      </c>
      <c r="R19" s="2891"/>
      <c r="S19" s="2890"/>
      <c r="T19" s="2885"/>
      <c r="U19" s="2885"/>
      <c r="V19" s="2885"/>
      <c r="W19" s="2884"/>
      <c r="X19" s="2884">
        <f>ROUND(SUMPRODUCT(PRODUCT(1+N19:N$36)),4)</f>
        <v>1.5170999999999999</v>
      </c>
      <c r="Y19" s="2884">
        <f>ROUND(SUMPRODUCT(PRODUCT(1+O19:O$36)),4)</f>
        <v>1.3358000000000001</v>
      </c>
      <c r="Z19" s="2884">
        <f t="shared" si="61"/>
        <v>1.3358000000000001</v>
      </c>
      <c r="AA19" s="2884">
        <f>ROUND(SUMPRODUCT(PRODUCT(1+P19:P$36)),4)</f>
        <v>1.5809</v>
      </c>
      <c r="AB19" s="2884">
        <f>ROUND(SUMPRODUCT(PRODUCT(1+Q19:Q$36)),4)</f>
        <v>1.3038000000000001</v>
      </c>
      <c r="AC19" s="2884"/>
      <c r="AD19" s="2885">
        <f>ROUND(AVERAGE(I19:I$36)/100,4)</f>
        <v>2.35E-2</v>
      </c>
      <c r="AE19" s="2885">
        <f>ROUND(AVERAGE(J19:J$36)/100,4)</f>
        <v>1.6199999999999999E-2</v>
      </c>
      <c r="AF19" s="2885">
        <f t="shared" ref="AF19" si="128">AE19</f>
        <v>1.6199999999999999E-2</v>
      </c>
      <c r="AG19" s="2885">
        <f>ROUND(AVERAGE(K19:K$36)/100,4)</f>
        <v>2.5899999999999999E-2</v>
      </c>
      <c r="AH19" s="2885">
        <f>ROUND(AVERAGE(L19:L$36)/100,4)</f>
        <v>1.49E-2</v>
      </c>
    </row>
    <row r="20" spans="1:34" s="2894" customFormat="1" ht="15" customHeight="1" thickBot="1">
      <c r="A20" s="2887" t="s">
        <v>2935</v>
      </c>
      <c r="B20" s="2888">
        <f t="shared" si="83"/>
        <v>446.46299999999997</v>
      </c>
      <c r="C20" s="2888">
        <f t="shared" ref="C20" si="129">C21*(1+O20)</f>
        <v>333.27840000000003</v>
      </c>
      <c r="D20" s="2888">
        <f t="shared" ref="D20:D25" si="130">C20</f>
        <v>333.27840000000003</v>
      </c>
      <c r="E20" s="2888">
        <f t="shared" ref="E20" si="131">E21*(1+P20)</f>
        <v>637.28279999999995</v>
      </c>
      <c r="F20" s="2888">
        <f t="shared" ref="F20" si="132">F21*(1+Q20)</f>
        <v>288.68830000000003</v>
      </c>
      <c r="G20" s="4046"/>
      <c r="H20" s="2889">
        <v>1</v>
      </c>
      <c r="I20" s="2889">
        <v>1.7</v>
      </c>
      <c r="J20" s="2889">
        <v>1.92</v>
      </c>
      <c r="K20" s="2889">
        <v>1.64</v>
      </c>
      <c r="L20" s="2895">
        <v>2.0099999999999998</v>
      </c>
      <c r="M20" s="2884"/>
      <c r="N20" s="2890">
        <f t="shared" ref="N20:N25" si="133">I20/100</f>
        <v>1.7000000000000001E-2</v>
      </c>
      <c r="O20" s="2885">
        <f t="shared" ref="O20" si="134">J20/100</f>
        <v>1.9199999999999998E-2</v>
      </c>
      <c r="P20" s="2885">
        <f t="shared" ref="P20" si="135">K20/100</f>
        <v>1.6399999999999998E-2</v>
      </c>
      <c r="Q20" s="2885">
        <f t="shared" ref="Q20" si="136">L20/100</f>
        <v>2.0099999999999996E-2</v>
      </c>
      <c r="R20" s="2891"/>
      <c r="S20" s="2892">
        <f>B20/B21-1</f>
        <v>1.6999999999999904E-2</v>
      </c>
      <c r="T20" s="2893">
        <f>C20/C21-1</f>
        <v>1.9200000000000106E-2</v>
      </c>
      <c r="U20" s="2893">
        <f>E20/E21-1</f>
        <v>1.639999999999997E-2</v>
      </c>
      <c r="V20" s="2893">
        <f>F20/F21-1</f>
        <v>2.0100000000000007E-2</v>
      </c>
      <c r="W20" s="2884"/>
      <c r="X20" s="2884">
        <f>ROUND(SUMPRODUCT(PRODUCT(1+N20:N$36)),4)</f>
        <v>1.4947999999999999</v>
      </c>
      <c r="Y20" s="2884">
        <f>ROUND(SUMPRODUCT(PRODUCT(1+O20:O$36)),4)</f>
        <v>1.3230999999999999</v>
      </c>
      <c r="Z20" s="2884">
        <f t="shared" si="61"/>
        <v>1.3230999999999999</v>
      </c>
      <c r="AA20" s="2884">
        <f>ROUND(SUMPRODUCT(PRODUCT(1+P20:P$36)),4)</f>
        <v>1.5564</v>
      </c>
      <c r="AB20" s="2884">
        <f>ROUND(SUMPRODUCT(PRODUCT(1+Q20:Q$36)),4)</f>
        <v>1.2726999999999999</v>
      </c>
      <c r="AC20" s="2884"/>
      <c r="AD20" s="2885">
        <f>ROUND(AVERAGE(I20:I$36)/100,4)</f>
        <v>2.4E-2</v>
      </c>
      <c r="AE20" s="2885">
        <f>ROUND(AVERAGE(J20:J$36)/100,4)</f>
        <v>1.66E-2</v>
      </c>
      <c r="AF20" s="2885">
        <f t="shared" ref="AF20" si="137">AE20</f>
        <v>1.66E-2</v>
      </c>
      <c r="AG20" s="2885">
        <f>ROUND(AVERAGE(K20:K$36)/100,4)</f>
        <v>2.6499999999999999E-2</v>
      </c>
      <c r="AH20" s="2885">
        <f>ROUND(AVERAGE(L20:L$36)/100,4)</f>
        <v>1.43E-2</v>
      </c>
    </row>
    <row r="21" spans="1:34">
      <c r="A21" s="2887" t="s">
        <v>2927</v>
      </c>
      <c r="B21" s="2904">
        <v>439</v>
      </c>
      <c r="C21" s="2904">
        <v>327</v>
      </c>
      <c r="D21" s="2904">
        <f t="shared" si="130"/>
        <v>327</v>
      </c>
      <c r="E21" s="2904">
        <v>627</v>
      </c>
      <c r="F21" s="2905">
        <v>283</v>
      </c>
      <c r="G21" s="4044">
        <v>2017</v>
      </c>
      <c r="H21" s="2896">
        <v>4</v>
      </c>
      <c r="I21" s="2896">
        <v>1.71</v>
      </c>
      <c r="J21" s="2896">
        <v>1.78</v>
      </c>
      <c r="K21" s="2896">
        <v>1.71</v>
      </c>
      <c r="L21" s="2897">
        <v>1.43</v>
      </c>
      <c r="N21" s="2906">
        <f t="shared" si="133"/>
        <v>1.7100000000000001E-2</v>
      </c>
      <c r="O21" s="2907">
        <f t="shared" ref="O21" si="138">J21/100</f>
        <v>1.78E-2</v>
      </c>
      <c r="P21" s="2907">
        <f t="shared" ref="P21" si="139">K21/100</f>
        <v>1.7100000000000001E-2</v>
      </c>
      <c r="Q21" s="2907">
        <f t="shared" ref="Q21" si="140">L21/100</f>
        <v>1.43E-2</v>
      </c>
      <c r="R21" s="2891"/>
      <c r="S21" s="2900"/>
      <c r="T21" s="2901"/>
      <c r="U21" s="2901"/>
      <c r="V21" s="2901"/>
      <c r="X21" s="2884">
        <f>ROUND(SUMPRODUCT(PRODUCT(1+N21:N$36)),4)</f>
        <v>1.4698</v>
      </c>
      <c r="Y21" s="2884">
        <f>ROUND(SUMPRODUCT(PRODUCT(1+O21:O$36)),4)</f>
        <v>1.2982</v>
      </c>
      <c r="Z21" s="2884">
        <f t="shared" si="61"/>
        <v>1.2982</v>
      </c>
      <c r="AA21" s="2884">
        <f>ROUND(SUMPRODUCT(PRODUCT(1+P21:P$36)),4)</f>
        <v>1.5311999999999999</v>
      </c>
      <c r="AB21" s="2884">
        <f>ROUND(SUMPRODUCT(PRODUCT(1+Q21:Q$36)),4)</f>
        <v>1.2476</v>
      </c>
      <c r="AD21" s="2885">
        <f>ROUND(AVERAGE(I21:I$36)/100,4)</f>
        <v>2.4500000000000001E-2</v>
      </c>
      <c r="AE21" s="2885">
        <f>ROUND(AVERAGE(J21:J$36)/100,4)</f>
        <v>1.6500000000000001E-2</v>
      </c>
      <c r="AF21" s="2885">
        <f t="shared" si="1"/>
        <v>1.6500000000000001E-2</v>
      </c>
      <c r="AG21" s="2885">
        <f>ROUND(AVERAGE(K21:K$36)/100,4)</f>
        <v>2.7099999999999999E-2</v>
      </c>
      <c r="AH21" s="2885">
        <f>ROUND(AVERAGE(L21:L$36)/100,4)</f>
        <v>1.3899999999999999E-2</v>
      </c>
    </row>
    <row r="22" spans="1:34" s="2894" customFormat="1" ht="14.45" customHeight="1">
      <c r="A22" s="2887" t="s">
        <v>2930</v>
      </c>
      <c r="B22" s="2888">
        <f t="shared" ref="B22:C24" si="141">B23*(1+N22)</f>
        <v>431.80730811680002</v>
      </c>
      <c r="C22" s="2888">
        <f t="shared" si="141"/>
        <v>320.57880516480003</v>
      </c>
      <c r="D22" s="2888">
        <f t="shared" si="130"/>
        <v>320.57880516480003</v>
      </c>
      <c r="E22" s="2888">
        <f t="shared" ref="E22:F24" si="142">E23*(1+P22)</f>
        <v>615.96110553196797</v>
      </c>
      <c r="F22" s="2888">
        <f t="shared" si="142"/>
        <v>279.46777300108801</v>
      </c>
      <c r="G22" s="4045"/>
      <c r="H22" s="2889">
        <v>3</v>
      </c>
      <c r="I22" s="2889">
        <v>2.98</v>
      </c>
      <c r="J22" s="2889">
        <v>2.11</v>
      </c>
      <c r="K22" s="2889">
        <v>3.24</v>
      </c>
      <c r="L22" s="2895">
        <v>1.72</v>
      </c>
      <c r="M22" s="2884"/>
      <c r="N22" s="2890">
        <f t="shared" si="133"/>
        <v>2.98E-2</v>
      </c>
      <c r="O22" s="2908">
        <f t="shared" ref="O22:O23" si="143">J22/100</f>
        <v>2.1099999999999997E-2</v>
      </c>
      <c r="P22" s="2908">
        <f t="shared" ref="P22:P23" si="144">K22/100</f>
        <v>3.2400000000000005E-2</v>
      </c>
      <c r="Q22" s="2908">
        <f t="shared" ref="Q22:Q23" si="145">L22/100</f>
        <v>1.72E-2</v>
      </c>
      <c r="R22" s="2891"/>
      <c r="S22" s="2890"/>
      <c r="T22" s="2885"/>
      <c r="U22" s="2885"/>
      <c r="V22" s="2885"/>
      <c r="W22" s="2884"/>
      <c r="X22" s="2884">
        <f>ROUND(SUMPRODUCT(PRODUCT(1+N22:N$36)),4)</f>
        <v>1.4451000000000001</v>
      </c>
      <c r="Y22" s="2884">
        <f>ROUND(SUMPRODUCT(PRODUCT(1+O22:O$36)),4)</f>
        <v>1.2755000000000001</v>
      </c>
      <c r="Z22" s="2884">
        <f t="shared" si="61"/>
        <v>1.2755000000000001</v>
      </c>
      <c r="AA22" s="2884">
        <f>ROUND(SUMPRODUCT(PRODUCT(1+P22:P$36)),4)</f>
        <v>1.5055000000000001</v>
      </c>
      <c r="AB22" s="2884">
        <f>ROUND(SUMPRODUCT(PRODUCT(1+Q22:Q$36)),4)</f>
        <v>1.2301</v>
      </c>
      <c r="AC22" s="2884"/>
      <c r="AD22" s="2885">
        <f>ROUND(AVERAGE(I22:I$36)/100,4)</f>
        <v>2.4899999999999999E-2</v>
      </c>
      <c r="AE22" s="2885">
        <f>ROUND(AVERAGE(J22:J$36)/100,4)</f>
        <v>1.6400000000000001E-2</v>
      </c>
      <c r="AF22" s="2885">
        <f t="shared" si="1"/>
        <v>1.6400000000000001E-2</v>
      </c>
      <c r="AG22" s="2885">
        <f>ROUND(AVERAGE(K22:K$36)/100,4)</f>
        <v>2.7799999999999998E-2</v>
      </c>
      <c r="AH22" s="2885">
        <f>ROUND(AVERAGE(L22:L$36)/100,4)</f>
        <v>1.3899999999999999E-2</v>
      </c>
    </row>
    <row r="23" spans="1:34" s="2862" customFormat="1" ht="14.45" customHeight="1">
      <c r="A23" s="2887" t="s">
        <v>2559</v>
      </c>
      <c r="B23" s="2888">
        <f t="shared" si="141"/>
        <v>419.31181600000002</v>
      </c>
      <c r="C23" s="2888">
        <f t="shared" si="141"/>
        <v>313.95436800000004</v>
      </c>
      <c r="D23" s="2888">
        <f t="shared" si="130"/>
        <v>313.95436800000004</v>
      </c>
      <c r="E23" s="2888">
        <f t="shared" si="142"/>
        <v>596.63028431999999</v>
      </c>
      <c r="F23" s="2888">
        <f t="shared" si="142"/>
        <v>274.74220703999998</v>
      </c>
      <c r="G23" s="4045"/>
      <c r="H23" s="2902">
        <v>2</v>
      </c>
      <c r="I23" s="2902">
        <v>3.4</v>
      </c>
      <c r="J23" s="2902">
        <v>2</v>
      </c>
      <c r="K23" s="2902">
        <v>3.82</v>
      </c>
      <c r="L23" s="2903">
        <v>1.68</v>
      </c>
      <c r="N23" s="2890">
        <f t="shared" si="133"/>
        <v>3.4000000000000002E-2</v>
      </c>
      <c r="O23" s="2908">
        <f t="shared" si="143"/>
        <v>0.02</v>
      </c>
      <c r="P23" s="2908">
        <f t="shared" si="144"/>
        <v>3.8199999999999998E-2</v>
      </c>
      <c r="Q23" s="2908">
        <f t="shared" si="145"/>
        <v>1.6799999999999999E-2</v>
      </c>
      <c r="S23" s="2890"/>
      <c r="T23" s="2885"/>
      <c r="U23" s="2885"/>
      <c r="V23" s="2885"/>
      <c r="X23" s="2884">
        <f>ROUND(SUMPRODUCT(PRODUCT(1+N23:N$36)),4)</f>
        <v>1.4033</v>
      </c>
      <c r="Y23" s="2884">
        <f>ROUND(SUMPRODUCT(PRODUCT(1+O23:O$36)),4)</f>
        <v>1.2491000000000001</v>
      </c>
      <c r="Z23" s="2884">
        <f t="shared" si="61"/>
        <v>1.2491000000000001</v>
      </c>
      <c r="AA23" s="2884">
        <f>ROUND(SUMPRODUCT(PRODUCT(1+P23:P$36)),4)</f>
        <v>1.4581999999999999</v>
      </c>
      <c r="AB23" s="2884">
        <f>ROUND(SUMPRODUCT(PRODUCT(1+Q23:Q$36)),4)</f>
        <v>1.2093</v>
      </c>
      <c r="AD23" s="2885">
        <f>ROUND(AVERAGE(I23:I$36)/100,4)</f>
        <v>2.46E-2</v>
      </c>
      <c r="AE23" s="2885">
        <f>ROUND(AVERAGE(J23:J$36)/100,4)</f>
        <v>1.6E-2</v>
      </c>
      <c r="AF23" s="2885">
        <f t="shared" si="1"/>
        <v>1.6E-2</v>
      </c>
      <c r="AG23" s="2885">
        <f>ROUND(AVERAGE(K23:K$36)/100,4)</f>
        <v>2.75E-2</v>
      </c>
      <c r="AH23" s="2885">
        <f>ROUND(AVERAGE(L23:L$36)/100,4)</f>
        <v>1.37E-2</v>
      </c>
    </row>
    <row r="24" spans="1:34" s="2894" customFormat="1" ht="15" customHeight="1" thickBot="1">
      <c r="A24" s="2887" t="s">
        <v>2560</v>
      </c>
      <c r="B24" s="2888">
        <f t="shared" si="141"/>
        <v>405.524</v>
      </c>
      <c r="C24" s="2888">
        <f t="shared" si="141"/>
        <v>307.79840000000002</v>
      </c>
      <c r="D24" s="2888">
        <f t="shared" si="130"/>
        <v>307.79840000000002</v>
      </c>
      <c r="E24" s="2888">
        <f t="shared" si="142"/>
        <v>574.67759999999998</v>
      </c>
      <c r="F24" s="2888">
        <f t="shared" si="142"/>
        <v>270.20280000000002</v>
      </c>
      <c r="G24" s="4046"/>
      <c r="H24" s="2889">
        <v>1</v>
      </c>
      <c r="I24" s="2889">
        <v>3.45</v>
      </c>
      <c r="J24" s="2889">
        <v>1.92</v>
      </c>
      <c r="K24" s="2889">
        <v>3.92</v>
      </c>
      <c r="L24" s="2895">
        <v>1.58</v>
      </c>
      <c r="M24" s="2884"/>
      <c r="N24" s="2892">
        <f t="shared" si="133"/>
        <v>3.4500000000000003E-2</v>
      </c>
      <c r="O24" s="2893">
        <f t="shared" ref="O24" si="146">J24/100</f>
        <v>1.9199999999999998E-2</v>
      </c>
      <c r="P24" s="2893">
        <f t="shared" ref="P24" si="147">K24/100</f>
        <v>3.9199999999999999E-2</v>
      </c>
      <c r="Q24" s="2893">
        <f t="shared" ref="Q24" si="148">L24/100</f>
        <v>1.5800000000000002E-2</v>
      </c>
      <c r="R24" s="2891"/>
      <c r="S24" s="2892">
        <f>B24/B25-1</f>
        <v>3.4499999999999975E-2</v>
      </c>
      <c r="T24" s="2893">
        <f>C24/C25-1</f>
        <v>1.9200000000000106E-2</v>
      </c>
      <c r="U24" s="2893">
        <f>E24/E25-1</f>
        <v>3.9199999999999902E-2</v>
      </c>
      <c r="V24" s="2893">
        <f>F24/F25-1</f>
        <v>1.5800000000000036E-2</v>
      </c>
      <c r="W24" s="2884"/>
      <c r="X24" s="2884">
        <f>ROUND(SUMPRODUCT(PRODUCT(1+N24:N$36)),4)</f>
        <v>1.3571</v>
      </c>
      <c r="Y24" s="2884">
        <f>ROUND(SUMPRODUCT(PRODUCT(1+O24:O$36)),4)</f>
        <v>1.2245999999999999</v>
      </c>
      <c r="Z24" s="2884">
        <f t="shared" si="61"/>
        <v>1.2245999999999999</v>
      </c>
      <c r="AA24" s="2884">
        <f>ROUND(SUMPRODUCT(PRODUCT(1+P24:P$36)),4)</f>
        <v>1.4046000000000001</v>
      </c>
      <c r="AB24" s="2884">
        <f>ROUND(SUMPRODUCT(PRODUCT(1+Q24:Q$36)),4)</f>
        <v>1.1893</v>
      </c>
      <c r="AC24" s="2884"/>
      <c r="AD24" s="2885">
        <f>ROUND(AVERAGE(I24:I$36)/100,4)</f>
        <v>2.3900000000000001E-2</v>
      </c>
      <c r="AE24" s="2885">
        <f>ROUND(AVERAGE(J24:J$36)/100,4)</f>
        <v>1.5699999999999999E-2</v>
      </c>
      <c r="AF24" s="2885">
        <f t="shared" si="1"/>
        <v>1.5699999999999999E-2</v>
      </c>
      <c r="AG24" s="2885">
        <f>ROUND(AVERAGE(K24:K$36)/100,4)</f>
        <v>2.6599999999999999E-2</v>
      </c>
      <c r="AH24" s="2885">
        <f>ROUND(AVERAGE(L24:L$36)/100,4)</f>
        <v>1.34E-2</v>
      </c>
    </row>
    <row r="25" spans="1:34">
      <c r="A25" s="2887" t="s">
        <v>959</v>
      </c>
      <c r="B25" s="2909">
        <v>392</v>
      </c>
      <c r="C25" s="2909">
        <v>302</v>
      </c>
      <c r="D25" s="2909">
        <f t="shared" si="130"/>
        <v>302</v>
      </c>
      <c r="E25" s="2909">
        <v>553</v>
      </c>
      <c r="F25" s="2910">
        <v>266</v>
      </c>
      <c r="G25" s="4044">
        <v>2016</v>
      </c>
      <c r="H25" s="2896">
        <v>4</v>
      </c>
      <c r="I25" s="2896">
        <v>4.5599999999999996</v>
      </c>
      <c r="J25" s="2896">
        <v>2.15</v>
      </c>
      <c r="K25" s="2896">
        <v>5.32</v>
      </c>
      <c r="L25" s="2897">
        <v>1.57</v>
      </c>
      <c r="N25" s="2890">
        <f t="shared" si="133"/>
        <v>4.5599999999999995E-2</v>
      </c>
      <c r="O25" s="2885">
        <f t="shared" ref="O25:Q40" si="149">J25/100</f>
        <v>2.1499999999999998E-2</v>
      </c>
      <c r="P25" s="2885">
        <f t="shared" si="149"/>
        <v>5.3200000000000004E-2</v>
      </c>
      <c r="Q25" s="2885">
        <f t="shared" si="149"/>
        <v>1.5700000000000002E-2</v>
      </c>
      <c r="R25" s="2891"/>
      <c r="S25" s="2900"/>
      <c r="T25" s="2901"/>
      <c r="U25" s="2901"/>
      <c r="V25" s="2901"/>
      <c r="X25" s="2884">
        <f>ROUND(SUMPRODUCT(PRODUCT(1+N25:N$36)),4)</f>
        <v>1.3119000000000001</v>
      </c>
      <c r="Y25" s="2884">
        <f>ROUND(SUMPRODUCT(PRODUCT(1+O25:O$36)),4)</f>
        <v>1.2016</v>
      </c>
      <c r="Z25" s="2884">
        <f t="shared" si="61"/>
        <v>1.2016</v>
      </c>
      <c r="AA25" s="2884">
        <f>ROUND(SUMPRODUCT(PRODUCT(1+P25:P$36)),4)</f>
        <v>1.3515999999999999</v>
      </c>
      <c r="AB25" s="2884">
        <f>ROUND(SUMPRODUCT(PRODUCT(1+Q25:Q$36)),4)</f>
        <v>1.1708000000000001</v>
      </c>
      <c r="AD25" s="2885">
        <f>ROUND(AVERAGE(I25:I$36)/100,4)</f>
        <v>2.3E-2</v>
      </c>
      <c r="AE25" s="2885">
        <f>ROUND(AVERAGE(J25:J$36)/100,4)</f>
        <v>1.55E-2</v>
      </c>
      <c r="AF25" s="2885">
        <f t="shared" si="1"/>
        <v>1.55E-2</v>
      </c>
      <c r="AG25" s="2885">
        <f>ROUND(AVERAGE(K25:K$36)/100,4)</f>
        <v>2.5600000000000001E-2</v>
      </c>
      <c r="AH25" s="2885">
        <f>ROUND(AVERAGE(L25:L$36)/100,4)</f>
        <v>1.32E-2</v>
      </c>
    </row>
    <row r="26" spans="1:34">
      <c r="A26" s="2887" t="s">
        <v>958</v>
      </c>
      <c r="B26" s="2888">
        <f t="shared" ref="B26:C28" si="150">B25/(1+N25)</f>
        <v>374.90436113236416</v>
      </c>
      <c r="C26" s="2888">
        <f t="shared" si="150"/>
        <v>295.64366128242779</v>
      </c>
      <c r="D26" s="2888">
        <f t="shared" ref="D26:D85" si="151">C26</f>
        <v>295.64366128242779</v>
      </c>
      <c r="E26" s="2888">
        <f t="shared" ref="E26:F28" si="152">E25/(1+P25)</f>
        <v>525.06646410938095</v>
      </c>
      <c r="F26" s="2888">
        <f t="shared" si="152"/>
        <v>261.88835286009646</v>
      </c>
      <c r="G26" s="4045"/>
      <c r="H26" s="2889">
        <v>3</v>
      </c>
      <c r="I26" s="2889">
        <v>4.12</v>
      </c>
      <c r="J26" s="2889">
        <v>2</v>
      </c>
      <c r="K26" s="2889">
        <v>4.79</v>
      </c>
      <c r="L26" s="2895">
        <v>1.97</v>
      </c>
      <c r="N26" s="2890">
        <f t="shared" ref="N26:Q60" si="153">I26/100</f>
        <v>4.1200000000000001E-2</v>
      </c>
      <c r="O26" s="2885">
        <f t="shared" si="149"/>
        <v>0.02</v>
      </c>
      <c r="P26" s="2885">
        <f t="shared" si="149"/>
        <v>4.7899999999999998E-2</v>
      </c>
      <c r="Q26" s="2885">
        <f t="shared" si="149"/>
        <v>1.9699999999999999E-2</v>
      </c>
      <c r="R26" s="2891"/>
      <c r="S26" s="2890"/>
      <c r="T26" s="2885"/>
      <c r="U26" s="2885"/>
      <c r="V26" s="2885"/>
      <c r="X26" s="2884">
        <f>ROUND(SUMPRODUCT(PRODUCT(1+N26:N$36)),4)</f>
        <v>1.2546999999999999</v>
      </c>
      <c r="Y26" s="2884">
        <f>ROUND(SUMPRODUCT(PRODUCT(1+O26:O$36)),4)</f>
        <v>1.1762999999999999</v>
      </c>
      <c r="Z26" s="2884">
        <f t="shared" si="61"/>
        <v>1.1762999999999999</v>
      </c>
      <c r="AA26" s="2884">
        <f>ROUND(SUMPRODUCT(PRODUCT(1+P26:P$36)),4)</f>
        <v>1.2833000000000001</v>
      </c>
      <c r="AB26" s="2884">
        <f>ROUND(SUMPRODUCT(PRODUCT(1+Q26:Q$36)),4)</f>
        <v>1.1527000000000001</v>
      </c>
      <c r="AD26" s="2885">
        <f>ROUND(AVERAGE(I26:I$36)/100,4)</f>
        <v>2.0899999999999998E-2</v>
      </c>
      <c r="AE26" s="2885">
        <f>ROUND(AVERAGE(J26:J$36)/100,4)</f>
        <v>1.49E-2</v>
      </c>
      <c r="AF26" s="2885">
        <f t="shared" si="1"/>
        <v>1.49E-2</v>
      </c>
      <c r="AG26" s="2885">
        <f>ROUND(AVERAGE(K26:K$36)/100,4)</f>
        <v>2.3099999999999999E-2</v>
      </c>
      <c r="AH26" s="2885">
        <f>ROUND(AVERAGE(L26:L$36)/100,4)</f>
        <v>1.2999999999999999E-2</v>
      </c>
    </row>
    <row r="27" spans="1:34">
      <c r="A27" s="2887" t="s">
        <v>948</v>
      </c>
      <c r="B27" s="2888">
        <f t="shared" si="150"/>
        <v>360.06949782209392</v>
      </c>
      <c r="C27" s="2888">
        <f t="shared" si="150"/>
        <v>289.84672674747821</v>
      </c>
      <c r="D27" s="2888">
        <f t="shared" si="151"/>
        <v>289.84672674747821</v>
      </c>
      <c r="E27" s="2888">
        <f t="shared" si="152"/>
        <v>501.06543001181495</v>
      </c>
      <c r="F27" s="2888">
        <f t="shared" si="152"/>
        <v>256.82882500744967</v>
      </c>
      <c r="G27" s="4045"/>
      <c r="H27" s="2902">
        <v>2</v>
      </c>
      <c r="I27" s="2902">
        <v>3.85</v>
      </c>
      <c r="J27" s="2902">
        <v>1.95</v>
      </c>
      <c r="K27" s="2902">
        <v>4.4800000000000004</v>
      </c>
      <c r="L27" s="2903">
        <v>1.41</v>
      </c>
      <c r="N27" s="2890">
        <f t="shared" si="153"/>
        <v>3.85E-2</v>
      </c>
      <c r="O27" s="2885">
        <f t="shared" si="149"/>
        <v>1.95E-2</v>
      </c>
      <c r="P27" s="2885">
        <f t="shared" si="149"/>
        <v>4.4800000000000006E-2</v>
      </c>
      <c r="Q27" s="2885">
        <f t="shared" si="149"/>
        <v>1.41E-2</v>
      </c>
      <c r="R27" s="2891"/>
      <c r="S27" s="2890"/>
      <c r="T27" s="2885"/>
      <c r="U27" s="2885"/>
      <c r="V27" s="2885"/>
      <c r="X27" s="2884">
        <f>ROUND(SUMPRODUCT(PRODUCT(1+N27:N$36)),4)</f>
        <v>1.2050000000000001</v>
      </c>
      <c r="Y27" s="2884">
        <f>ROUND(SUMPRODUCT(PRODUCT(1+O27:O$36)),4)</f>
        <v>1.1532</v>
      </c>
      <c r="Z27" s="2884">
        <f t="shared" si="61"/>
        <v>1.1532</v>
      </c>
      <c r="AA27" s="2884">
        <f>ROUND(SUMPRODUCT(PRODUCT(1+P27:P$36)),4)</f>
        <v>1.2246999999999999</v>
      </c>
      <c r="AB27" s="2884">
        <f>ROUND(SUMPRODUCT(PRODUCT(1+Q27:Q$36)),4)</f>
        <v>1.1304000000000001</v>
      </c>
      <c r="AD27" s="2885">
        <f>ROUND(AVERAGE(I27:I$36)/100,4)</f>
        <v>1.89E-2</v>
      </c>
      <c r="AE27" s="2885">
        <f>ROUND(AVERAGE(J27:J$36)/100,4)</f>
        <v>1.44E-2</v>
      </c>
      <c r="AF27" s="2885">
        <f t="shared" si="1"/>
        <v>1.44E-2</v>
      </c>
      <c r="AG27" s="2885">
        <f>ROUND(AVERAGE(K27:K$36)/100,4)</f>
        <v>2.06E-2</v>
      </c>
      <c r="AH27" s="2885">
        <f>ROUND(AVERAGE(L27:L$36)/100,4)</f>
        <v>1.23E-2</v>
      </c>
    </row>
    <row r="28" spans="1:34" ht="13.5" thickBot="1">
      <c r="A28" s="2887" t="s">
        <v>957</v>
      </c>
      <c r="B28" s="2888">
        <f t="shared" si="150"/>
        <v>346.720748986128</v>
      </c>
      <c r="C28" s="2888">
        <f t="shared" si="150"/>
        <v>284.30282172386285</v>
      </c>
      <c r="D28" s="2888">
        <f t="shared" si="151"/>
        <v>284.30282172386285</v>
      </c>
      <c r="E28" s="2888">
        <f t="shared" si="152"/>
        <v>479.58023546306947</v>
      </c>
      <c r="F28" s="2888">
        <f t="shared" si="152"/>
        <v>253.25788877571213</v>
      </c>
      <c r="G28" s="4048"/>
      <c r="H28" s="2889">
        <v>1</v>
      </c>
      <c r="I28" s="2889">
        <v>4.09</v>
      </c>
      <c r="J28" s="2889">
        <v>2.93</v>
      </c>
      <c r="K28" s="2889">
        <v>4.54</v>
      </c>
      <c r="L28" s="2895">
        <v>1.48</v>
      </c>
      <c r="N28" s="2890">
        <f t="shared" si="153"/>
        <v>4.0899999999999999E-2</v>
      </c>
      <c r="O28" s="2885">
        <f t="shared" si="149"/>
        <v>2.9300000000000003E-2</v>
      </c>
      <c r="P28" s="2885">
        <f t="shared" si="149"/>
        <v>4.5400000000000003E-2</v>
      </c>
      <c r="Q28" s="2885">
        <f t="shared" si="149"/>
        <v>1.4800000000000001E-2</v>
      </c>
      <c r="R28" s="2891"/>
      <c r="S28" s="2892">
        <f>B28/B29-1</f>
        <v>4.1203450408792808E-2</v>
      </c>
      <c r="T28" s="2893">
        <f>C28/C29-1</f>
        <v>2.6363977342465095E-2</v>
      </c>
      <c r="U28" s="2893">
        <f>E28/E29-1</f>
        <v>4.4837114298626357E-2</v>
      </c>
      <c r="V28" s="2893">
        <f>F28/F29-1</f>
        <v>1.7099954922538574E-2</v>
      </c>
      <c r="X28" s="2884">
        <f>ROUND(SUMPRODUCT(PRODUCT(1+N28:N$36)),4)</f>
        <v>1.1604000000000001</v>
      </c>
      <c r="Y28" s="2884">
        <f>ROUND(SUMPRODUCT(PRODUCT(1+O28:O$36)),4)</f>
        <v>1.1312</v>
      </c>
      <c r="Z28" s="2884">
        <f t="shared" si="61"/>
        <v>1.1312</v>
      </c>
      <c r="AA28" s="2884">
        <f>ROUND(SUMPRODUCT(PRODUCT(1+P28:P$36)),4)</f>
        <v>1.1721999999999999</v>
      </c>
      <c r="AB28" s="2884">
        <f>ROUND(SUMPRODUCT(PRODUCT(1+Q28:Q$36)),4)</f>
        <v>1.1147</v>
      </c>
      <c r="AD28" s="2885">
        <f>ROUND(AVERAGE(I28:I$36)/100,4)</f>
        <v>1.67E-2</v>
      </c>
      <c r="AE28" s="2885">
        <f>ROUND(AVERAGE(J28:J$36)/100,4)</f>
        <v>1.38E-2</v>
      </c>
      <c r="AF28" s="2885">
        <f t="shared" si="1"/>
        <v>1.38E-2</v>
      </c>
      <c r="AG28" s="2885">
        <f>ROUND(AVERAGE(K28:K$36)/100,4)</f>
        <v>1.7899999999999999E-2</v>
      </c>
      <c r="AH28" s="2885">
        <f>ROUND(AVERAGE(L28:L$36)/100,4)</f>
        <v>1.21E-2</v>
      </c>
    </row>
    <row r="29" spans="1:34" ht="13.5" thickBot="1">
      <c r="A29" s="2887" t="s">
        <v>956</v>
      </c>
      <c r="B29" s="2909">
        <v>333</v>
      </c>
      <c r="C29" s="2909">
        <v>277</v>
      </c>
      <c r="D29" s="2909">
        <f t="shared" si="151"/>
        <v>277</v>
      </c>
      <c r="E29" s="2909">
        <v>459</v>
      </c>
      <c r="F29" s="2910">
        <v>249</v>
      </c>
      <c r="G29" s="4047">
        <v>2015</v>
      </c>
      <c r="H29" s="2911">
        <v>4</v>
      </c>
      <c r="I29" s="2911">
        <v>1.63</v>
      </c>
      <c r="J29" s="2911">
        <v>1.1100000000000001</v>
      </c>
      <c r="K29" s="2911">
        <v>1.77</v>
      </c>
      <c r="L29" s="2912">
        <v>1.89</v>
      </c>
      <c r="N29" s="2906">
        <f t="shared" si="153"/>
        <v>1.6299999999999999E-2</v>
      </c>
      <c r="O29" s="2907">
        <f t="shared" si="149"/>
        <v>1.11E-2</v>
      </c>
      <c r="P29" s="2907">
        <f t="shared" si="149"/>
        <v>1.77E-2</v>
      </c>
      <c r="Q29" s="2907">
        <f t="shared" si="149"/>
        <v>1.89E-2</v>
      </c>
      <c r="R29" s="2891"/>
      <c r="X29" s="2884">
        <f>ROUND(SUMPRODUCT(PRODUCT(1+N29:N$36)),4)</f>
        <v>1.1148</v>
      </c>
      <c r="Y29" s="2884">
        <f>ROUND(SUMPRODUCT(PRODUCT(1+O29:O$36)),4)</f>
        <v>1.099</v>
      </c>
      <c r="Z29" s="2884">
        <f t="shared" si="61"/>
        <v>1.099</v>
      </c>
      <c r="AA29" s="2884">
        <f>ROUND(SUMPRODUCT(PRODUCT(1+P29:P$36)),4)</f>
        <v>1.1213</v>
      </c>
      <c r="AB29" s="2884">
        <f>ROUND(SUMPRODUCT(PRODUCT(1+Q29:Q$36)),4)</f>
        <v>1.0984</v>
      </c>
      <c r="AD29" s="2885">
        <f>ROUND(AVERAGE(I29:I$36)/100,4)</f>
        <v>1.37E-2</v>
      </c>
      <c r="AE29" s="2885">
        <f>ROUND(AVERAGE(J29:J$36)/100,4)</f>
        <v>1.1900000000000001E-2</v>
      </c>
      <c r="AF29" s="2885">
        <f t="shared" si="1"/>
        <v>1.1900000000000001E-2</v>
      </c>
      <c r="AG29" s="2885">
        <f>ROUND(AVERAGE(K29:K$36)/100,4)</f>
        <v>1.4500000000000001E-2</v>
      </c>
      <c r="AH29" s="2885">
        <f>ROUND(AVERAGE(L29:L$36)/100,4)</f>
        <v>1.18E-2</v>
      </c>
    </row>
    <row r="30" spans="1:34">
      <c r="A30" s="2887" t="s">
        <v>955</v>
      </c>
      <c r="B30" s="2888">
        <f t="shared" ref="B30:C32" si="154">B29/(1+N29)</f>
        <v>327.65915576109415</v>
      </c>
      <c r="C30" s="2888">
        <f t="shared" si="154"/>
        <v>273.95905449510434</v>
      </c>
      <c r="D30" s="2888">
        <f t="shared" si="151"/>
        <v>273.95905449510434</v>
      </c>
      <c r="E30" s="2888">
        <f t="shared" ref="E30:F32" si="155">E29/(1+P29)</f>
        <v>451.01699911565294</v>
      </c>
      <c r="F30" s="2888">
        <f t="shared" si="155"/>
        <v>244.38119540681129</v>
      </c>
      <c r="G30" s="4045"/>
      <c r="H30" s="2914">
        <v>3</v>
      </c>
      <c r="I30" s="2914">
        <v>1.65</v>
      </c>
      <c r="J30" s="2914">
        <v>0.92</v>
      </c>
      <c r="K30" s="2914">
        <v>1.88</v>
      </c>
      <c r="L30" s="2915">
        <v>1.26</v>
      </c>
      <c r="N30" s="2890">
        <f t="shared" si="153"/>
        <v>1.6500000000000001E-2</v>
      </c>
      <c r="O30" s="2908">
        <f t="shared" si="149"/>
        <v>9.1999999999999998E-3</v>
      </c>
      <c r="P30" s="2908">
        <f t="shared" si="149"/>
        <v>1.8799999999999997E-2</v>
      </c>
      <c r="Q30" s="2908">
        <f t="shared" si="149"/>
        <v>1.26E-2</v>
      </c>
      <c r="R30" s="2891"/>
      <c r="S30" s="2890"/>
      <c r="T30" s="2885"/>
      <c r="U30" s="2885"/>
      <c r="V30" s="2885"/>
      <c r="X30" s="2884">
        <f>ROUND(SUMPRODUCT(PRODUCT(1+N30:N$36)),4)</f>
        <v>1.0969</v>
      </c>
      <c r="Y30" s="2884">
        <f>ROUND(SUMPRODUCT(PRODUCT(1+O30:O$36)),4)</f>
        <v>1.0869</v>
      </c>
      <c r="Z30" s="2884">
        <f t="shared" si="61"/>
        <v>1.0869</v>
      </c>
      <c r="AA30" s="2884">
        <f>ROUND(SUMPRODUCT(PRODUCT(1+P30:P$36)),4)</f>
        <v>1.1017999999999999</v>
      </c>
      <c r="AB30" s="2884">
        <f>ROUND(SUMPRODUCT(PRODUCT(1+Q30:Q$36)),4)</f>
        <v>1.0781000000000001</v>
      </c>
      <c r="AD30" s="2885">
        <f>ROUND(AVERAGE(I30:I$36)/100,4)</f>
        <v>1.3299999999999999E-2</v>
      </c>
      <c r="AE30" s="2885">
        <f>ROUND(AVERAGE(J30:J$36)/100,4)</f>
        <v>1.2E-2</v>
      </c>
      <c r="AF30" s="2885">
        <f t="shared" si="1"/>
        <v>1.2E-2</v>
      </c>
      <c r="AG30" s="2885">
        <f>ROUND(AVERAGE(K30:K$36)/100,4)</f>
        <v>1.4E-2</v>
      </c>
      <c r="AH30" s="2885">
        <f>ROUND(AVERAGE(L30:L$36)/100,4)</f>
        <v>1.0800000000000001E-2</v>
      </c>
    </row>
    <row r="31" spans="1:34">
      <c r="A31" s="2887" t="s">
        <v>954</v>
      </c>
      <c r="B31" s="2888">
        <f t="shared" si="154"/>
        <v>322.34053690220776</v>
      </c>
      <c r="C31" s="2888">
        <f t="shared" si="154"/>
        <v>271.46160770422546</v>
      </c>
      <c r="D31" s="2888">
        <f t="shared" si="151"/>
        <v>271.46160770422546</v>
      </c>
      <c r="E31" s="2888">
        <f t="shared" si="155"/>
        <v>442.69434542172456</v>
      </c>
      <c r="F31" s="2888">
        <f t="shared" si="155"/>
        <v>241.34030753190925</v>
      </c>
      <c r="G31" s="4045"/>
      <c r="H31" s="2902">
        <v>2</v>
      </c>
      <c r="I31" s="2902">
        <v>0.77</v>
      </c>
      <c r="J31" s="2902">
        <v>0.69</v>
      </c>
      <c r="K31" s="2902">
        <v>0.8</v>
      </c>
      <c r="L31" s="2903">
        <v>0.88</v>
      </c>
      <c r="N31" s="2890">
        <f t="shared" si="153"/>
        <v>7.7000000000000002E-3</v>
      </c>
      <c r="O31" s="2908">
        <f t="shared" si="149"/>
        <v>6.8999999999999999E-3</v>
      </c>
      <c r="P31" s="2908">
        <f t="shared" si="149"/>
        <v>8.0000000000000002E-3</v>
      </c>
      <c r="Q31" s="2908">
        <f t="shared" si="149"/>
        <v>8.8000000000000005E-3</v>
      </c>
      <c r="R31" s="2891"/>
      <c r="S31" s="2890"/>
      <c r="T31" s="2885"/>
      <c r="U31" s="2885"/>
      <c r="V31" s="2885"/>
      <c r="X31" s="2884">
        <f>ROUND(SUMPRODUCT(PRODUCT(1+N31:N$36)),4)</f>
        <v>1.0790999999999999</v>
      </c>
      <c r="Y31" s="2884">
        <f>ROUND(SUMPRODUCT(PRODUCT(1+O31:O$36)),4)</f>
        <v>1.077</v>
      </c>
      <c r="Z31" s="2884">
        <f t="shared" si="61"/>
        <v>1.077</v>
      </c>
      <c r="AA31" s="2884">
        <f>ROUND(SUMPRODUCT(PRODUCT(1+P31:P$36)),4)</f>
        <v>1.0813999999999999</v>
      </c>
      <c r="AB31" s="2884">
        <f>ROUND(SUMPRODUCT(PRODUCT(1+Q31:Q$36)),4)</f>
        <v>1.0647</v>
      </c>
      <c r="AD31" s="2885">
        <f>ROUND(AVERAGE(I31:I$36)/100,4)</f>
        <v>1.2800000000000001E-2</v>
      </c>
      <c r="AE31" s="2885">
        <f>ROUND(AVERAGE(J31:J$36)/100,4)</f>
        <v>1.2500000000000001E-2</v>
      </c>
      <c r="AF31" s="2885">
        <f t="shared" si="1"/>
        <v>1.2500000000000001E-2</v>
      </c>
      <c r="AG31" s="2885">
        <f>ROUND(AVERAGE(K31:K$36)/100,4)</f>
        <v>1.32E-2</v>
      </c>
      <c r="AH31" s="2885">
        <f>ROUND(AVERAGE(L31:L$36)/100,4)</f>
        <v>1.0500000000000001E-2</v>
      </c>
    </row>
    <row r="32" spans="1:34">
      <c r="A32" s="2887" t="s">
        <v>953</v>
      </c>
      <c r="B32" s="2888">
        <f t="shared" si="154"/>
        <v>319.87748030386797</v>
      </c>
      <c r="C32" s="2888">
        <f t="shared" si="154"/>
        <v>269.60135833173649</v>
      </c>
      <c r="D32" s="2888">
        <f t="shared" si="151"/>
        <v>269.60135833173649</v>
      </c>
      <c r="E32" s="2888">
        <f t="shared" si="155"/>
        <v>439.18089823583784</v>
      </c>
      <c r="F32" s="2888">
        <f t="shared" si="155"/>
        <v>239.23503918706311</v>
      </c>
      <c r="G32" s="4048"/>
      <c r="H32" s="2889">
        <v>1</v>
      </c>
      <c r="I32" s="2889">
        <v>0.51</v>
      </c>
      <c r="J32" s="2889">
        <v>0.54</v>
      </c>
      <c r="K32" s="2889">
        <v>0.48</v>
      </c>
      <c r="L32" s="2895">
        <v>0.93</v>
      </c>
      <c r="N32" s="2892">
        <f t="shared" si="153"/>
        <v>5.1000000000000004E-3</v>
      </c>
      <c r="O32" s="2893">
        <f t="shared" si="149"/>
        <v>5.4000000000000003E-3</v>
      </c>
      <c r="P32" s="2893">
        <f t="shared" si="149"/>
        <v>4.7999999999999996E-3</v>
      </c>
      <c r="Q32" s="2893">
        <f t="shared" si="149"/>
        <v>9.300000000000001E-3</v>
      </c>
      <c r="R32" s="2891"/>
      <c r="S32" s="2892">
        <f>B32/B33-1</f>
        <v>5.9040261127922822E-3</v>
      </c>
      <c r="T32" s="2893">
        <f>C32/C33-1</f>
        <v>5.9752176557332781E-3</v>
      </c>
      <c r="U32" s="2893">
        <f>E32/E33-1</f>
        <v>4.9906138119859556E-3</v>
      </c>
      <c r="V32" s="2893">
        <f>F32/F33-1</f>
        <v>9.4305450930933787E-3</v>
      </c>
      <c r="X32" s="2884">
        <f>ROUND(SUMPRODUCT(PRODUCT(1+N32:N$36)),4)</f>
        <v>1.0708</v>
      </c>
      <c r="Y32" s="2884">
        <f>ROUND(SUMPRODUCT(PRODUCT(1+O32:O$36)),4)</f>
        <v>1.0696000000000001</v>
      </c>
      <c r="Z32" s="2884">
        <f t="shared" si="61"/>
        <v>1.0696000000000001</v>
      </c>
      <c r="AA32" s="2884">
        <f>ROUND(SUMPRODUCT(PRODUCT(1+P32:P$36)),4)</f>
        <v>1.0728</v>
      </c>
      <c r="AB32" s="2884">
        <f>ROUND(SUMPRODUCT(PRODUCT(1+Q32:Q$36)),4)</f>
        <v>1.0553999999999999</v>
      </c>
      <c r="AD32" s="2885">
        <f>ROUND(AVERAGE(I32:I$36)/100,4)</f>
        <v>1.38E-2</v>
      </c>
      <c r="AE32" s="2885">
        <f>ROUND(AVERAGE(J32:J$36)/100,4)</f>
        <v>1.3599999999999999E-2</v>
      </c>
      <c r="AF32" s="2885">
        <f t="shared" si="1"/>
        <v>1.3599999999999999E-2</v>
      </c>
      <c r="AG32" s="2885">
        <f>ROUND(AVERAGE(K32:K$36)/100,4)</f>
        <v>1.4200000000000001E-2</v>
      </c>
      <c r="AH32" s="2885">
        <f>ROUND(AVERAGE(L32:L$36)/100,4)</f>
        <v>1.0800000000000001E-2</v>
      </c>
    </row>
    <row r="33" spans="1:34" ht="13.5" thickBot="1">
      <c r="A33" s="2887" t="s">
        <v>952</v>
      </c>
      <c r="B33" s="2916">
        <v>318</v>
      </c>
      <c r="C33" s="2916">
        <v>268</v>
      </c>
      <c r="D33" s="2916">
        <f t="shared" si="151"/>
        <v>268</v>
      </c>
      <c r="E33" s="2916">
        <v>437</v>
      </c>
      <c r="F33" s="2917">
        <v>237</v>
      </c>
      <c r="G33" s="4047">
        <v>2014</v>
      </c>
      <c r="H33" s="2911">
        <v>4</v>
      </c>
      <c r="I33" s="2911">
        <v>0.21</v>
      </c>
      <c r="J33" s="2911">
        <v>0.41</v>
      </c>
      <c r="K33" s="2911">
        <v>0.12</v>
      </c>
      <c r="L33" s="2912">
        <v>0.89</v>
      </c>
      <c r="N33" s="2890">
        <f t="shared" si="153"/>
        <v>2.0999999999999999E-3</v>
      </c>
      <c r="O33" s="2885">
        <f t="shared" si="149"/>
        <v>4.0999999999999995E-3</v>
      </c>
      <c r="P33" s="2885">
        <f t="shared" si="149"/>
        <v>1.1999999999999999E-3</v>
      </c>
      <c r="Q33" s="2885">
        <f t="shared" si="149"/>
        <v>8.8999999999999999E-3</v>
      </c>
      <c r="R33" s="2891"/>
      <c r="S33" s="2900"/>
      <c r="T33" s="2901"/>
      <c r="U33" s="2901"/>
      <c r="V33" s="2901"/>
      <c r="X33" s="2884">
        <f>ROUND(SUMPRODUCT(PRODUCT(1+N33:N$36)),4)</f>
        <v>1.0653999999999999</v>
      </c>
      <c r="Y33" s="2884">
        <f>ROUND(SUMPRODUCT(PRODUCT(1+O33:O$36)),4)</f>
        <v>1.0639000000000001</v>
      </c>
      <c r="Z33" s="2884">
        <f t="shared" si="61"/>
        <v>1.0639000000000001</v>
      </c>
      <c r="AA33" s="2884">
        <f>ROUND(SUMPRODUCT(PRODUCT(1+P33:P$36)),4)</f>
        <v>1.0677000000000001</v>
      </c>
      <c r="AB33" s="2884">
        <f>ROUND(SUMPRODUCT(PRODUCT(1+Q33:Q$36)),4)</f>
        <v>1.0456000000000001</v>
      </c>
      <c r="AD33" s="2885">
        <f>ROUND(AVERAGE(I33:I$36)/100,4)</f>
        <v>1.6E-2</v>
      </c>
      <c r="AE33" s="2885">
        <f>ROUND(AVERAGE(J33:J$36)/100,4)</f>
        <v>1.5599999999999999E-2</v>
      </c>
      <c r="AF33" s="2885">
        <f t="shared" si="1"/>
        <v>1.5599999999999999E-2</v>
      </c>
      <c r="AG33" s="2885">
        <f>ROUND(AVERAGE(K33:K$36)/100,4)</f>
        <v>1.66E-2</v>
      </c>
      <c r="AH33" s="2885">
        <f>ROUND(AVERAGE(L33:L$36)/100,4)</f>
        <v>1.12E-2</v>
      </c>
    </row>
    <row r="34" spans="1:34">
      <c r="A34" s="2887" t="s">
        <v>951</v>
      </c>
      <c r="B34" s="2888">
        <f t="shared" ref="B34:C36" si="156">B33/(1+N33)</f>
        <v>317.33359944117353</v>
      </c>
      <c r="C34" s="2888">
        <f t="shared" si="156"/>
        <v>266.90568668459315</v>
      </c>
      <c r="D34" s="2888">
        <f t="shared" si="151"/>
        <v>266.90568668459315</v>
      </c>
      <c r="E34" s="2888">
        <f t="shared" ref="E34:F36" si="157">E33/(1+P33)</f>
        <v>436.47622852576905</v>
      </c>
      <c r="F34" s="2888">
        <f t="shared" si="157"/>
        <v>234.90930716622066</v>
      </c>
      <c r="G34" s="4045"/>
      <c r="H34" s="2918">
        <v>3</v>
      </c>
      <c r="I34" s="2918">
        <v>0.83</v>
      </c>
      <c r="J34" s="2918">
        <v>1.47</v>
      </c>
      <c r="K34" s="2918">
        <v>0.65</v>
      </c>
      <c r="L34" s="2919">
        <v>0.72</v>
      </c>
      <c r="N34" s="2890">
        <f t="shared" si="153"/>
        <v>8.3000000000000001E-3</v>
      </c>
      <c r="O34" s="2885">
        <f t="shared" si="149"/>
        <v>1.47E-2</v>
      </c>
      <c r="P34" s="2885">
        <f t="shared" si="149"/>
        <v>6.5000000000000006E-3</v>
      </c>
      <c r="Q34" s="2885">
        <f t="shared" si="149"/>
        <v>7.1999999999999998E-3</v>
      </c>
      <c r="R34" s="2891"/>
      <c r="S34" s="2890"/>
      <c r="T34" s="2885"/>
      <c r="U34" s="2885"/>
      <c r="V34" s="2885"/>
      <c r="X34" s="2884">
        <f>ROUND(SUMPRODUCT(PRODUCT(1+N34:N$36)),4)</f>
        <v>1.0631999999999999</v>
      </c>
      <c r="Y34" s="2884">
        <f>ROUND(SUMPRODUCT(PRODUCT(1+O34:O$36)),4)</f>
        <v>1.0595000000000001</v>
      </c>
      <c r="Z34" s="2884">
        <f t="shared" si="61"/>
        <v>1.0595000000000001</v>
      </c>
      <c r="AA34" s="2884">
        <f>ROUND(SUMPRODUCT(PRODUCT(1+P34:P$36)),4)</f>
        <v>1.0664</v>
      </c>
      <c r="AB34" s="2884">
        <f>ROUND(SUMPRODUCT(PRODUCT(1+Q34:Q$36)),4)</f>
        <v>1.0364</v>
      </c>
      <c r="AD34" s="2885">
        <f>ROUND(AVERAGE(I34:I$36)/100,4)</f>
        <v>2.07E-2</v>
      </c>
      <c r="AE34" s="2885">
        <f>ROUND(AVERAGE(J34:J$36)/100,4)</f>
        <v>1.95E-2</v>
      </c>
      <c r="AF34" s="2885">
        <f t="shared" si="1"/>
        <v>1.95E-2</v>
      </c>
      <c r="AG34" s="2885">
        <f>ROUND(AVERAGE(K34:K$36)/100,4)</f>
        <v>2.1700000000000001E-2</v>
      </c>
      <c r="AH34" s="2885">
        <f>ROUND(AVERAGE(L34:L$36)/100,4)</f>
        <v>1.2E-2</v>
      </c>
    </row>
    <row r="35" spans="1:34" ht="13.5" thickBot="1">
      <c r="A35" s="2887" t="s">
        <v>950</v>
      </c>
      <c r="B35" s="2888">
        <f t="shared" si="156"/>
        <v>314.72141172386546</v>
      </c>
      <c r="C35" s="2888">
        <f t="shared" si="156"/>
        <v>263.03901319069001</v>
      </c>
      <c r="D35" s="2888">
        <f t="shared" si="151"/>
        <v>263.03901319069001</v>
      </c>
      <c r="E35" s="2888">
        <f t="shared" si="157"/>
        <v>433.65745506782821</v>
      </c>
      <c r="F35" s="2888">
        <f t="shared" si="157"/>
        <v>233.23005080045735</v>
      </c>
      <c r="G35" s="4045"/>
      <c r="H35" s="2911">
        <v>2</v>
      </c>
      <c r="I35" s="2911">
        <v>2.4</v>
      </c>
      <c r="J35" s="2911">
        <v>2.0299999999999998</v>
      </c>
      <c r="K35" s="2911">
        <v>2.59</v>
      </c>
      <c r="L35" s="2912">
        <v>1.52</v>
      </c>
      <c r="N35" s="2890">
        <f t="shared" si="153"/>
        <v>2.4E-2</v>
      </c>
      <c r="O35" s="2885">
        <f t="shared" si="149"/>
        <v>2.0299999999999999E-2</v>
      </c>
      <c r="P35" s="2885">
        <f t="shared" si="149"/>
        <v>2.5899999999999999E-2</v>
      </c>
      <c r="Q35" s="2885">
        <f t="shared" si="149"/>
        <v>1.52E-2</v>
      </c>
      <c r="R35" s="2891"/>
      <c r="S35" s="2890"/>
      <c r="T35" s="2885"/>
      <c r="U35" s="2885"/>
      <c r="V35" s="2885"/>
      <c r="X35" s="2884">
        <f>ROUND(SUMPRODUCT(PRODUCT(1+N35:N$36)),4)</f>
        <v>1.0544</v>
      </c>
      <c r="Y35" s="2884">
        <f>ROUND(SUMPRODUCT(PRODUCT(1+O35:O$36)),4)</f>
        <v>1.0442</v>
      </c>
      <c r="Z35" s="2884">
        <f t="shared" si="61"/>
        <v>1.0442</v>
      </c>
      <c r="AA35" s="2884">
        <f>ROUND(SUMPRODUCT(PRODUCT(1+P35:P$36)),4)</f>
        <v>1.0595000000000001</v>
      </c>
      <c r="AB35" s="2884">
        <f>ROUND(SUMPRODUCT(PRODUCT(1+Q35:Q$36)),4)</f>
        <v>1.0289999999999999</v>
      </c>
      <c r="AD35" s="2885">
        <f>ROUND(AVERAGE(I35:I$36)/100,4)</f>
        <v>2.69E-2</v>
      </c>
      <c r="AE35" s="2885">
        <f>ROUND(AVERAGE(J35:J$36)/100,4)</f>
        <v>2.1899999999999999E-2</v>
      </c>
      <c r="AF35" s="2885">
        <f t="shared" ref="AF35" si="158">AE35</f>
        <v>2.1899999999999999E-2</v>
      </c>
      <c r="AG35" s="2885">
        <f>ROUND(AVERAGE(K35:K$36)/100,4)</f>
        <v>2.9399999999999999E-2</v>
      </c>
      <c r="AH35" s="2885">
        <f>ROUND(AVERAGE(L35:L$36)/100,4)</f>
        <v>1.44E-2</v>
      </c>
    </row>
    <row r="36" spans="1:34" s="2924" customFormat="1" ht="13.5" thickBot="1">
      <c r="A36" s="2920" t="s">
        <v>949</v>
      </c>
      <c r="B36" s="2921">
        <f t="shared" si="156"/>
        <v>307.34512863658733</v>
      </c>
      <c r="C36" s="2921">
        <f t="shared" si="156"/>
        <v>257.80556031626975</v>
      </c>
      <c r="D36" s="2921">
        <f t="shared" si="151"/>
        <v>257.80556031626975</v>
      </c>
      <c r="E36" s="2921">
        <f t="shared" si="157"/>
        <v>422.70928459677179</v>
      </c>
      <c r="F36" s="2921">
        <f t="shared" si="157"/>
        <v>229.73803270336617</v>
      </c>
      <c r="G36" s="4048"/>
      <c r="H36" s="2922">
        <v>1</v>
      </c>
      <c r="I36" s="2922">
        <v>2.97</v>
      </c>
      <c r="J36" s="2922">
        <v>2.34</v>
      </c>
      <c r="K36" s="2922">
        <v>3.28</v>
      </c>
      <c r="L36" s="2923">
        <v>1.36</v>
      </c>
      <c r="N36" s="2925">
        <f t="shared" si="153"/>
        <v>2.9700000000000001E-2</v>
      </c>
      <c r="O36" s="2926">
        <f t="shared" si="149"/>
        <v>2.3399999999999997E-2</v>
      </c>
      <c r="P36" s="2926">
        <f t="shared" si="149"/>
        <v>3.2799999999999996E-2</v>
      </c>
      <c r="Q36" s="2926">
        <f t="shared" si="149"/>
        <v>1.3600000000000001E-2</v>
      </c>
      <c r="R36" s="2927"/>
      <c r="S36" s="2928">
        <f>B36/B37-1</f>
        <v>2.7910129219355539E-2</v>
      </c>
      <c r="T36" s="2929">
        <f>C36/C37-1</f>
        <v>2.3037937762975247E-2</v>
      </c>
      <c r="U36" s="2929">
        <f>E36/E37-1</f>
        <v>3.3519033243940788E-2</v>
      </c>
      <c r="V36" s="2929">
        <f>F36/F37-1</f>
        <v>1.2061818076502862E-2</v>
      </c>
      <c r="W36" s="2930" t="s">
        <v>2618</v>
      </c>
      <c r="X36" s="2931">
        <v>1</v>
      </c>
      <c r="Y36" s="2931">
        <v>1</v>
      </c>
      <c r="Z36" s="2931">
        <v>1</v>
      </c>
      <c r="AA36" s="2931">
        <v>1</v>
      </c>
      <c r="AB36" s="2931">
        <v>1</v>
      </c>
      <c r="AD36" s="2926">
        <f>I36/100</f>
        <v>2.9700000000000001E-2</v>
      </c>
      <c r="AE36" s="2926">
        <f>J36/100</f>
        <v>2.3399999999999997E-2</v>
      </c>
      <c r="AF36" s="2926">
        <f>AE36</f>
        <v>2.3399999999999997E-2</v>
      </c>
      <c r="AG36" s="2926">
        <f>K36/100</f>
        <v>3.2799999999999996E-2</v>
      </c>
      <c r="AH36" s="2926">
        <f>L36/100</f>
        <v>1.3600000000000001E-2</v>
      </c>
    </row>
    <row r="37" spans="1:34" ht="13.5" thickBot="1">
      <c r="A37" s="2887" t="s">
        <v>2561</v>
      </c>
      <c r="B37" s="2909">
        <v>299</v>
      </c>
      <c r="C37" s="2909">
        <v>252</v>
      </c>
      <c r="D37" s="2909">
        <f t="shared" si="151"/>
        <v>252</v>
      </c>
      <c r="E37" s="2909">
        <v>409</v>
      </c>
      <c r="F37" s="2910">
        <v>227</v>
      </c>
      <c r="G37" s="4052">
        <v>2013</v>
      </c>
      <c r="H37" s="2932">
        <v>4</v>
      </c>
      <c r="I37" s="2932">
        <v>1.83</v>
      </c>
      <c r="J37" s="2932">
        <v>1.68</v>
      </c>
      <c r="K37" s="2932">
        <v>1.97</v>
      </c>
      <c r="L37" s="2933">
        <v>0.87</v>
      </c>
      <c r="N37" s="2906">
        <f t="shared" si="153"/>
        <v>1.83E-2</v>
      </c>
      <c r="O37" s="2907">
        <f t="shared" si="149"/>
        <v>1.6799999999999999E-2</v>
      </c>
      <c r="P37" s="2907">
        <f t="shared" si="149"/>
        <v>1.9699999999999999E-2</v>
      </c>
      <c r="Q37" s="2907">
        <f t="shared" si="149"/>
        <v>8.6999999999999994E-3</v>
      </c>
      <c r="R37" s="2891"/>
      <c r="S37" s="2900"/>
      <c r="T37" s="2901"/>
      <c r="U37" s="2901"/>
      <c r="V37" s="2901"/>
      <c r="X37" s="2901"/>
      <c r="Y37" s="2901"/>
      <c r="Z37" s="2901"/>
    </row>
    <row r="38" spans="1:34">
      <c r="A38" s="2887" t="s">
        <v>2562</v>
      </c>
      <c r="B38" s="2888">
        <f t="shared" ref="B38:C40" si="159">B37/(1+N37)</f>
        <v>293.62663262299913</v>
      </c>
      <c r="C38" s="2888">
        <f t="shared" si="159"/>
        <v>247.83634933123525</v>
      </c>
      <c r="D38" s="2888">
        <f t="shared" si="151"/>
        <v>247.83634933123525</v>
      </c>
      <c r="E38" s="2888">
        <f t="shared" ref="E38:F40" si="160">E37/(1+P37)</f>
        <v>401.09836226341076</v>
      </c>
      <c r="F38" s="2888">
        <f t="shared" si="160"/>
        <v>225.04213343908003</v>
      </c>
      <c r="G38" s="4053"/>
      <c r="H38" s="2914">
        <v>3</v>
      </c>
      <c r="I38" s="2914">
        <v>1.86</v>
      </c>
      <c r="J38" s="2914">
        <v>1.72</v>
      </c>
      <c r="K38" s="2914">
        <v>1.98</v>
      </c>
      <c r="L38" s="2915">
        <v>0.88</v>
      </c>
      <c r="N38" s="2890">
        <f t="shared" si="153"/>
        <v>1.8600000000000002E-2</v>
      </c>
      <c r="O38" s="2908">
        <f t="shared" si="149"/>
        <v>1.72E-2</v>
      </c>
      <c r="P38" s="2908">
        <f t="shared" si="149"/>
        <v>1.9799999999999998E-2</v>
      </c>
      <c r="Q38" s="2908">
        <f t="shared" si="149"/>
        <v>8.8000000000000005E-3</v>
      </c>
      <c r="R38" s="2891"/>
      <c r="S38" s="2890"/>
      <c r="T38" s="2885"/>
      <c r="U38" s="2885"/>
      <c r="V38" s="2885"/>
    </row>
    <row r="39" spans="1:34">
      <c r="A39" s="2887" t="s">
        <v>2563</v>
      </c>
      <c r="B39" s="2888">
        <f t="shared" si="159"/>
        <v>288.2649053828776</v>
      </c>
      <c r="C39" s="2888">
        <f t="shared" si="159"/>
        <v>243.64564425013293</v>
      </c>
      <c r="D39" s="2888">
        <f t="shared" si="151"/>
        <v>243.64564425013293</v>
      </c>
      <c r="E39" s="2888">
        <f t="shared" si="160"/>
        <v>393.31080825986544</v>
      </c>
      <c r="F39" s="2888">
        <f t="shared" si="160"/>
        <v>223.07903790551154</v>
      </c>
      <c r="G39" s="4053"/>
      <c r="H39" s="2902">
        <v>2</v>
      </c>
      <c r="I39" s="2902">
        <v>2.04</v>
      </c>
      <c r="J39" s="2902">
        <v>2.33</v>
      </c>
      <c r="K39" s="2902">
        <v>2.0699999999999998</v>
      </c>
      <c r="L39" s="2903">
        <v>0.69</v>
      </c>
      <c r="N39" s="2890">
        <f t="shared" si="153"/>
        <v>2.0400000000000001E-2</v>
      </c>
      <c r="O39" s="2908">
        <f t="shared" si="149"/>
        <v>2.3300000000000001E-2</v>
      </c>
      <c r="P39" s="2908">
        <f t="shared" si="149"/>
        <v>2.07E-2</v>
      </c>
      <c r="Q39" s="2908">
        <f t="shared" si="149"/>
        <v>6.8999999999999999E-3</v>
      </c>
      <c r="R39" s="2891"/>
      <c r="S39" s="2890"/>
      <c r="T39" s="2885"/>
      <c r="U39" s="2885"/>
      <c r="V39" s="2885"/>
      <c r="X39" s="2934"/>
      <c r="Y39" s="2935"/>
    </row>
    <row r="40" spans="1:34">
      <c r="A40" s="2887" t="s">
        <v>2564</v>
      </c>
      <c r="B40" s="2888">
        <f t="shared" si="159"/>
        <v>282.50186729015837</v>
      </c>
      <c r="C40" s="2888">
        <f t="shared" si="159"/>
        <v>238.09796174155468</v>
      </c>
      <c r="D40" s="2888">
        <f t="shared" si="151"/>
        <v>238.09796174155468</v>
      </c>
      <c r="E40" s="2888">
        <f t="shared" si="160"/>
        <v>385.33438646014054</v>
      </c>
      <c r="F40" s="2888">
        <f t="shared" si="160"/>
        <v>221.55034055567739</v>
      </c>
      <c r="G40" s="4054"/>
      <c r="H40" s="2889">
        <v>1</v>
      </c>
      <c r="I40" s="2889">
        <v>1.67</v>
      </c>
      <c r="J40" s="2889">
        <v>1.31</v>
      </c>
      <c r="K40" s="2889">
        <v>1.85</v>
      </c>
      <c r="L40" s="2895">
        <v>0.96</v>
      </c>
      <c r="N40" s="2892">
        <f t="shared" si="153"/>
        <v>1.67E-2</v>
      </c>
      <c r="O40" s="2893">
        <f t="shared" si="149"/>
        <v>1.3100000000000001E-2</v>
      </c>
      <c r="P40" s="2893">
        <f t="shared" si="149"/>
        <v>1.8500000000000003E-2</v>
      </c>
      <c r="Q40" s="2893">
        <f t="shared" si="149"/>
        <v>9.5999999999999992E-3</v>
      </c>
      <c r="R40" s="2891"/>
      <c r="S40" s="2892">
        <f>B40/B41-1</f>
        <v>1.6193767230785472E-2</v>
      </c>
      <c r="T40" s="2893">
        <f>C40/C41-1</f>
        <v>1.7512657015190891E-2</v>
      </c>
      <c r="U40" s="2893">
        <f>E40/E41-1</f>
        <v>1.6713420739157048E-2</v>
      </c>
      <c r="V40" s="2893">
        <f>F40/F41-1</f>
        <v>7.0470025258062563E-3</v>
      </c>
      <c r="X40" s="2936"/>
      <c r="Y40" s="2885"/>
      <c r="Z40" s="2885"/>
    </row>
    <row r="41" spans="1:34" ht="13.5" thickBot="1">
      <c r="A41" s="2887" t="s">
        <v>2565</v>
      </c>
      <c r="B41" s="2937">
        <v>278</v>
      </c>
      <c r="C41" s="2937">
        <v>234</v>
      </c>
      <c r="D41" s="2937">
        <f t="shared" si="151"/>
        <v>234</v>
      </c>
      <c r="E41" s="2937">
        <v>379</v>
      </c>
      <c r="F41" s="2938">
        <v>220</v>
      </c>
      <c r="G41" s="4047">
        <v>2012</v>
      </c>
      <c r="H41" s="2911">
        <v>4</v>
      </c>
      <c r="I41" s="2911">
        <v>0.91</v>
      </c>
      <c r="J41" s="2911">
        <v>0.68</v>
      </c>
      <c r="K41" s="2911">
        <v>0.98</v>
      </c>
      <c r="L41" s="2912">
        <v>0.9</v>
      </c>
      <c r="N41" s="2890">
        <f t="shared" si="153"/>
        <v>9.1000000000000004E-3</v>
      </c>
      <c r="O41" s="2885">
        <f t="shared" si="153"/>
        <v>6.8000000000000005E-3</v>
      </c>
      <c r="P41" s="2885">
        <f t="shared" si="153"/>
        <v>9.7999999999999997E-3</v>
      </c>
      <c r="Q41" s="2885">
        <f t="shared" si="153"/>
        <v>9.0000000000000011E-3</v>
      </c>
      <c r="R41" s="2891"/>
      <c r="S41" s="2900"/>
      <c r="T41" s="2901"/>
      <c r="U41" s="2901"/>
      <c r="V41" s="2901"/>
      <c r="X41" s="2901"/>
      <c r="Y41" s="2901"/>
      <c r="Z41" s="2901"/>
    </row>
    <row r="42" spans="1:34">
      <c r="A42" s="2887" t="s">
        <v>2566</v>
      </c>
      <c r="B42" s="2888">
        <f>B41/(1+N41)</f>
        <v>275.49301357645425</v>
      </c>
      <c r="C42" s="2888">
        <f>C41/(1+O41)</f>
        <v>232.41954707985698</v>
      </c>
      <c r="D42" s="2888">
        <f t="shared" si="151"/>
        <v>232.41954707985698</v>
      </c>
      <c r="E42" s="2888">
        <f t="shared" ref="E42:F44" si="161">E41/(1+P41)</f>
        <v>375.32184591008121</v>
      </c>
      <c r="F42" s="2888">
        <f t="shared" si="161"/>
        <v>218.03766105054513</v>
      </c>
      <c r="G42" s="4045"/>
      <c r="H42" s="2914">
        <v>3</v>
      </c>
      <c r="I42" s="2914">
        <v>0.09</v>
      </c>
      <c r="J42" s="2914">
        <v>0.28999999999999998</v>
      </c>
      <c r="K42" s="2914">
        <v>-0.01</v>
      </c>
      <c r="L42" s="2915">
        <v>0.57999999999999996</v>
      </c>
      <c r="N42" s="2890">
        <f t="shared" si="153"/>
        <v>8.9999999999999998E-4</v>
      </c>
      <c r="O42" s="2885">
        <f t="shared" si="153"/>
        <v>2.8999999999999998E-3</v>
      </c>
      <c r="P42" s="2885">
        <f t="shared" si="153"/>
        <v>-1E-4</v>
      </c>
      <c r="Q42" s="2885">
        <f t="shared" si="153"/>
        <v>5.7999999999999996E-3</v>
      </c>
      <c r="R42" s="2891"/>
      <c r="S42" s="2890"/>
      <c r="T42" s="2885"/>
      <c r="U42" s="2885"/>
      <c r="V42" s="2885"/>
    </row>
    <row r="43" spans="1:34">
      <c r="A43" s="2887" t="s">
        <v>2567</v>
      </c>
      <c r="B43" s="2888">
        <f>B42/(1+N42)</f>
        <v>275.24529281292263</v>
      </c>
      <c r="C43" s="2888">
        <f>C42/(1+O42)</f>
        <v>231.74747938962707</v>
      </c>
      <c r="D43" s="2888">
        <f t="shared" si="151"/>
        <v>231.74747938962707</v>
      </c>
      <c r="E43" s="2888">
        <f t="shared" si="161"/>
        <v>375.35938184826603</v>
      </c>
      <c r="F43" s="2888">
        <f t="shared" si="161"/>
        <v>216.78033510692495</v>
      </c>
      <c r="G43" s="4045"/>
      <c r="H43" s="2902">
        <v>2</v>
      </c>
      <c r="I43" s="2902">
        <v>0.02</v>
      </c>
      <c r="J43" s="2902">
        <v>0.12</v>
      </c>
      <c r="K43" s="2902">
        <v>-0.08</v>
      </c>
      <c r="L43" s="2903">
        <v>1.24</v>
      </c>
      <c r="N43" s="2890">
        <f t="shared" si="153"/>
        <v>2.0000000000000001E-4</v>
      </c>
      <c r="O43" s="2885">
        <f t="shared" si="153"/>
        <v>1.1999999999999999E-3</v>
      </c>
      <c r="P43" s="2885">
        <f t="shared" si="153"/>
        <v>-8.0000000000000004E-4</v>
      </c>
      <c r="Q43" s="2885">
        <f t="shared" si="153"/>
        <v>1.24E-2</v>
      </c>
      <c r="R43" s="2891"/>
      <c r="S43" s="2890"/>
      <c r="T43" s="2885"/>
      <c r="U43" s="2885"/>
      <c r="V43" s="2885"/>
    </row>
    <row r="44" spans="1:34" ht="13.5" thickBot="1">
      <c r="A44" s="2887" t="s">
        <v>2568</v>
      </c>
      <c r="B44" s="2888">
        <f>B43/(1+N43)</f>
        <v>275.19025476197027</v>
      </c>
      <c r="C44" s="2939">
        <v>232</v>
      </c>
      <c r="D44" s="2939">
        <f t="shared" si="151"/>
        <v>232</v>
      </c>
      <c r="E44" s="2888">
        <f t="shared" si="161"/>
        <v>375.65990977608692</v>
      </c>
      <c r="F44" s="2888">
        <f t="shared" si="161"/>
        <v>214.12518283971252</v>
      </c>
      <c r="G44" s="4048"/>
      <c r="H44" s="2889">
        <v>1</v>
      </c>
      <c r="I44" s="2889">
        <v>0.02</v>
      </c>
      <c r="J44" s="2889">
        <v>0.13</v>
      </c>
      <c r="K44" s="2889">
        <v>-0.04</v>
      </c>
      <c r="L44" s="2895">
        <v>0.46</v>
      </c>
      <c r="N44" s="2890">
        <f t="shared" si="153"/>
        <v>2.0000000000000001E-4</v>
      </c>
      <c r="O44" s="2885">
        <f t="shared" si="153"/>
        <v>1.2999999999999999E-3</v>
      </c>
      <c r="P44" s="2885">
        <f t="shared" si="153"/>
        <v>-4.0000000000000002E-4</v>
      </c>
      <c r="Q44" s="2885">
        <f t="shared" si="153"/>
        <v>4.5999999999999999E-3</v>
      </c>
      <c r="R44" s="2891"/>
      <c r="S44" s="2892">
        <f>B44/B45-1</f>
        <v>6.9183549807361189E-4</v>
      </c>
      <c r="T44" s="2893">
        <f>C44/C45-1</f>
        <v>0</v>
      </c>
      <c r="U44" s="2893">
        <f>E44/E45-1</f>
        <v>-9.0449527636460303E-4</v>
      </c>
      <c r="V44" s="2893">
        <f>F44/F45-1</f>
        <v>5.2825485432512753E-3</v>
      </c>
      <c r="X44" s="2885"/>
      <c r="Y44" s="2885"/>
      <c r="Z44" s="2885"/>
    </row>
    <row r="45" spans="1:34" ht="13.5" thickBot="1">
      <c r="A45" s="2887" t="s">
        <v>2569</v>
      </c>
      <c r="B45" s="2909">
        <v>275</v>
      </c>
      <c r="C45" s="2909">
        <v>232</v>
      </c>
      <c r="D45" s="2909">
        <f t="shared" si="151"/>
        <v>232</v>
      </c>
      <c r="E45" s="2909">
        <v>376</v>
      </c>
      <c r="F45" s="2910">
        <v>213</v>
      </c>
      <c r="G45" s="4047">
        <v>2011</v>
      </c>
      <c r="H45" s="2911">
        <v>4</v>
      </c>
      <c r="I45" s="2911">
        <v>-0.2</v>
      </c>
      <c r="J45" s="2911">
        <v>0.04</v>
      </c>
      <c r="K45" s="2911">
        <v>-0.34</v>
      </c>
      <c r="L45" s="2912">
        <v>0.46</v>
      </c>
      <c r="N45" s="2906">
        <f t="shared" si="153"/>
        <v>-2E-3</v>
      </c>
      <c r="O45" s="2907">
        <f t="shared" si="153"/>
        <v>4.0000000000000002E-4</v>
      </c>
      <c r="P45" s="2907">
        <f t="shared" si="153"/>
        <v>-3.4000000000000002E-3</v>
      </c>
      <c r="Q45" s="2907">
        <f t="shared" si="153"/>
        <v>4.5999999999999999E-3</v>
      </c>
      <c r="R45" s="2891"/>
      <c r="S45" s="2900"/>
      <c r="T45" s="2901"/>
      <c r="U45" s="2901"/>
      <c r="V45" s="2901"/>
      <c r="X45" s="2901"/>
      <c r="Y45" s="2901"/>
      <c r="Z45" s="2901"/>
    </row>
    <row r="46" spans="1:34">
      <c r="A46" s="2887" t="s">
        <v>2570</v>
      </c>
      <c r="B46" s="2888">
        <f t="shared" ref="B46:C48" si="162">B45/(1+N45)</f>
        <v>275.55110220440883</v>
      </c>
      <c r="C46" s="2888">
        <f t="shared" si="162"/>
        <v>231.90723710515795</v>
      </c>
      <c r="D46" s="2888">
        <f t="shared" si="151"/>
        <v>231.90723710515795</v>
      </c>
      <c r="E46" s="2888">
        <f t="shared" ref="E46:F48" si="163">E45/(1+P45)</f>
        <v>377.28276138872161</v>
      </c>
      <c r="F46" s="2888">
        <f t="shared" si="163"/>
        <v>212.02468644236512</v>
      </c>
      <c r="G46" s="4045">
        <v>2011</v>
      </c>
      <c r="H46" s="2914">
        <v>3</v>
      </c>
      <c r="I46" s="2914">
        <v>0.13</v>
      </c>
      <c r="J46" s="2914">
        <v>0.75</v>
      </c>
      <c r="K46" s="2914">
        <v>-0.08</v>
      </c>
      <c r="L46" s="2915">
        <v>0.53</v>
      </c>
      <c r="N46" s="2890">
        <f t="shared" si="153"/>
        <v>1.2999999999999999E-3</v>
      </c>
      <c r="O46" s="2908">
        <f t="shared" si="153"/>
        <v>7.4999999999999997E-3</v>
      </c>
      <c r="P46" s="2908">
        <f t="shared" si="153"/>
        <v>-8.0000000000000004E-4</v>
      </c>
      <c r="Q46" s="2908">
        <f t="shared" si="153"/>
        <v>5.3E-3</v>
      </c>
      <c r="R46" s="2891"/>
      <c r="S46" s="2890"/>
      <c r="T46" s="2885"/>
      <c r="U46" s="2885"/>
      <c r="V46" s="2885"/>
    </row>
    <row r="47" spans="1:34">
      <c r="A47" s="2887" t="s">
        <v>2571</v>
      </c>
      <c r="B47" s="2888">
        <f t="shared" si="162"/>
        <v>275.19335084830601</v>
      </c>
      <c r="C47" s="2888">
        <f t="shared" si="162"/>
        <v>230.18088050139744</v>
      </c>
      <c r="D47" s="2888">
        <f t="shared" si="151"/>
        <v>230.18088050139744</v>
      </c>
      <c r="E47" s="2888">
        <f t="shared" si="163"/>
        <v>377.58482925212331</v>
      </c>
      <c r="F47" s="2888">
        <f t="shared" si="163"/>
        <v>210.90687997847917</v>
      </c>
      <c r="G47" s="4045">
        <v>2011</v>
      </c>
      <c r="H47" s="2902">
        <v>2</v>
      </c>
      <c r="I47" s="2902">
        <v>-0.4</v>
      </c>
      <c r="J47" s="2902">
        <v>0.17</v>
      </c>
      <c r="K47" s="2902">
        <v>-0.57999999999999996</v>
      </c>
      <c r="L47" s="2903">
        <v>-0.2</v>
      </c>
      <c r="N47" s="2890">
        <f t="shared" si="153"/>
        <v>-4.0000000000000001E-3</v>
      </c>
      <c r="O47" s="2908">
        <f t="shared" si="153"/>
        <v>1.7000000000000001E-3</v>
      </c>
      <c r="P47" s="2908">
        <f t="shared" si="153"/>
        <v>-5.7999999999999996E-3</v>
      </c>
      <c r="Q47" s="2908">
        <f t="shared" si="153"/>
        <v>-2E-3</v>
      </c>
      <c r="R47" s="2891"/>
      <c r="S47" s="2890"/>
      <c r="T47" s="2885"/>
      <c r="U47" s="2885"/>
      <c r="V47" s="2885"/>
    </row>
    <row r="48" spans="1:34" ht="13.5" thickBot="1">
      <c r="A48" s="2887" t="s">
        <v>2572</v>
      </c>
      <c r="B48" s="2888">
        <f t="shared" si="162"/>
        <v>276.29854502841971</v>
      </c>
      <c r="C48" s="2888">
        <f t="shared" si="162"/>
        <v>229.79023709833027</v>
      </c>
      <c r="D48" s="2888">
        <f t="shared" si="151"/>
        <v>229.79023709833027</v>
      </c>
      <c r="E48" s="2888">
        <f t="shared" si="163"/>
        <v>379.78759731655936</v>
      </c>
      <c r="F48" s="2888">
        <f t="shared" si="163"/>
        <v>211.32953905659235</v>
      </c>
      <c r="G48" s="4048">
        <v>2011</v>
      </c>
      <c r="H48" s="2889">
        <v>1</v>
      </c>
      <c r="I48" s="2889">
        <v>2.65</v>
      </c>
      <c r="J48" s="2889">
        <v>3.76</v>
      </c>
      <c r="K48" s="2889">
        <v>1.89</v>
      </c>
      <c r="L48" s="2895">
        <v>7.95</v>
      </c>
      <c r="N48" s="2892">
        <f t="shared" si="153"/>
        <v>2.6499999999999999E-2</v>
      </c>
      <c r="O48" s="2893">
        <f t="shared" si="153"/>
        <v>3.7599999999999995E-2</v>
      </c>
      <c r="P48" s="2893">
        <f t="shared" si="153"/>
        <v>1.89E-2</v>
      </c>
      <c r="Q48" s="2893">
        <f t="shared" si="153"/>
        <v>7.9500000000000001E-2</v>
      </c>
      <c r="R48" s="2891"/>
      <c r="S48" s="2892">
        <f>B48/B49-1</f>
        <v>2.713213765211786E-2</v>
      </c>
      <c r="T48" s="2893">
        <f>C48/C49-1</f>
        <v>3.9774828499231862E-2</v>
      </c>
      <c r="U48" s="2893">
        <f>E48/E49-1</f>
        <v>1.8197311840641772E-2</v>
      </c>
      <c r="V48" s="2893">
        <f>F48/F49-1</f>
        <v>7.8211933962205826E-2</v>
      </c>
      <c r="X48" s="2885"/>
      <c r="Y48" s="2885"/>
      <c r="Z48" s="2885"/>
    </row>
    <row r="49" spans="1:26" ht="13.5" thickBot="1">
      <c r="A49" s="2887" t="s">
        <v>2573</v>
      </c>
      <c r="B49" s="2909">
        <v>269</v>
      </c>
      <c r="C49" s="2909">
        <v>221</v>
      </c>
      <c r="D49" s="2909">
        <f t="shared" si="151"/>
        <v>221</v>
      </c>
      <c r="E49" s="2909">
        <v>373</v>
      </c>
      <c r="F49" s="2910">
        <v>196</v>
      </c>
      <c r="G49" s="4047">
        <v>2010</v>
      </c>
      <c r="H49" s="2911">
        <v>4</v>
      </c>
      <c r="I49" s="2911">
        <v>5.72</v>
      </c>
      <c r="J49" s="2911">
        <v>6.57</v>
      </c>
      <c r="K49" s="2911">
        <v>5.72</v>
      </c>
      <c r="L49" s="2912">
        <v>2.72</v>
      </c>
      <c r="N49" s="2890">
        <f t="shared" si="153"/>
        <v>5.7200000000000001E-2</v>
      </c>
      <c r="O49" s="2885">
        <f t="shared" si="153"/>
        <v>6.5700000000000008E-2</v>
      </c>
      <c r="P49" s="2885">
        <f t="shared" si="153"/>
        <v>5.7200000000000001E-2</v>
      </c>
      <c r="Q49" s="2885">
        <f t="shared" si="153"/>
        <v>2.7200000000000002E-2</v>
      </c>
      <c r="R49" s="2891"/>
      <c r="S49" s="2900"/>
      <c r="T49" s="2901"/>
      <c r="U49" s="2901"/>
      <c r="V49" s="2901"/>
      <c r="X49" s="2901"/>
      <c r="Y49" s="2901"/>
      <c r="Z49" s="2901"/>
    </row>
    <row r="50" spans="1:26">
      <c r="A50" s="2887" t="s">
        <v>2574</v>
      </c>
      <c r="B50" s="2888">
        <f t="shared" ref="B50:C52" si="164">B49/(1+N49)</f>
        <v>254.44570563753314</v>
      </c>
      <c r="C50" s="2888">
        <f t="shared" si="164"/>
        <v>207.37543398705074</v>
      </c>
      <c r="D50" s="2888">
        <f t="shared" si="151"/>
        <v>207.37543398705074</v>
      </c>
      <c r="E50" s="2888">
        <f t="shared" ref="E50:F52" si="165">E49/(1+P49)</f>
        <v>352.81876655315932</v>
      </c>
      <c r="F50" s="2888">
        <f t="shared" si="165"/>
        <v>190.809968847352</v>
      </c>
      <c r="G50" s="4045">
        <v>2010</v>
      </c>
      <c r="H50" s="2914">
        <v>3</v>
      </c>
      <c r="I50" s="2914">
        <v>4.7300000000000004</v>
      </c>
      <c r="J50" s="2914">
        <v>3.9</v>
      </c>
      <c r="K50" s="2914">
        <v>5.03</v>
      </c>
      <c r="L50" s="2915">
        <v>4.21</v>
      </c>
      <c r="N50" s="2890">
        <f t="shared" si="153"/>
        <v>4.7300000000000002E-2</v>
      </c>
      <c r="O50" s="2885">
        <f t="shared" si="153"/>
        <v>3.9E-2</v>
      </c>
      <c r="P50" s="2885">
        <f t="shared" si="153"/>
        <v>5.0300000000000004E-2</v>
      </c>
      <c r="Q50" s="2885">
        <f t="shared" si="153"/>
        <v>4.2099999999999999E-2</v>
      </c>
      <c r="R50" s="2891"/>
      <c r="S50" s="2890"/>
      <c r="T50" s="2885"/>
      <c r="U50" s="2885"/>
      <c r="V50" s="2885"/>
    </row>
    <row r="51" spans="1:26">
      <c r="A51" s="2887" t="s">
        <v>2575</v>
      </c>
      <c r="B51" s="2888">
        <f t="shared" si="164"/>
        <v>242.95398227588385</v>
      </c>
      <c r="C51" s="2888">
        <f t="shared" si="164"/>
        <v>199.59137053614126</v>
      </c>
      <c r="D51" s="2888">
        <f t="shared" si="151"/>
        <v>199.59137053614126</v>
      </c>
      <c r="E51" s="2888">
        <f t="shared" si="165"/>
        <v>335.92189522342125</v>
      </c>
      <c r="F51" s="2888">
        <f t="shared" si="165"/>
        <v>183.10139991109489</v>
      </c>
      <c r="G51" s="4045">
        <v>2010</v>
      </c>
      <c r="H51" s="2902">
        <v>2</v>
      </c>
      <c r="I51" s="2902">
        <v>4.6900000000000004</v>
      </c>
      <c r="J51" s="2902">
        <v>3.55</v>
      </c>
      <c r="K51" s="2902">
        <v>5.07</v>
      </c>
      <c r="L51" s="2903">
        <v>4.2300000000000004</v>
      </c>
      <c r="N51" s="2890">
        <f t="shared" si="153"/>
        <v>4.6900000000000004E-2</v>
      </c>
      <c r="O51" s="2885">
        <f t="shared" si="153"/>
        <v>3.5499999999999997E-2</v>
      </c>
      <c r="P51" s="2885">
        <f t="shared" si="153"/>
        <v>5.0700000000000002E-2</v>
      </c>
      <c r="Q51" s="2885">
        <f t="shared" si="153"/>
        <v>4.2300000000000004E-2</v>
      </c>
      <c r="R51" s="2891"/>
      <c r="S51" s="2890"/>
      <c r="T51" s="2885"/>
      <c r="U51" s="2885"/>
      <c r="V51" s="2885"/>
    </row>
    <row r="52" spans="1:26" ht="13.5" thickBot="1">
      <c r="A52" s="2887" t="s">
        <v>2576</v>
      </c>
      <c r="B52" s="2888">
        <f t="shared" si="164"/>
        <v>232.06990378821649</v>
      </c>
      <c r="C52" s="2888">
        <f t="shared" si="164"/>
        <v>192.74878854286936</v>
      </c>
      <c r="D52" s="2888">
        <f t="shared" si="151"/>
        <v>192.74878854286936</v>
      </c>
      <c r="E52" s="2888">
        <f t="shared" si="165"/>
        <v>319.71247284992984</v>
      </c>
      <c r="F52" s="2888">
        <f t="shared" si="165"/>
        <v>175.67053622862409</v>
      </c>
      <c r="G52" s="4048">
        <v>2010</v>
      </c>
      <c r="H52" s="2889">
        <v>1</v>
      </c>
      <c r="I52" s="2889">
        <v>5.4</v>
      </c>
      <c r="J52" s="2889">
        <v>3.2</v>
      </c>
      <c r="K52" s="2889">
        <v>6.16</v>
      </c>
      <c r="L52" s="2895">
        <v>4.51</v>
      </c>
      <c r="N52" s="2890">
        <f t="shared" si="153"/>
        <v>5.4000000000000006E-2</v>
      </c>
      <c r="O52" s="2885">
        <f t="shared" si="153"/>
        <v>3.2000000000000001E-2</v>
      </c>
      <c r="P52" s="2885">
        <f t="shared" si="153"/>
        <v>6.1600000000000002E-2</v>
      </c>
      <c r="Q52" s="2885">
        <f t="shared" si="153"/>
        <v>4.5100000000000001E-2</v>
      </c>
      <c r="R52" s="2891"/>
      <c r="S52" s="2892">
        <f>B52/B53-1</f>
        <v>5.4863199037347599E-2</v>
      </c>
      <c r="T52" s="2893">
        <f>C52/C53-1</f>
        <v>3.0742184721226584E-2</v>
      </c>
      <c r="U52" s="2893">
        <f>E52/E53-1</f>
        <v>6.2167683886810154E-2</v>
      </c>
      <c r="V52" s="2893">
        <f>F52/F53-1</f>
        <v>4.5657953741810031E-2</v>
      </c>
      <c r="X52" s="2885"/>
      <c r="Y52" s="2885"/>
      <c r="Z52" s="2885"/>
    </row>
    <row r="53" spans="1:26" ht="13.5" thickBot="1">
      <c r="A53" s="2887" t="s">
        <v>2577</v>
      </c>
      <c r="B53" s="2909">
        <v>220</v>
      </c>
      <c r="C53" s="2909">
        <v>187</v>
      </c>
      <c r="D53" s="2909">
        <f t="shared" si="151"/>
        <v>187</v>
      </c>
      <c r="E53" s="2909">
        <v>301</v>
      </c>
      <c r="F53" s="2910">
        <v>168</v>
      </c>
      <c r="G53" s="4047">
        <v>2009</v>
      </c>
      <c r="H53" s="2911">
        <v>4</v>
      </c>
      <c r="I53" s="2911">
        <v>2.2999999999999998</v>
      </c>
      <c r="J53" s="2911">
        <v>1.04</v>
      </c>
      <c r="K53" s="2911">
        <v>2.84</v>
      </c>
      <c r="L53" s="2912">
        <v>0.67</v>
      </c>
      <c r="N53" s="2906">
        <f t="shared" si="153"/>
        <v>2.3E-2</v>
      </c>
      <c r="O53" s="2907">
        <f t="shared" si="153"/>
        <v>1.04E-2</v>
      </c>
      <c r="P53" s="2907">
        <f t="shared" si="153"/>
        <v>2.8399999999999998E-2</v>
      </c>
      <c r="Q53" s="2907">
        <f t="shared" si="153"/>
        <v>6.7000000000000002E-3</v>
      </c>
      <c r="R53" s="2891"/>
      <c r="S53" s="2900"/>
      <c r="T53" s="2901"/>
      <c r="U53" s="2901"/>
      <c r="V53" s="2901"/>
      <c r="X53" s="2901"/>
      <c r="Y53" s="2901"/>
      <c r="Z53" s="2901"/>
    </row>
    <row r="54" spans="1:26">
      <c r="A54" s="2887" t="s">
        <v>2578</v>
      </c>
      <c r="B54" s="2888">
        <f t="shared" ref="B54:C56" si="166">B53/(1+N53)</f>
        <v>215.05376344086022</v>
      </c>
      <c r="C54" s="2888">
        <f t="shared" si="166"/>
        <v>185.0752177355503</v>
      </c>
      <c r="D54" s="2888">
        <f t="shared" si="151"/>
        <v>185.0752177355503</v>
      </c>
      <c r="E54" s="2888">
        <f t="shared" ref="E54:F56" si="167">E53/(1+P53)</f>
        <v>292.68767016725008</v>
      </c>
      <c r="F54" s="2888">
        <f t="shared" si="167"/>
        <v>166.88189132810174</v>
      </c>
      <c r="G54" s="4045">
        <v>2009</v>
      </c>
      <c r="H54" s="2914">
        <v>3</v>
      </c>
      <c r="I54" s="2914">
        <v>2.1</v>
      </c>
      <c r="J54" s="2914">
        <v>1.86</v>
      </c>
      <c r="K54" s="2914">
        <v>2.29</v>
      </c>
      <c r="L54" s="2915">
        <v>0.85</v>
      </c>
      <c r="N54" s="2890">
        <f t="shared" si="153"/>
        <v>2.1000000000000001E-2</v>
      </c>
      <c r="O54" s="2908">
        <f t="shared" si="153"/>
        <v>1.8600000000000002E-2</v>
      </c>
      <c r="P54" s="2908">
        <f t="shared" si="153"/>
        <v>2.29E-2</v>
      </c>
      <c r="Q54" s="2908">
        <f t="shared" si="153"/>
        <v>8.5000000000000006E-3</v>
      </c>
      <c r="R54" s="2891"/>
      <c r="S54" s="2890"/>
      <c r="T54" s="2885"/>
      <c r="U54" s="2885"/>
      <c r="V54" s="2885"/>
    </row>
    <row r="55" spans="1:26">
      <c r="A55" s="2887" t="s">
        <v>2579</v>
      </c>
      <c r="B55" s="2888">
        <f t="shared" si="166"/>
        <v>210.630522469011</v>
      </c>
      <c r="C55" s="2888">
        <f t="shared" si="166"/>
        <v>181.69567812247232</v>
      </c>
      <c r="D55" s="2888">
        <f t="shared" si="151"/>
        <v>181.69567812247232</v>
      </c>
      <c r="E55" s="2888">
        <f t="shared" si="167"/>
        <v>286.13517466736738</v>
      </c>
      <c r="F55" s="2888">
        <f t="shared" si="167"/>
        <v>165.47535084591149</v>
      </c>
      <c r="G55" s="4045">
        <v>2009</v>
      </c>
      <c r="H55" s="2902">
        <v>2</v>
      </c>
      <c r="I55" s="2902">
        <v>0.86</v>
      </c>
      <c r="J55" s="2902">
        <v>-1.1299999999999999</v>
      </c>
      <c r="K55" s="2902">
        <v>1.79</v>
      </c>
      <c r="L55" s="2903">
        <v>-2.0699999999999998</v>
      </c>
      <c r="N55" s="2890">
        <f t="shared" si="153"/>
        <v>8.6E-3</v>
      </c>
      <c r="O55" s="2908">
        <f t="shared" si="153"/>
        <v>-1.1299999999999999E-2</v>
      </c>
      <c r="P55" s="2908">
        <f t="shared" si="153"/>
        <v>1.7899999999999999E-2</v>
      </c>
      <c r="Q55" s="2908">
        <f t="shared" si="153"/>
        <v>-2.07E-2</v>
      </c>
      <c r="R55" s="2891"/>
      <c r="S55" s="2890"/>
      <c r="T55" s="2885"/>
      <c r="U55" s="2885"/>
      <c r="V55" s="2885"/>
    </row>
    <row r="56" spans="1:26">
      <c r="A56" s="2887" t="s">
        <v>2580</v>
      </c>
      <c r="B56" s="2888">
        <f t="shared" si="166"/>
        <v>208.83454537875372</v>
      </c>
      <c r="C56" s="2888">
        <f t="shared" si="166"/>
        <v>183.77230517090351</v>
      </c>
      <c r="D56" s="2888">
        <f t="shared" si="151"/>
        <v>183.77230517090351</v>
      </c>
      <c r="E56" s="2888">
        <f t="shared" si="167"/>
        <v>281.10342338870947</v>
      </c>
      <c r="F56" s="2888">
        <f t="shared" si="167"/>
        <v>168.97309388942256</v>
      </c>
      <c r="G56" s="4048">
        <v>2009</v>
      </c>
      <c r="H56" s="2889">
        <v>1</v>
      </c>
      <c r="I56" s="2889">
        <v>-2.64</v>
      </c>
      <c r="J56" s="2889">
        <v>-2.5299999999999998</v>
      </c>
      <c r="K56" s="2889">
        <v>-3.02</v>
      </c>
      <c r="L56" s="2895">
        <v>1.52</v>
      </c>
      <c r="N56" s="2892">
        <f t="shared" si="153"/>
        <v>-2.64E-2</v>
      </c>
      <c r="O56" s="2893">
        <f t="shared" si="153"/>
        <v>-2.53E-2</v>
      </c>
      <c r="P56" s="2893">
        <f t="shared" si="153"/>
        <v>-3.0200000000000001E-2</v>
      </c>
      <c r="Q56" s="2893">
        <f t="shared" si="153"/>
        <v>1.52E-2</v>
      </c>
      <c r="R56" s="2891"/>
      <c r="S56" s="2892">
        <f>B56/B57-1</f>
        <v>-2.4137638417038754E-2</v>
      </c>
      <c r="T56" s="2893">
        <f>C56/C57-1</f>
        <v>-2.248773845264096E-2</v>
      </c>
      <c r="U56" s="2893">
        <f>E56/E57-1</f>
        <v>-2.7323794502735366E-2</v>
      </c>
      <c r="V56" s="2893">
        <f>F56/F57-1</f>
        <v>1.7910204153148035E-2</v>
      </c>
      <c r="X56" s="2885"/>
      <c r="Y56" s="2885"/>
      <c r="Z56" s="2885"/>
    </row>
    <row r="57" spans="1:26" ht="13.5" thickBot="1">
      <c r="A57" s="2887" t="s">
        <v>2581</v>
      </c>
      <c r="B57" s="2937">
        <v>214</v>
      </c>
      <c r="C57" s="2937">
        <v>188</v>
      </c>
      <c r="D57" s="2937">
        <f t="shared" si="151"/>
        <v>188</v>
      </c>
      <c r="E57" s="2937">
        <v>289</v>
      </c>
      <c r="F57" s="2938">
        <v>166</v>
      </c>
      <c r="G57" s="4047">
        <v>2008</v>
      </c>
      <c r="H57" s="2911">
        <v>4</v>
      </c>
      <c r="I57" s="2911">
        <v>1.73</v>
      </c>
      <c r="J57" s="2911">
        <v>0.03</v>
      </c>
      <c r="K57" s="2911">
        <v>2.59</v>
      </c>
      <c r="L57" s="2912">
        <v>-1.66</v>
      </c>
      <c r="N57" s="2890">
        <f t="shared" si="153"/>
        <v>1.7299999999999999E-2</v>
      </c>
      <c r="O57" s="2885">
        <f t="shared" si="153"/>
        <v>2.9999999999999997E-4</v>
      </c>
      <c r="P57" s="2885">
        <f t="shared" si="153"/>
        <v>2.5899999999999999E-2</v>
      </c>
      <c r="Q57" s="2885">
        <f t="shared" si="153"/>
        <v>-1.66E-2</v>
      </c>
      <c r="R57" s="2891"/>
      <c r="S57" s="2900"/>
      <c r="T57" s="2901"/>
      <c r="U57" s="2901"/>
      <c r="V57" s="2901"/>
      <c r="X57" s="2901"/>
      <c r="Y57" s="2901"/>
      <c r="Z57" s="2901"/>
    </row>
    <row r="58" spans="1:26">
      <c r="A58" s="2887" t="s">
        <v>2582</v>
      </c>
      <c r="B58" s="2888">
        <f t="shared" ref="B58:C60" si="168">B57/(1+N57)</f>
        <v>210.36075887152265</v>
      </c>
      <c r="C58" s="2888">
        <f t="shared" si="168"/>
        <v>187.94361691492554</v>
      </c>
      <c r="D58" s="2888">
        <f t="shared" si="151"/>
        <v>187.94361691492554</v>
      </c>
      <c r="E58" s="2888">
        <f t="shared" ref="E58:F60" si="169">E57/(1+P57)</f>
        <v>281.70386977288234</v>
      </c>
      <c r="F58" s="2888">
        <f t="shared" si="169"/>
        <v>168.80211511083994</v>
      </c>
      <c r="G58" s="4045">
        <v>2008</v>
      </c>
      <c r="H58" s="2914">
        <v>3</v>
      </c>
      <c r="I58" s="2914">
        <v>1.96</v>
      </c>
      <c r="J58" s="2914">
        <v>2.36</v>
      </c>
      <c r="K58" s="2914">
        <v>1.82</v>
      </c>
      <c r="L58" s="2915">
        <v>2.2200000000000002</v>
      </c>
      <c r="N58" s="2890">
        <f t="shared" si="153"/>
        <v>1.9599999999999999E-2</v>
      </c>
      <c r="O58" s="2885">
        <f t="shared" si="153"/>
        <v>2.3599999999999999E-2</v>
      </c>
      <c r="P58" s="2885">
        <f t="shared" si="153"/>
        <v>1.8200000000000001E-2</v>
      </c>
      <c r="Q58" s="2885">
        <f t="shared" si="153"/>
        <v>2.2200000000000001E-2</v>
      </c>
      <c r="R58" s="2891"/>
      <c r="S58" s="2890"/>
      <c r="T58" s="2885"/>
      <c r="U58" s="2885"/>
      <c r="V58" s="2885"/>
    </row>
    <row r="59" spans="1:26">
      <c r="A59" s="2887" t="s">
        <v>2583</v>
      </c>
      <c r="B59" s="2888">
        <f t="shared" si="168"/>
        <v>206.31694671589116</v>
      </c>
      <c r="C59" s="2888">
        <f t="shared" si="168"/>
        <v>183.61041121036101</v>
      </c>
      <c r="D59" s="2888">
        <f t="shared" si="151"/>
        <v>183.61041121036101</v>
      </c>
      <c r="E59" s="2888">
        <f t="shared" si="169"/>
        <v>276.66850301795557</v>
      </c>
      <c r="F59" s="2888">
        <f t="shared" si="169"/>
        <v>165.1360938278614</v>
      </c>
      <c r="G59" s="4045">
        <v>2008</v>
      </c>
      <c r="H59" s="2902">
        <v>2</v>
      </c>
      <c r="I59" s="2902">
        <v>4.93</v>
      </c>
      <c r="J59" s="2902">
        <v>7.38</v>
      </c>
      <c r="K59" s="2902">
        <v>3.98</v>
      </c>
      <c r="L59" s="2903">
        <v>6.86</v>
      </c>
      <c r="N59" s="2890">
        <f t="shared" si="153"/>
        <v>4.9299999999999997E-2</v>
      </c>
      <c r="O59" s="2885">
        <f t="shared" si="153"/>
        <v>7.3800000000000004E-2</v>
      </c>
      <c r="P59" s="2885">
        <f t="shared" si="153"/>
        <v>3.9800000000000002E-2</v>
      </c>
      <c r="Q59" s="2885">
        <f t="shared" si="153"/>
        <v>6.8600000000000008E-2</v>
      </c>
      <c r="R59" s="2891"/>
      <c r="S59" s="2890"/>
      <c r="T59" s="2885"/>
      <c r="U59" s="2885"/>
      <c r="V59" s="2885"/>
    </row>
    <row r="60" spans="1:26" s="2943" customFormat="1" ht="13.5" thickBot="1">
      <c r="A60" s="2887" t="s">
        <v>2584</v>
      </c>
      <c r="B60" s="2940">
        <f t="shared" si="168"/>
        <v>196.62341248059772</v>
      </c>
      <c r="C60" s="2940">
        <f t="shared" si="168"/>
        <v>170.99125648199012</v>
      </c>
      <c r="D60" s="2940">
        <f t="shared" si="151"/>
        <v>170.99125648199012</v>
      </c>
      <c r="E60" s="2940">
        <f t="shared" si="169"/>
        <v>266.07857570490052</v>
      </c>
      <c r="F60" s="2940">
        <f t="shared" si="169"/>
        <v>154.53499328828505</v>
      </c>
      <c r="G60" s="4048">
        <v>2008</v>
      </c>
      <c r="H60" s="2941">
        <v>1</v>
      </c>
      <c r="I60" s="2941">
        <v>4.1399999999999997</v>
      </c>
      <c r="J60" s="2941">
        <v>3.45</v>
      </c>
      <c r="K60" s="2941">
        <v>4.95</v>
      </c>
      <c r="L60" s="2942">
        <v>4.82</v>
      </c>
      <c r="N60" s="2944">
        <f t="shared" si="153"/>
        <v>4.1399999999999999E-2</v>
      </c>
      <c r="O60" s="2945">
        <f t="shared" si="153"/>
        <v>3.4500000000000003E-2</v>
      </c>
      <c r="P60" s="2945">
        <f t="shared" si="153"/>
        <v>4.9500000000000002E-2</v>
      </c>
      <c r="Q60" s="2945">
        <f t="shared" si="153"/>
        <v>4.82E-2</v>
      </c>
      <c r="R60" s="2946"/>
      <c r="S60" s="2944">
        <f>B60/B61-1</f>
        <v>4.5869215322328349E-2</v>
      </c>
      <c r="T60" s="2945">
        <f>C60/C61-1</f>
        <v>3.6310645345394743E-2</v>
      </c>
      <c r="U60" s="2945">
        <f>E60/E61-1</f>
        <v>4.7553447657088688E-2</v>
      </c>
      <c r="V60" s="2945">
        <f>F60/F61-1</f>
        <v>4.4155360055980086E-2</v>
      </c>
      <c r="X60" s="2945"/>
      <c r="Y60" s="2945"/>
      <c r="Z60" s="2945"/>
    </row>
    <row r="61" spans="1:26" ht="13.5" thickBot="1">
      <c r="A61" s="2887" t="s">
        <v>2585</v>
      </c>
      <c r="B61" s="2909">
        <v>188</v>
      </c>
      <c r="C61" s="2909">
        <v>165</v>
      </c>
      <c r="D61" s="2909">
        <f t="shared" si="151"/>
        <v>165</v>
      </c>
      <c r="E61" s="2909">
        <v>254</v>
      </c>
      <c r="F61" s="2910">
        <v>148</v>
      </c>
      <c r="G61" s="4047">
        <v>2007</v>
      </c>
      <c r="H61" s="2947">
        <v>4</v>
      </c>
      <c r="I61" s="2947">
        <v>5.51</v>
      </c>
      <c r="J61" s="2947">
        <v>4.8899999999999997</v>
      </c>
      <c r="K61" s="2947">
        <v>6.43</v>
      </c>
      <c r="L61" s="2948">
        <v>5.36</v>
      </c>
      <c r="N61" s="2949">
        <f t="shared" ref="N61:O64" si="170">B61/B62-1</f>
        <v>4.1339718365245526E-2</v>
      </c>
      <c r="O61" s="2950">
        <f t="shared" si="170"/>
        <v>4.0324492593776018E-2</v>
      </c>
      <c r="P61" s="2950">
        <f t="shared" ref="P61:Q64" si="171">E61/E62-1</f>
        <v>6.1625555347990968E-2</v>
      </c>
      <c r="Q61" s="2950">
        <f t="shared" si="171"/>
        <v>4.6757569250590603E-2</v>
      </c>
      <c r="R61" s="2891"/>
      <c r="S61" s="2900"/>
      <c r="T61" s="2901"/>
      <c r="U61" s="2901"/>
      <c r="V61" s="2901"/>
      <c r="X61" s="2901"/>
      <c r="Y61" s="2901"/>
      <c r="Z61" s="2901"/>
    </row>
    <row r="62" spans="1:26">
      <c r="A62" s="2887" t="s">
        <v>2586</v>
      </c>
      <c r="B62" s="2888">
        <f t="shared" ref="B62:C64" si="172">B63+(B$61-B$65)*I62/SUM(I$61:I$64)</f>
        <v>180.5366651097618</v>
      </c>
      <c r="C62" s="2888">
        <f t="shared" si="172"/>
        <v>158.60435967302453</v>
      </c>
      <c r="D62" s="2888">
        <f t="shared" si="151"/>
        <v>158.60435967302453</v>
      </c>
      <c r="E62" s="2888">
        <f t="shared" ref="E62:F64" si="173">E63+(E$61-E$65)*K62/SUM(K$61:K$64)</f>
        <v>239.25573260785075</v>
      </c>
      <c r="F62" s="2888">
        <f t="shared" si="173"/>
        <v>141.38899430740037</v>
      </c>
      <c r="G62" s="4045">
        <v>2007</v>
      </c>
      <c r="H62" s="2914">
        <v>3</v>
      </c>
      <c r="I62" s="2914">
        <v>8.65</v>
      </c>
      <c r="J62" s="2914">
        <v>8.06</v>
      </c>
      <c r="K62" s="2914">
        <v>9.94</v>
      </c>
      <c r="L62" s="2915">
        <v>5.8</v>
      </c>
      <c r="N62" s="2949">
        <f t="shared" si="170"/>
        <v>6.940217571740015E-2</v>
      </c>
      <c r="O62" s="2950">
        <f t="shared" si="170"/>
        <v>7.1197482471153428E-2</v>
      </c>
      <c r="P62" s="2950">
        <f t="shared" si="171"/>
        <v>0.10529679922579582</v>
      </c>
      <c r="Q62" s="2950">
        <f t="shared" si="171"/>
        <v>5.3292245059512133E-2</v>
      </c>
      <c r="R62" s="2891"/>
      <c r="S62" s="2890"/>
      <c r="T62" s="2885"/>
      <c r="U62" s="2885"/>
      <c r="V62" s="2885"/>
      <c r="X62" s="2951"/>
      <c r="Y62" s="2951"/>
      <c r="Z62" s="2951"/>
    </row>
    <row r="63" spans="1:26">
      <c r="A63" s="2887" t="s">
        <v>2587</v>
      </c>
      <c r="B63" s="2888">
        <f t="shared" si="172"/>
        <v>168.82017748715555</v>
      </c>
      <c r="C63" s="2888">
        <f t="shared" si="172"/>
        <v>148.06267029972753</v>
      </c>
      <c r="D63" s="2888">
        <f t="shared" si="151"/>
        <v>148.06267029972753</v>
      </c>
      <c r="E63" s="2888">
        <f t="shared" si="173"/>
        <v>216.46288379323747</v>
      </c>
      <c r="F63" s="2888">
        <f t="shared" si="173"/>
        <v>134.23529411764704</v>
      </c>
      <c r="G63" s="4045">
        <v>2007</v>
      </c>
      <c r="H63" s="2902">
        <v>2</v>
      </c>
      <c r="I63" s="2902">
        <v>3.67</v>
      </c>
      <c r="J63" s="2902">
        <v>2.3199999999999998</v>
      </c>
      <c r="K63" s="2902">
        <v>5.0199999999999996</v>
      </c>
      <c r="L63" s="2903">
        <v>6.71</v>
      </c>
      <c r="N63" s="2949">
        <f t="shared" si="170"/>
        <v>3.0339138143848032E-2</v>
      </c>
      <c r="O63" s="2950">
        <f t="shared" si="170"/>
        <v>2.0922341588790472E-2</v>
      </c>
      <c r="P63" s="2950">
        <f t="shared" si="171"/>
        <v>5.6164796592717003E-2</v>
      </c>
      <c r="Q63" s="2950">
        <f t="shared" si="171"/>
        <v>6.5704536723887319E-2</v>
      </c>
      <c r="R63" s="2891"/>
      <c r="S63" s="2890"/>
      <c r="T63" s="2885"/>
      <c r="U63" s="2885"/>
      <c r="V63" s="2885"/>
      <c r="X63" s="2951"/>
      <c r="Y63" s="2951"/>
      <c r="Z63" s="2951"/>
    </row>
    <row r="64" spans="1:26">
      <c r="A64" s="2887" t="s">
        <v>2588</v>
      </c>
      <c r="B64" s="2888">
        <f t="shared" si="172"/>
        <v>163.84913591779542</v>
      </c>
      <c r="C64" s="2888">
        <f t="shared" si="172"/>
        <v>145.0283378746594</v>
      </c>
      <c r="D64" s="2888">
        <f t="shared" si="151"/>
        <v>145.0283378746594</v>
      </c>
      <c r="E64" s="2888">
        <f t="shared" si="173"/>
        <v>204.95180722891567</v>
      </c>
      <c r="F64" s="2888">
        <f t="shared" si="173"/>
        <v>125.95920303605313</v>
      </c>
      <c r="G64" s="4048">
        <v>2007</v>
      </c>
      <c r="H64" s="2889">
        <v>1</v>
      </c>
      <c r="I64" s="2889">
        <v>3.58</v>
      </c>
      <c r="J64" s="2889">
        <v>3.08</v>
      </c>
      <c r="K64" s="2889">
        <v>4.34</v>
      </c>
      <c r="L64" s="2895">
        <v>3.21</v>
      </c>
      <c r="N64" s="2952">
        <f t="shared" si="170"/>
        <v>3.0497710174814063E-2</v>
      </c>
      <c r="O64" s="2953">
        <f t="shared" si="170"/>
        <v>2.8569772160704998E-2</v>
      </c>
      <c r="P64" s="2953">
        <f t="shared" si="171"/>
        <v>5.1034908866234296E-2</v>
      </c>
      <c r="Q64" s="2953">
        <f t="shared" si="171"/>
        <v>3.245248390207478E-2</v>
      </c>
      <c r="R64" s="2891"/>
      <c r="S64" s="2892">
        <f>B64/B65-1</f>
        <v>3.0497710174814063E-2</v>
      </c>
      <c r="T64" s="2893">
        <f>C64/C65-1</f>
        <v>2.8569772160704998E-2</v>
      </c>
      <c r="U64" s="2893">
        <f>E64/E65-1</f>
        <v>5.1034908866234296E-2</v>
      </c>
      <c r="V64" s="2893">
        <f>F64/F65-1</f>
        <v>3.245248390207478E-2</v>
      </c>
      <c r="X64" s="2951"/>
      <c r="Y64" s="2951"/>
      <c r="Z64" s="2951"/>
    </row>
    <row r="65" spans="1:26" ht="13.5" thickBot="1">
      <c r="A65" s="2887" t="s">
        <v>2589</v>
      </c>
      <c r="B65" s="2916">
        <v>159</v>
      </c>
      <c r="C65" s="2916">
        <v>141</v>
      </c>
      <c r="D65" s="2916">
        <f t="shared" si="151"/>
        <v>141</v>
      </c>
      <c r="E65" s="2916">
        <v>195</v>
      </c>
      <c r="F65" s="2917">
        <v>122</v>
      </c>
      <c r="G65" s="4047">
        <v>2006</v>
      </c>
      <c r="H65" s="2911">
        <v>4</v>
      </c>
      <c r="I65" s="2911">
        <v>3.79</v>
      </c>
      <c r="J65" s="2911">
        <v>2.21</v>
      </c>
      <c r="K65" s="2911">
        <v>5.65</v>
      </c>
      <c r="L65" s="2912">
        <v>5.41</v>
      </c>
      <c r="N65" s="2949">
        <f t="shared" ref="N65:O68" si="174">I65/SUM(I$65:I$68)*(B$65/B$69-1)</f>
        <v>7.245466462748526E-2</v>
      </c>
      <c r="O65" s="2950">
        <f t="shared" si="174"/>
        <v>2.3237230038062766E-2</v>
      </c>
      <c r="P65" s="2950">
        <f t="shared" ref="P65:Q68" si="175">K65/SUM(K$65:K$68)*(E$65/E$69-1)</f>
        <v>0.16146893866323722</v>
      </c>
      <c r="Q65" s="2950">
        <f t="shared" si="175"/>
        <v>5.0755230321793784E-2</v>
      </c>
      <c r="R65" s="2891"/>
      <c r="S65" s="2900"/>
      <c r="T65" s="2901"/>
      <c r="U65" s="2901"/>
      <c r="V65" s="2901"/>
      <c r="X65" s="2951"/>
      <c r="Y65" s="2951"/>
      <c r="Z65" s="2951"/>
    </row>
    <row r="66" spans="1:26">
      <c r="A66" s="2887" t="s">
        <v>2590</v>
      </c>
      <c r="B66" s="2888">
        <f t="shared" ref="B66:C68" si="176">B67+(B$65-B$69)*I66/SUM(I$65:I$68)</f>
        <v>149.00125628140702</v>
      </c>
      <c r="C66" s="2888">
        <f t="shared" si="176"/>
        <v>137.95592286501378</v>
      </c>
      <c r="D66" s="2888">
        <f t="shared" si="151"/>
        <v>137.95592286501378</v>
      </c>
      <c r="E66" s="2888">
        <f t="shared" ref="E66:F68" si="177">E67+(E$65-E$69)*K66/SUM(K$65:K$68)</f>
        <v>169.97231450719823</v>
      </c>
      <c r="F66" s="2888">
        <f t="shared" si="177"/>
        <v>116.21390374331551</v>
      </c>
      <c r="G66" s="4045">
        <v>2006</v>
      </c>
      <c r="H66" s="2914">
        <v>3</v>
      </c>
      <c r="I66" s="2914">
        <v>0.92</v>
      </c>
      <c r="J66" s="2914">
        <v>1.08</v>
      </c>
      <c r="K66" s="2914">
        <v>0.73</v>
      </c>
      <c r="L66" s="2915">
        <v>1.08</v>
      </c>
      <c r="N66" s="2949">
        <f t="shared" si="174"/>
        <v>1.7587939698492462E-2</v>
      </c>
      <c r="O66" s="2950">
        <f t="shared" si="174"/>
        <v>1.1355750425840628E-2</v>
      </c>
      <c r="P66" s="2950">
        <f t="shared" si="175"/>
        <v>2.0862358446754544E-2</v>
      </c>
      <c r="Q66" s="2950">
        <f t="shared" si="175"/>
        <v>1.0132282578103011E-2</v>
      </c>
      <c r="R66" s="2891"/>
      <c r="S66" s="2890"/>
      <c r="T66" s="2885"/>
      <c r="U66" s="2885"/>
      <c r="V66" s="2885"/>
      <c r="X66" s="2951"/>
      <c r="Y66" s="2951"/>
      <c r="Z66" s="2951"/>
    </row>
    <row r="67" spans="1:26">
      <c r="A67" s="2887" t="s">
        <v>2591</v>
      </c>
      <c r="B67" s="2888">
        <f t="shared" si="176"/>
        <v>146.57412060301507</v>
      </c>
      <c r="C67" s="2888">
        <f t="shared" si="176"/>
        <v>136.46831955922866</v>
      </c>
      <c r="D67" s="2888">
        <f t="shared" si="151"/>
        <v>136.46831955922866</v>
      </c>
      <c r="E67" s="2888">
        <f t="shared" si="177"/>
        <v>166.73864894795128</v>
      </c>
      <c r="F67" s="2888">
        <f t="shared" si="177"/>
        <v>115.05882352941177</v>
      </c>
      <c r="G67" s="4045">
        <v>2006</v>
      </c>
      <c r="H67" s="2902">
        <v>2</v>
      </c>
      <c r="I67" s="2902">
        <v>0.96</v>
      </c>
      <c r="J67" s="2902">
        <v>0.25</v>
      </c>
      <c r="K67" s="2902">
        <v>1.9</v>
      </c>
      <c r="L67" s="2903">
        <v>0.95</v>
      </c>
      <c r="N67" s="2949">
        <f t="shared" si="174"/>
        <v>1.8352632728861701E-2</v>
      </c>
      <c r="O67" s="2950">
        <f t="shared" si="174"/>
        <v>2.6286459319075526E-3</v>
      </c>
      <c r="P67" s="2950">
        <f t="shared" si="175"/>
        <v>5.4299289107991269E-2</v>
      </c>
      <c r="Q67" s="2950">
        <f t="shared" si="175"/>
        <v>8.9126559714794995E-3</v>
      </c>
      <c r="R67" s="2891"/>
      <c r="S67" s="2890"/>
      <c r="T67" s="2885"/>
      <c r="U67" s="2885"/>
      <c r="V67" s="2885"/>
      <c r="X67" s="2951"/>
      <c r="Y67" s="2951"/>
      <c r="Z67" s="2951"/>
    </row>
    <row r="68" spans="1:26">
      <c r="A68" s="2887" t="s">
        <v>2592</v>
      </c>
      <c r="B68" s="2888">
        <f t="shared" si="176"/>
        <v>144.04145728643215</v>
      </c>
      <c r="C68" s="2888">
        <f t="shared" si="176"/>
        <v>136.12396694214877</v>
      </c>
      <c r="D68" s="2888">
        <f t="shared" si="151"/>
        <v>136.12396694214877</v>
      </c>
      <c r="E68" s="2888">
        <f t="shared" si="177"/>
        <v>158.32225913621264</v>
      </c>
      <c r="F68" s="2888">
        <f t="shared" si="177"/>
        <v>114.04278074866311</v>
      </c>
      <c r="G68" s="4048">
        <v>2006</v>
      </c>
      <c r="H68" s="2889">
        <v>1</v>
      </c>
      <c r="I68" s="2889">
        <v>2.29</v>
      </c>
      <c r="J68" s="2889">
        <v>3.72</v>
      </c>
      <c r="K68" s="2889">
        <v>0.75</v>
      </c>
      <c r="L68" s="2895">
        <v>0.04</v>
      </c>
      <c r="N68" s="2952">
        <f t="shared" si="174"/>
        <v>4.3778675988638847E-2</v>
      </c>
      <c r="O68" s="2953">
        <f t="shared" si="174"/>
        <v>3.9114251466784385E-2</v>
      </c>
      <c r="P68" s="2953">
        <f t="shared" si="175"/>
        <v>2.1433929911049188E-2</v>
      </c>
      <c r="Q68" s="2953">
        <f t="shared" si="175"/>
        <v>3.7526972511492629E-4</v>
      </c>
      <c r="R68" s="2891"/>
      <c r="S68" s="2892">
        <f>B68/B69-1</f>
        <v>4.3778675988638716E-2</v>
      </c>
      <c r="T68" s="2893">
        <f>C68/C69-1</f>
        <v>3.91142514667846E-2</v>
      </c>
      <c r="U68" s="2893">
        <f>E68/E69-1</f>
        <v>2.143392991104931E-2</v>
      </c>
      <c r="V68" s="2893">
        <f>F68/F69-1</f>
        <v>3.7526972511492396E-4</v>
      </c>
      <c r="X68" s="2951"/>
      <c r="Y68" s="2951"/>
      <c r="Z68" s="2951"/>
    </row>
    <row r="69" spans="1:26" ht="13.5" thickBot="1">
      <c r="A69" s="2887" t="s">
        <v>2593</v>
      </c>
      <c r="B69" s="2916">
        <v>138</v>
      </c>
      <c r="C69" s="2916">
        <v>131</v>
      </c>
      <c r="D69" s="2916">
        <f t="shared" si="151"/>
        <v>131</v>
      </c>
      <c r="E69" s="2916">
        <v>155</v>
      </c>
      <c r="F69" s="2917">
        <v>114</v>
      </c>
      <c r="G69" s="4047">
        <v>2005</v>
      </c>
      <c r="H69" s="2911">
        <v>4</v>
      </c>
      <c r="I69" s="2911">
        <v>3.29</v>
      </c>
      <c r="J69" s="2911">
        <v>1.44</v>
      </c>
      <c r="K69" s="2911">
        <v>0.66</v>
      </c>
      <c r="L69" s="2912">
        <v>7.78</v>
      </c>
      <c r="N69" s="2949">
        <f t="shared" ref="N69:O72" si="178">I69/SUM(I$69:I$72)*(B$69/B$73-1)</f>
        <v>9.9404603216919935E-2</v>
      </c>
      <c r="O69" s="2950">
        <f t="shared" si="178"/>
        <v>4.7636550760861554E-2</v>
      </c>
      <c r="P69" s="2950">
        <f t="shared" ref="P69:Q72" si="179">K69/SUM(K$69:K$72)*(E$69/E$73-1)</f>
        <v>8.3756345177664976E-2</v>
      </c>
      <c r="Q69" s="2950">
        <f t="shared" si="179"/>
        <v>5.2148766661559584E-2</v>
      </c>
      <c r="R69" s="2891"/>
      <c r="S69" s="2900"/>
      <c r="T69" s="2901"/>
      <c r="U69" s="2901"/>
      <c r="V69" s="2901"/>
      <c r="X69" s="2951"/>
      <c r="Y69" s="2951"/>
      <c r="Z69" s="2951"/>
    </row>
    <row r="70" spans="1:26">
      <c r="A70" s="2887" t="s">
        <v>2594</v>
      </c>
      <c r="B70" s="2888">
        <f t="shared" ref="B70:C72" si="180">B71+(B$69-B$73)*I70/SUM(I$69:I$72)</f>
        <v>125.9720430107527</v>
      </c>
      <c r="C70" s="2888">
        <f t="shared" si="180"/>
        <v>125.1883408071749</v>
      </c>
      <c r="D70" s="2888">
        <f t="shared" si="151"/>
        <v>125.1883408071749</v>
      </c>
      <c r="E70" s="2888">
        <f t="shared" ref="E70:F72" si="181">E71+(E$69-E$73)*K70/SUM(K$69:K$72)</f>
        <v>144.61421319796952</v>
      </c>
      <c r="F70" s="2888">
        <f t="shared" si="181"/>
        <v>108.42008196721311</v>
      </c>
      <c r="G70" s="4045">
        <v>2005</v>
      </c>
      <c r="H70" s="2914">
        <v>3</v>
      </c>
      <c r="I70" s="2914">
        <v>0.46</v>
      </c>
      <c r="J70" s="2914">
        <v>0.32</v>
      </c>
      <c r="K70" s="2914">
        <v>0.42</v>
      </c>
      <c r="L70" s="2915">
        <v>0.64</v>
      </c>
      <c r="N70" s="2949">
        <f t="shared" si="178"/>
        <v>1.3898515951301874E-2</v>
      </c>
      <c r="O70" s="2950">
        <f t="shared" si="178"/>
        <v>1.0585900169080346E-2</v>
      </c>
      <c r="P70" s="2950">
        <f t="shared" si="179"/>
        <v>5.3299492385786795E-2</v>
      </c>
      <c r="Q70" s="2950">
        <f t="shared" si="179"/>
        <v>4.2898728359123568E-3</v>
      </c>
      <c r="R70" s="2891"/>
      <c r="S70" s="2890"/>
      <c r="T70" s="2885"/>
      <c r="U70" s="2885"/>
      <c r="V70" s="2885"/>
      <c r="X70" s="2951"/>
      <c r="Y70" s="2951"/>
      <c r="Z70" s="2951"/>
    </row>
    <row r="71" spans="1:26">
      <c r="A71" s="2887" t="s">
        <v>2595</v>
      </c>
      <c r="B71" s="2888">
        <f t="shared" si="180"/>
        <v>124.29032258064517</v>
      </c>
      <c r="C71" s="2888">
        <f t="shared" si="180"/>
        <v>123.8968609865471</v>
      </c>
      <c r="D71" s="2888">
        <f t="shared" si="151"/>
        <v>123.8968609865471</v>
      </c>
      <c r="E71" s="2888">
        <f t="shared" si="181"/>
        <v>138.00507614213197</v>
      </c>
      <c r="F71" s="2888">
        <f t="shared" si="181"/>
        <v>107.96106557377048</v>
      </c>
      <c r="G71" s="4045">
        <v>2005</v>
      </c>
      <c r="H71" s="2902">
        <v>2</v>
      </c>
      <c r="I71" s="2902">
        <v>0.47</v>
      </c>
      <c r="J71" s="2902">
        <v>0.1</v>
      </c>
      <c r="K71" s="2902">
        <v>0.52</v>
      </c>
      <c r="L71" s="2903">
        <v>0.79</v>
      </c>
      <c r="N71" s="2949">
        <f t="shared" si="178"/>
        <v>1.420065760241713E-2</v>
      </c>
      <c r="O71" s="2950">
        <f t="shared" si="178"/>
        <v>3.3080938028376083E-3</v>
      </c>
      <c r="P71" s="2950">
        <f t="shared" si="179"/>
        <v>6.598984771573603E-2</v>
      </c>
      <c r="Q71" s="2950">
        <f t="shared" si="179"/>
        <v>5.2953117818293153E-3</v>
      </c>
      <c r="R71" s="2891"/>
      <c r="S71" s="2890"/>
      <c r="T71" s="2885"/>
      <c r="U71" s="2885"/>
      <c r="V71" s="2885"/>
      <c r="X71" s="2951"/>
      <c r="Y71" s="2951"/>
      <c r="Z71" s="2951"/>
    </row>
    <row r="72" spans="1:26">
      <c r="A72" s="2887" t="s">
        <v>2596</v>
      </c>
      <c r="B72" s="2888">
        <f t="shared" si="180"/>
        <v>122.57204301075269</v>
      </c>
      <c r="C72" s="2888">
        <f t="shared" si="180"/>
        <v>123.4932735426009</v>
      </c>
      <c r="D72" s="2888">
        <f t="shared" si="151"/>
        <v>123.4932735426009</v>
      </c>
      <c r="E72" s="2888">
        <f t="shared" si="181"/>
        <v>129.82233502538071</v>
      </c>
      <c r="F72" s="2888">
        <f t="shared" si="181"/>
        <v>107.39446721311475</v>
      </c>
      <c r="G72" s="4048">
        <v>2005</v>
      </c>
      <c r="H72" s="2889">
        <v>1</v>
      </c>
      <c r="I72" s="2889">
        <v>0.43</v>
      </c>
      <c r="J72" s="2889">
        <v>0.37</v>
      </c>
      <c r="K72" s="2889">
        <v>0.37</v>
      </c>
      <c r="L72" s="2895">
        <v>0.55000000000000004</v>
      </c>
      <c r="N72" s="2952">
        <f t="shared" si="178"/>
        <v>1.2992090997956099E-2</v>
      </c>
      <c r="O72" s="2953">
        <f t="shared" si="178"/>
        <v>1.2239947070499151E-2</v>
      </c>
      <c r="P72" s="2953">
        <f t="shared" si="179"/>
        <v>4.6954314720812178E-2</v>
      </c>
      <c r="Q72" s="2953">
        <f t="shared" si="179"/>
        <v>3.6866094683621815E-3</v>
      </c>
      <c r="R72" s="2891"/>
      <c r="S72" s="2892">
        <f>B72/B73-1</f>
        <v>1.2992090997956174E-2</v>
      </c>
      <c r="T72" s="2893">
        <f>C72/C73-1</f>
        <v>1.2239947070499246E-2</v>
      </c>
      <c r="U72" s="2893">
        <f>E72/E73-1</f>
        <v>4.695431472081224E-2</v>
      </c>
      <c r="V72" s="2893">
        <f>F72/F73-1</f>
        <v>3.6866094683620787E-3</v>
      </c>
      <c r="X72" s="2951"/>
      <c r="Y72" s="2951"/>
      <c r="Z72" s="2951"/>
    </row>
    <row r="73" spans="1:26" ht="13.5" thickBot="1">
      <c r="A73" s="2887" t="s">
        <v>2597</v>
      </c>
      <c r="B73" s="2937">
        <v>121</v>
      </c>
      <c r="C73" s="2937">
        <v>122</v>
      </c>
      <c r="D73" s="2937">
        <f t="shared" si="151"/>
        <v>122</v>
      </c>
      <c r="E73" s="2937">
        <v>124</v>
      </c>
      <c r="F73" s="2938">
        <v>107</v>
      </c>
      <c r="G73" s="4047">
        <v>2004</v>
      </c>
      <c r="H73" s="2911">
        <v>4</v>
      </c>
      <c r="I73" s="2911">
        <v>0.33</v>
      </c>
      <c r="J73" s="2911">
        <v>0.5</v>
      </c>
      <c r="K73" s="2911">
        <v>0.5</v>
      </c>
      <c r="L73" s="2912">
        <v>0</v>
      </c>
      <c r="N73" s="2949">
        <f t="shared" ref="N73:O76" si="182">I73/SUM(I$73:I$76)*(B$73/B$77-1)</f>
        <v>1.3391770148526898E-2</v>
      </c>
      <c r="O73" s="2950">
        <f t="shared" si="182"/>
        <v>1.063264221158958E-2</v>
      </c>
      <c r="P73" s="2950">
        <f t="shared" ref="P73:Q76" si="183">K73/SUM(K$73:K$76)*(E$73/E$77-1)</f>
        <v>2.2244466688911134E-2</v>
      </c>
      <c r="Q73" s="2950">
        <f t="shared" si="183"/>
        <v>0</v>
      </c>
      <c r="R73" s="2891"/>
      <c r="S73" s="2900"/>
      <c r="T73" s="2901"/>
      <c r="U73" s="2901"/>
      <c r="V73" s="2901"/>
      <c r="X73" s="2951"/>
      <c r="Y73" s="2951"/>
      <c r="Z73" s="2951"/>
    </row>
    <row r="74" spans="1:26">
      <c r="A74" s="2887" t="s">
        <v>2598</v>
      </c>
      <c r="B74" s="2888">
        <f t="shared" ref="B74:C76" si="184">B75+(B$73-B$77)*I74/SUM(I$73:I$76)</f>
        <v>119.51351351351352</v>
      </c>
      <c r="C74" s="2888">
        <f t="shared" si="184"/>
        <v>120.7878787878788</v>
      </c>
      <c r="D74" s="2888">
        <f t="shared" si="151"/>
        <v>120.7878787878788</v>
      </c>
      <c r="E74" s="2888">
        <f t="shared" ref="E74:F76" si="185">E75+(E$73-E$77)*K74/SUM(K$73:K$76)</f>
        <v>121.5975975975976</v>
      </c>
      <c r="F74" s="2888">
        <f t="shared" si="185"/>
        <v>107</v>
      </c>
      <c r="G74" s="4045">
        <v>2004</v>
      </c>
      <c r="H74" s="2914">
        <v>3</v>
      </c>
      <c r="I74" s="2914">
        <v>0.56000000000000005</v>
      </c>
      <c r="J74" s="2914">
        <v>0.8</v>
      </c>
      <c r="K74" s="2914">
        <v>0.83</v>
      </c>
      <c r="L74" s="2915">
        <v>0.06</v>
      </c>
      <c r="N74" s="2949">
        <f t="shared" si="182"/>
        <v>2.2725428130833527E-2</v>
      </c>
      <c r="O74" s="2950">
        <f t="shared" si="182"/>
        <v>1.7012227538543329E-2</v>
      </c>
      <c r="P74" s="2950">
        <f t="shared" si="183"/>
        <v>3.6925814703592477E-2</v>
      </c>
      <c r="Q74" s="2950">
        <f t="shared" si="183"/>
        <v>2.8846153846153744E-2</v>
      </c>
      <c r="R74" s="2891"/>
      <c r="S74" s="2890"/>
      <c r="T74" s="2885"/>
      <c r="U74" s="2885"/>
      <c r="V74" s="2885"/>
      <c r="X74" s="2951"/>
      <c r="Y74" s="2951"/>
      <c r="Z74" s="2951"/>
    </row>
    <row r="75" spans="1:26">
      <c r="A75" s="2887" t="s">
        <v>2599</v>
      </c>
      <c r="B75" s="2888">
        <f t="shared" si="184"/>
        <v>116.99099099099099</v>
      </c>
      <c r="C75" s="2888">
        <f t="shared" si="184"/>
        <v>118.84848484848486</v>
      </c>
      <c r="D75" s="2888">
        <f t="shared" si="151"/>
        <v>118.84848484848486</v>
      </c>
      <c r="E75" s="2888">
        <f t="shared" si="185"/>
        <v>117.60960960960961</v>
      </c>
      <c r="F75" s="2888">
        <f t="shared" si="185"/>
        <v>104</v>
      </c>
      <c r="G75" s="4045">
        <v>2004</v>
      </c>
      <c r="H75" s="2902">
        <v>2</v>
      </c>
      <c r="I75" s="2902">
        <v>1</v>
      </c>
      <c r="J75" s="2902">
        <v>1.5</v>
      </c>
      <c r="K75" s="2902">
        <v>1.5</v>
      </c>
      <c r="L75" s="2903">
        <v>0</v>
      </c>
      <c r="N75" s="2949">
        <f t="shared" si="182"/>
        <v>4.0581121662202721E-2</v>
      </c>
      <c r="O75" s="2950">
        <f t="shared" si="182"/>
        <v>3.1897926634768738E-2</v>
      </c>
      <c r="P75" s="2950">
        <f t="shared" si="183"/>
        <v>6.6733400066733395E-2</v>
      </c>
      <c r="Q75" s="2950">
        <f t="shared" si="183"/>
        <v>0</v>
      </c>
      <c r="R75" s="2891"/>
      <c r="S75" s="2890"/>
      <c r="T75" s="2885"/>
      <c r="U75" s="2885"/>
      <c r="V75" s="2885"/>
      <c r="X75" s="2951"/>
      <c r="Y75" s="2951"/>
      <c r="Z75" s="2951"/>
    </row>
    <row r="76" spans="1:26" s="2943" customFormat="1" ht="13.5" thickBot="1">
      <c r="A76" s="2887" t="s">
        <v>2600</v>
      </c>
      <c r="B76" s="2940">
        <f t="shared" si="184"/>
        <v>112.48648648648648</v>
      </c>
      <c r="C76" s="2940">
        <f t="shared" si="184"/>
        <v>115.21212121212122</v>
      </c>
      <c r="D76" s="2940">
        <f t="shared" si="151"/>
        <v>115.21212121212122</v>
      </c>
      <c r="E76" s="2940">
        <f t="shared" si="185"/>
        <v>110.4024024024024</v>
      </c>
      <c r="F76" s="2940">
        <f t="shared" si="185"/>
        <v>104</v>
      </c>
      <c r="G76" s="4048">
        <v>2004</v>
      </c>
      <c r="H76" s="2941">
        <v>1</v>
      </c>
      <c r="I76" s="2941">
        <v>0.33</v>
      </c>
      <c r="J76" s="2941">
        <v>0.5</v>
      </c>
      <c r="K76" s="2941">
        <v>0.5</v>
      </c>
      <c r="L76" s="2942">
        <v>0</v>
      </c>
      <c r="N76" s="2954">
        <f t="shared" si="182"/>
        <v>1.3391770148526898E-2</v>
      </c>
      <c r="O76" s="2955">
        <f t="shared" si="182"/>
        <v>1.063264221158958E-2</v>
      </c>
      <c r="P76" s="2955">
        <f t="shared" si="183"/>
        <v>2.2244466688911134E-2</v>
      </c>
      <c r="Q76" s="2955">
        <f t="shared" si="183"/>
        <v>0</v>
      </c>
      <c r="R76" s="2946"/>
      <c r="S76" s="2944">
        <f>B76/B77-1</f>
        <v>1.3391770148526883E-2</v>
      </c>
      <c r="T76" s="2945">
        <f>C76/C77-1</f>
        <v>1.063264221158966E-2</v>
      </c>
      <c r="U76" s="2945">
        <f>E76/E77-1</f>
        <v>2.2244466688911224E-2</v>
      </c>
      <c r="V76" s="2945">
        <f>F76/F77-1</f>
        <v>0</v>
      </c>
      <c r="X76" s="2956"/>
      <c r="Y76" s="2956"/>
      <c r="Z76" s="2956"/>
    </row>
    <row r="77" spans="1:26" ht="13.5" thickBot="1">
      <c r="A77" s="2887" t="s">
        <v>2601</v>
      </c>
      <c r="B77" s="2957">
        <v>111</v>
      </c>
      <c r="C77" s="2957">
        <v>114</v>
      </c>
      <c r="D77" s="2957">
        <f t="shared" si="151"/>
        <v>114</v>
      </c>
      <c r="E77" s="2957">
        <v>108</v>
      </c>
      <c r="F77" s="2958">
        <v>104</v>
      </c>
      <c r="G77" s="4047">
        <v>2003</v>
      </c>
      <c r="H77" s="2947">
        <v>4</v>
      </c>
      <c r="I77" s="2959"/>
      <c r="J77" s="2959"/>
      <c r="K77" s="2959"/>
      <c r="L77" s="2959"/>
      <c r="N77" s="2960"/>
      <c r="O77" s="2959"/>
      <c r="P77" s="2959"/>
      <c r="Q77" s="2959"/>
      <c r="S77" s="2960"/>
      <c r="T77" s="2959"/>
      <c r="U77" s="2959"/>
      <c r="V77" s="2959"/>
      <c r="X77" s="2951"/>
      <c r="Y77" s="2951"/>
      <c r="Z77" s="2951"/>
    </row>
    <row r="78" spans="1:26">
      <c r="A78" s="2887" t="s">
        <v>2602</v>
      </c>
      <c r="B78" s="2961">
        <f t="shared" ref="B78:C80" si="186">B79+(B$77-B$81)/4</f>
        <v>109.75</v>
      </c>
      <c r="C78" s="2961">
        <f t="shared" si="186"/>
        <v>112.25</v>
      </c>
      <c r="D78" s="2961">
        <f t="shared" si="151"/>
        <v>112.25</v>
      </c>
      <c r="E78" s="2961">
        <f t="shared" ref="E78:F80" si="187">E79+(E$77-E$81)/4</f>
        <v>107.25</v>
      </c>
      <c r="F78" s="2961">
        <f t="shared" si="187"/>
        <v>103.5</v>
      </c>
      <c r="G78" s="4045">
        <v>2003</v>
      </c>
      <c r="H78" s="2914">
        <v>3</v>
      </c>
      <c r="I78" s="2959"/>
      <c r="J78" s="2959"/>
      <c r="K78" s="2959"/>
      <c r="L78" s="2959"/>
      <c r="X78" s="2951"/>
      <c r="Y78" s="2951"/>
      <c r="Z78" s="2951"/>
    </row>
    <row r="79" spans="1:26">
      <c r="A79" s="2887" t="s">
        <v>2603</v>
      </c>
      <c r="B79" s="2961">
        <f t="shared" si="186"/>
        <v>108.5</v>
      </c>
      <c r="C79" s="2961">
        <f t="shared" si="186"/>
        <v>110.5</v>
      </c>
      <c r="D79" s="2961">
        <f t="shared" si="151"/>
        <v>110.5</v>
      </c>
      <c r="E79" s="2961">
        <f t="shared" si="187"/>
        <v>106.5</v>
      </c>
      <c r="F79" s="2961">
        <f t="shared" si="187"/>
        <v>103</v>
      </c>
      <c r="G79" s="4045">
        <v>2003</v>
      </c>
      <c r="H79" s="2902">
        <v>2</v>
      </c>
      <c r="I79" s="2959"/>
      <c r="J79" s="2959"/>
      <c r="K79" s="2959"/>
      <c r="L79" s="2959"/>
      <c r="X79" s="2951"/>
      <c r="Y79" s="2951"/>
      <c r="Z79" s="2951"/>
    </row>
    <row r="80" spans="1:26" ht="13.5" thickBot="1">
      <c r="A80" s="2887" t="s">
        <v>2604</v>
      </c>
      <c r="B80" s="2961">
        <f t="shared" si="186"/>
        <v>107.25</v>
      </c>
      <c r="C80" s="2961">
        <f t="shared" si="186"/>
        <v>108.75</v>
      </c>
      <c r="D80" s="2961">
        <f t="shared" si="151"/>
        <v>108.75</v>
      </c>
      <c r="E80" s="2961">
        <f t="shared" si="187"/>
        <v>105.75</v>
      </c>
      <c r="F80" s="2961">
        <f t="shared" si="187"/>
        <v>102.5</v>
      </c>
      <c r="G80" s="4048">
        <v>2003</v>
      </c>
      <c r="H80" s="2962">
        <v>1</v>
      </c>
      <c r="I80" s="2959"/>
      <c r="J80" s="2959"/>
      <c r="K80" s="2959"/>
      <c r="L80" s="2959"/>
      <c r="S80" s="2890"/>
      <c r="T80" s="2885"/>
      <c r="U80" s="2885"/>
      <c r="X80" s="2951"/>
      <c r="Y80" s="2951"/>
      <c r="Z80" s="2951"/>
    </row>
    <row r="81" spans="1:26" ht="13.5" thickBot="1">
      <c r="A81" s="2887" t="s">
        <v>2605</v>
      </c>
      <c r="B81" s="2963">
        <v>106</v>
      </c>
      <c r="C81" s="2963">
        <v>107</v>
      </c>
      <c r="D81" s="2963">
        <f t="shared" si="151"/>
        <v>107</v>
      </c>
      <c r="E81" s="2963">
        <v>105</v>
      </c>
      <c r="F81" s="2964">
        <v>102</v>
      </c>
      <c r="G81" s="4047">
        <v>2002</v>
      </c>
      <c r="H81" s="2911">
        <v>4</v>
      </c>
      <c r="I81" s="2959"/>
      <c r="J81" s="2959"/>
      <c r="K81" s="2959"/>
      <c r="L81" s="2959"/>
      <c r="N81" s="2960"/>
      <c r="O81" s="2959"/>
      <c r="P81" s="2959"/>
      <c r="Q81" s="2959"/>
      <c r="S81" s="2960"/>
      <c r="T81" s="2959"/>
      <c r="U81" s="2959"/>
      <c r="V81" s="2959"/>
      <c r="X81" s="2951"/>
      <c r="Y81" s="2951"/>
      <c r="Z81" s="2951"/>
    </row>
    <row r="82" spans="1:26">
      <c r="A82" s="2887" t="s">
        <v>2606</v>
      </c>
      <c r="B82" s="2961">
        <f t="shared" ref="B82:C84" si="188">B83+(B$81-B$85)/4</f>
        <v>105</v>
      </c>
      <c r="C82" s="2961">
        <f t="shared" si="188"/>
        <v>106</v>
      </c>
      <c r="D82" s="2961">
        <f t="shared" si="151"/>
        <v>106</v>
      </c>
      <c r="E82" s="2961">
        <f t="shared" ref="E82:F84" si="189">E83+(E$81-E$85)/4</f>
        <v>104.5</v>
      </c>
      <c r="F82" s="2961">
        <f t="shared" si="189"/>
        <v>101.5</v>
      </c>
      <c r="G82" s="4045">
        <v>2002</v>
      </c>
      <c r="H82" s="2914">
        <v>3</v>
      </c>
      <c r="I82" s="2959"/>
      <c r="J82" s="2959"/>
      <c r="K82" s="2959"/>
      <c r="L82" s="2959"/>
      <c r="X82" s="2951"/>
      <c r="Y82" s="2951"/>
      <c r="Z82" s="2951"/>
    </row>
    <row r="83" spans="1:26">
      <c r="A83" s="2887" t="s">
        <v>2607</v>
      </c>
      <c r="B83" s="2961">
        <f t="shared" si="188"/>
        <v>104</v>
      </c>
      <c r="C83" s="2961">
        <f t="shared" si="188"/>
        <v>105</v>
      </c>
      <c r="D83" s="2961">
        <f t="shared" si="151"/>
        <v>105</v>
      </c>
      <c r="E83" s="2961">
        <f t="shared" si="189"/>
        <v>104</v>
      </c>
      <c r="F83" s="2961">
        <f t="shared" si="189"/>
        <v>101</v>
      </c>
      <c r="G83" s="4045">
        <v>2002</v>
      </c>
      <c r="H83" s="2902">
        <v>2</v>
      </c>
      <c r="I83" s="2959"/>
      <c r="J83" s="2959"/>
      <c r="K83" s="2959"/>
      <c r="L83" s="2959"/>
      <c r="X83" s="2951"/>
      <c r="Y83" s="2951"/>
      <c r="Z83" s="2951"/>
    </row>
    <row r="84" spans="1:26" s="2924" customFormat="1" ht="13.5" thickBot="1">
      <c r="A84" s="2920" t="s">
        <v>2608</v>
      </c>
      <c r="B84" s="2927">
        <f t="shared" si="188"/>
        <v>103</v>
      </c>
      <c r="C84" s="2927">
        <f t="shared" si="188"/>
        <v>104</v>
      </c>
      <c r="D84" s="2927">
        <f t="shared" si="151"/>
        <v>104</v>
      </c>
      <c r="E84" s="2927">
        <f t="shared" si="189"/>
        <v>103.5</v>
      </c>
      <c r="F84" s="2927">
        <f t="shared" si="189"/>
        <v>100.5</v>
      </c>
      <c r="G84" s="4048">
        <v>2002</v>
      </c>
      <c r="H84" s="2965">
        <v>1</v>
      </c>
      <c r="I84" s="2966"/>
      <c r="J84" s="2966"/>
      <c r="K84" s="2966"/>
      <c r="L84" s="2966"/>
      <c r="N84" s="2967"/>
      <c r="S84" s="2967"/>
      <c r="X84" s="2968"/>
      <c r="Y84" s="2968"/>
      <c r="Z84" s="2968"/>
    </row>
    <row r="85" spans="1:26" ht="13.5" thickBot="1">
      <c r="B85" s="2969">
        <v>102</v>
      </c>
      <c r="C85" s="2970">
        <v>103</v>
      </c>
      <c r="D85" s="2970">
        <f t="shared" si="151"/>
        <v>103</v>
      </c>
      <c r="E85" s="2970">
        <v>103</v>
      </c>
      <c r="F85" s="2971">
        <v>100</v>
      </c>
      <c r="I85" s="2959"/>
      <c r="J85" s="2959"/>
      <c r="K85" s="2959"/>
      <c r="L85" s="2959"/>
      <c r="N85" s="2960"/>
      <c r="O85" s="2959"/>
      <c r="P85" s="2959"/>
      <c r="Q85" s="2959"/>
      <c r="S85" s="2960"/>
      <c r="T85" s="2959"/>
      <c r="U85" s="2959"/>
      <c r="V85" s="2959"/>
      <c r="X85" s="2901"/>
      <c r="Y85" s="2901"/>
      <c r="Z85" s="2901"/>
    </row>
    <row r="87" spans="1:26" s="2973" customFormat="1">
      <c r="A87" s="2972" t="s">
        <v>2609</v>
      </c>
      <c r="G87" s="2974"/>
      <c r="N87" s="2974"/>
      <c r="S87" s="2974"/>
    </row>
    <row r="88" spans="1:26" s="2973" customFormat="1">
      <c r="A88" s="2973" t="s">
        <v>2610</v>
      </c>
      <c r="G88" s="2974"/>
      <c r="N88" s="2974"/>
      <c r="S88" s="2974"/>
    </row>
    <row r="89" spans="1:26" s="2973" customFormat="1">
      <c r="A89" s="2973" t="s">
        <v>2611</v>
      </c>
      <c r="G89" s="2974"/>
      <c r="I89" s="2975"/>
      <c r="J89" s="2975"/>
      <c r="K89" s="2975"/>
      <c r="L89" s="2975"/>
      <c r="N89" s="2976"/>
      <c r="O89" s="2975"/>
      <c r="P89" s="2975"/>
      <c r="Q89" s="2975"/>
      <c r="S89" s="2976"/>
      <c r="T89" s="2975"/>
      <c r="U89" s="2975"/>
      <c r="V89" s="2975"/>
    </row>
    <row r="90" spans="1:26" s="2973" customFormat="1">
      <c r="A90" s="2973" t="s">
        <v>2612</v>
      </c>
      <c r="G90" s="2974"/>
      <c r="N90" s="2974"/>
      <c r="S90" s="2974"/>
    </row>
    <row r="97" spans="7:22" ht="13.5" thickBot="1"/>
    <row r="98" spans="7:22">
      <c r="G98" s="2884"/>
      <c r="S98" s="2977" t="s">
        <v>2613</v>
      </c>
      <c r="T98" s="2978" t="s">
        <v>2614</v>
      </c>
      <c r="U98" s="2978" t="s">
        <v>2615</v>
      </c>
      <c r="V98" s="2978" t="s">
        <v>2616</v>
      </c>
    </row>
    <row r="99" spans="7:22">
      <c r="G99" s="2884"/>
      <c r="N99" s="2900"/>
      <c r="O99" s="2901"/>
      <c r="P99" s="2901"/>
      <c r="Q99" s="2901"/>
      <c r="S99" s="2979">
        <v>2006</v>
      </c>
      <c r="T99" s="2980">
        <v>15.1</v>
      </c>
      <c r="U99" s="2980">
        <v>7.43</v>
      </c>
      <c r="V99" s="2980">
        <v>26.26</v>
      </c>
    </row>
    <row r="100" spans="7:22">
      <c r="G100" s="2884"/>
      <c r="N100" s="2900"/>
      <c r="O100" s="2901"/>
      <c r="P100" s="2901"/>
      <c r="Q100" s="2901"/>
      <c r="S100" s="2981">
        <v>2005</v>
      </c>
      <c r="T100" s="2982">
        <v>13.9</v>
      </c>
      <c r="U100" s="2982">
        <v>7.49</v>
      </c>
      <c r="V100" s="2982">
        <v>24.92</v>
      </c>
    </row>
    <row r="101" spans="7:22">
      <c r="G101" s="2884"/>
      <c r="N101" s="2900"/>
      <c r="O101" s="2901"/>
      <c r="P101" s="2901"/>
      <c r="Q101" s="2901"/>
      <c r="S101" s="2979">
        <v>2004</v>
      </c>
      <c r="T101" s="2980">
        <v>9.48</v>
      </c>
      <c r="U101" s="2980">
        <v>7.2</v>
      </c>
      <c r="V101" s="2980">
        <v>14.68</v>
      </c>
    </row>
    <row r="102" spans="7:22">
      <c r="G102" s="2884"/>
      <c r="N102" s="2900"/>
      <c r="O102" s="2901"/>
      <c r="P102" s="2901"/>
      <c r="Q102" s="2901"/>
      <c r="S102" s="2981">
        <v>2003</v>
      </c>
      <c r="T102" s="2982">
        <v>4.5</v>
      </c>
      <c r="U102" s="2982">
        <v>6.12</v>
      </c>
      <c r="V102" s="2982">
        <v>2.34</v>
      </c>
    </row>
    <row r="103" spans="7:22" ht="13.5" thickBot="1">
      <c r="G103" s="2884"/>
      <c r="N103" s="2900"/>
      <c r="O103" s="2901"/>
      <c r="P103" s="2901"/>
      <c r="Q103" s="2901"/>
      <c r="S103" s="2983">
        <v>2002</v>
      </c>
      <c r="T103" s="2984">
        <v>3.59</v>
      </c>
      <c r="U103" s="2984">
        <v>4.54</v>
      </c>
      <c r="V103" s="2984">
        <v>2.5499999999999998</v>
      </c>
    </row>
    <row r="104" spans="7:22">
      <c r="G104" s="2884"/>
      <c r="N104" s="2900"/>
      <c r="O104" s="2901"/>
      <c r="P104" s="2901"/>
      <c r="Q104" s="2901"/>
    </row>
    <row r="105" spans="7:22">
      <c r="G105" s="2884"/>
      <c r="N105" s="2900"/>
      <c r="O105" s="2901"/>
      <c r="P105" s="2901"/>
      <c r="Q105" s="2901"/>
    </row>
    <row r="106" spans="7:22">
      <c r="G106" s="2884"/>
      <c r="N106" s="2900"/>
      <c r="O106" s="2901"/>
      <c r="P106" s="2901"/>
      <c r="Q106" s="2901"/>
    </row>
    <row r="107" spans="7:22">
      <c r="G107" s="2884"/>
      <c r="N107" s="2900"/>
      <c r="O107" s="2901"/>
      <c r="P107" s="2901"/>
      <c r="Q107" s="2901"/>
    </row>
    <row r="108" spans="7:22">
      <c r="G108" s="2884"/>
      <c r="N108" s="2900"/>
      <c r="O108" s="2901"/>
      <c r="P108" s="2901"/>
      <c r="Q108" s="2901"/>
    </row>
    <row r="109" spans="7:22">
      <c r="G109" s="2884"/>
      <c r="N109" s="2900"/>
      <c r="O109" s="2901"/>
      <c r="P109" s="2901"/>
      <c r="Q109" s="2901"/>
    </row>
    <row r="110" spans="7:22">
      <c r="G110" s="2884"/>
      <c r="N110" s="2900"/>
      <c r="O110" s="2901"/>
      <c r="P110" s="2901"/>
      <c r="Q110" s="2901"/>
    </row>
    <row r="111" spans="7:22">
      <c r="G111" s="2884"/>
      <c r="N111" s="2900"/>
      <c r="O111" s="2901"/>
      <c r="P111" s="2901"/>
      <c r="Q111" s="2901"/>
    </row>
    <row r="112" spans="7:22">
      <c r="G112" s="2884"/>
      <c r="N112" s="2900"/>
      <c r="O112" s="2901"/>
      <c r="P112" s="2901"/>
      <c r="Q112" s="2901"/>
    </row>
    <row r="113" spans="7:19">
      <c r="G113" s="2884"/>
      <c r="N113" s="2900"/>
      <c r="O113" s="2901"/>
      <c r="P113" s="2901"/>
      <c r="Q113" s="2901"/>
    </row>
    <row r="114" spans="7:19">
      <c r="G114" s="2884"/>
      <c r="N114" s="2900"/>
      <c r="O114" s="2901"/>
      <c r="P114" s="2901"/>
      <c r="Q114" s="2901"/>
      <c r="S114" s="2884"/>
    </row>
    <row r="115" spans="7:19">
      <c r="G115" s="2884"/>
      <c r="N115" s="2900"/>
      <c r="O115" s="2901"/>
      <c r="P115" s="2901"/>
      <c r="Q115" s="2901"/>
      <c r="S115" s="2884"/>
    </row>
    <row r="116" spans="7:19">
      <c r="G116" s="2884"/>
      <c r="N116" s="2900"/>
      <c r="O116" s="2901"/>
      <c r="P116" s="2901"/>
      <c r="Q116" s="2901"/>
      <c r="S116" s="2884"/>
    </row>
    <row r="117" spans="7:19">
      <c r="G117" s="2884"/>
      <c r="N117" s="2900"/>
      <c r="O117" s="2901"/>
      <c r="P117" s="2901"/>
      <c r="Q117" s="2901"/>
      <c r="S117" s="2884"/>
    </row>
    <row r="118" spans="7:19">
      <c r="G118" s="2884"/>
      <c r="N118" s="2900"/>
      <c r="O118" s="2901"/>
      <c r="P118" s="2901"/>
      <c r="Q118" s="2901"/>
      <c r="S118" s="2884"/>
    </row>
    <row r="119" spans="7:19">
      <c r="G119" s="2884"/>
      <c r="N119" s="2900"/>
      <c r="O119" s="2901"/>
      <c r="P119" s="2901"/>
      <c r="Q119" s="2901"/>
      <c r="S119" s="2884"/>
    </row>
  </sheetData>
  <sheetProtection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2911</v>
      </c>
      <c r="B1" s="3233"/>
      <c r="C1" s="3233"/>
      <c r="D1" s="3233"/>
      <c r="E1" s="3233"/>
      <c r="F1" s="3233"/>
      <c r="G1" s="3234"/>
      <c r="H1" s="3234"/>
      <c r="I1" s="3234"/>
      <c r="J1" s="3234"/>
      <c r="K1" s="3234"/>
      <c r="L1" s="3234"/>
      <c r="M1" s="3234"/>
      <c r="N1" s="3234"/>
    </row>
    <row r="2" spans="1:14" ht="14.25">
      <c r="A2" s="3239" t="s">
        <v>2906</v>
      </c>
      <c r="B2" s="3244">
        <f ca="1">SUMIF(B7:B14,"&lt;&gt;#ref!",B7:B14)</f>
        <v>0</v>
      </c>
      <c r="C2" s="3239" t="s">
        <v>2907</v>
      </c>
      <c r="D2" s="3236"/>
      <c r="E2" s="3236"/>
      <c r="F2" s="3236"/>
      <c r="G2" s="3234"/>
      <c r="H2" s="3234"/>
      <c r="I2" s="3234"/>
      <c r="J2" s="3234"/>
      <c r="K2" s="3234"/>
      <c r="L2" s="3234"/>
      <c r="M2" s="3234"/>
      <c r="N2" s="3234"/>
    </row>
    <row r="3" spans="1:14" ht="14.25">
      <c r="A3" s="3239" t="s">
        <v>2936</v>
      </c>
      <c r="B3" s="3244" t="e">
        <f ca="1">ROUND(B2*10000/E3,0)</f>
        <v>#DIV/0!</v>
      </c>
      <c r="C3" s="3239" t="s">
        <v>2064</v>
      </c>
      <c r="D3" s="3239" t="s">
        <v>2908</v>
      </c>
      <c r="E3" s="3237">
        <f ca="1">SUMIF(E7:E14,"&lt;&gt;#ref!",E7:E14)</f>
        <v>0</v>
      </c>
      <c r="F3" s="3236"/>
      <c r="G3" s="3234"/>
      <c r="H3" s="3234"/>
      <c r="I3" s="3234"/>
      <c r="J3" s="3234"/>
      <c r="K3" s="3234"/>
      <c r="L3" s="3234"/>
      <c r="M3" s="3234"/>
      <c r="N3" s="3234"/>
    </row>
    <row r="4" spans="1:14" ht="14.25">
      <c r="A4" s="3239" t="s">
        <v>2914</v>
      </c>
      <c r="B4" s="3244" t="e">
        <f ca="1">ROUND(B2*10000/E4,0)</f>
        <v>#DIV/0!</v>
      </c>
      <c r="C4" s="3239" t="s">
        <v>2064</v>
      </c>
      <c r="D4" s="3239" t="s">
        <v>2915</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2912</v>
      </c>
      <c r="B6" s="3239" t="s">
        <v>2909</v>
      </c>
      <c r="C6" s="2788"/>
      <c r="D6" s="3236"/>
      <c r="E6" s="3239" t="s">
        <v>2910</v>
      </c>
      <c r="F6" s="3239" t="s">
        <v>2913</v>
      </c>
      <c r="G6" s="3234"/>
      <c r="H6" s="3234"/>
      <c r="I6" s="3234"/>
      <c r="J6" s="3234"/>
      <c r="K6" s="3234"/>
      <c r="L6" s="3234"/>
      <c r="M6" s="3234"/>
      <c r="N6" s="3234"/>
    </row>
    <row r="7" spans="1:14" ht="14.25">
      <c r="A7" s="3242"/>
      <c r="B7" s="3244" t="e">
        <f ca="1">SUMIF(INDIRECT("'"&amp;A7&amp;"'"&amp;"!A:A"),"总价",INDIRECT("'"&amp;A7&amp;"'"&amp;"!B:B"))</f>
        <v>#REF!</v>
      </c>
      <c r="C7" s="3239" t="s">
        <v>2907</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2907</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2907</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2907</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2907</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2907</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2907</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2907</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-3</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4056" t="s">
        <v>2442</v>
      </c>
      <c r="C8" s="1738">
        <f ca="1">ROUND(F8*F10*F9*(1-F11)/10000,0)</f>
        <v>0</v>
      </c>
      <c r="D8" s="1735" t="s">
        <v>2513</v>
      </c>
      <c r="E8" s="60" t="s">
        <v>629</v>
      </c>
      <c r="F8" s="773">
        <f ca="1">INDIRECT("'数据-取费表'!u"&amp;$G$1)</f>
        <v>0</v>
      </c>
      <c r="G8" s="1525"/>
      <c r="H8" s="2355" t="s">
        <v>1812</v>
      </c>
      <c r="I8" s="4056" t="s">
        <v>2442</v>
      </c>
      <c r="J8" s="771">
        <f ca="1">ROUND(M8*M10*M9*(1-M11)/10000,0)</f>
        <v>0</v>
      </c>
      <c r="K8" s="337" t="s">
        <v>2513</v>
      </c>
      <c r="L8" s="772" t="s">
        <v>1726</v>
      </c>
      <c r="M8" s="773">
        <f ca="1">INDIRECT("'数据-取费表'!z"&amp;$G$1)</f>
        <v>0</v>
      </c>
    </row>
    <row r="9" spans="1:25" ht="18" customHeight="1">
      <c r="A9" s="2351"/>
      <c r="B9" s="4057"/>
      <c r="C9" s="1739"/>
      <c r="D9" s="1736"/>
      <c r="E9" s="60" t="s">
        <v>630</v>
      </c>
      <c r="F9" s="773">
        <f ca="1">IF(INDIRECT("'数据-取费表'!ah"&amp;$G$1)="",INDIRECT("'数据-取费表'!k"&amp;$G$1),INDIRECT("'数据-取费表'!ah"&amp;$G$1))</f>
        <v>0</v>
      </c>
      <c r="G9" s="1525"/>
      <c r="H9" s="2340"/>
      <c r="I9" s="4057"/>
      <c r="J9" s="776"/>
      <c r="K9" s="777"/>
      <c r="L9" s="772" t="s">
        <v>1727</v>
      </c>
      <c r="M9" s="773">
        <f ca="1">F9</f>
        <v>0</v>
      </c>
    </row>
    <row r="10" spans="1:25" ht="18" customHeight="1">
      <c r="A10" s="2344"/>
      <c r="B10" s="4058"/>
      <c r="C10" s="1739"/>
      <c r="D10" s="1736"/>
      <c r="E10" s="60" t="s">
        <v>631</v>
      </c>
      <c r="F10" s="773">
        <f ca="1">INDIRECT("'数据-取费表'!ai"&amp;$G$1)</f>
        <v>0</v>
      </c>
      <c r="G10" s="1525"/>
      <c r="H10" s="2340"/>
      <c r="I10" s="4058"/>
      <c r="J10" s="776"/>
      <c r="K10" s="777"/>
      <c r="L10" s="772" t="s">
        <v>1728</v>
      </c>
      <c r="M10" s="773">
        <f ca="1">INDIRECT("'数据-取费表'!ai"&amp;$G$1)</f>
        <v>0</v>
      </c>
    </row>
    <row r="11" spans="1:25" ht="18" customHeight="1">
      <c r="A11" s="774"/>
      <c r="B11" s="4059"/>
      <c r="C11" s="1739"/>
      <c r="D11" s="1736"/>
      <c r="E11" s="60" t="s">
        <v>632</v>
      </c>
      <c r="F11" s="782">
        <f ca="1">INDIRECT("'数据-取费表'!w"&amp;$G$1)</f>
        <v>0</v>
      </c>
      <c r="G11" s="1525"/>
      <c r="H11" s="2356"/>
      <c r="I11" s="4058"/>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08">
        <f ca="1">ROUND(IF(AND(项目基本情况!B11="自然人",项目基本情况!B10="北京市"),J8*M19/(1+'数据-取费表'!C42),J20+J21+J22),0)</f>
        <v>0</v>
      </c>
      <c r="K19" s="1891" t="s">
        <v>649</v>
      </c>
      <c r="L19" s="1889" t="s">
        <v>650</v>
      </c>
      <c r="M19" s="3007">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0.02</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0.02</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3</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1.4E-3</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08">
        <f ca="1">ROUND(IF(AND(项目基本情况!B11="自然人",项目基本情况!B10="北京市"),C8*F33/(1+'数据-取费表'!C42),C34+C35+C36),0)</f>
        <v>0</v>
      </c>
      <c r="D33" s="1891" t="s">
        <v>649</v>
      </c>
      <c r="E33" s="1889" t="s">
        <v>682</v>
      </c>
      <c r="F33" s="3007">
        <f ca="1">IF(项目基本情况!B11="企业","——",IF('数据-取费表'!B10="住宅",IF(F8*F9*F10/12/(1+'数据-取费表'!F30)&gt;100000,4%,2.5%),IF(F8*F9*F10/12/(1+'数据-取费表'!F30)&gt;100000,12%,7%)))</f>
        <v>7.0000000000000007E-2</v>
      </c>
      <c r="G33" s="1943"/>
      <c r="H33" s="3245"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4055"/>
      <c r="J36" s="1960"/>
      <c r="K36" s="1961"/>
      <c r="L36" s="1960"/>
      <c r="M36" s="1960"/>
    </row>
    <row r="37" spans="1:18" ht="18" customHeight="1">
      <c r="A37" s="802"/>
      <c r="B37" s="781"/>
      <c r="C37" s="68"/>
      <c r="D37" s="803"/>
      <c r="E37" s="772" t="s">
        <v>666</v>
      </c>
      <c r="F37" s="773">
        <f ca="1">INDIRECT("'数据-取费表'!r"&amp;$G$1)</f>
        <v>0</v>
      </c>
      <c r="G37" s="1943"/>
      <c r="H37" s="1946"/>
      <c r="I37" s="4055"/>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11"/>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11"/>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11"/>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-3</v>
      </c>
      <c r="K54" s="4060"/>
      <c r="L54" s="4061"/>
      <c r="O54" s="2254" t="s">
        <v>2370</v>
      </c>
      <c r="P54" s="2252" t="s">
        <v>2371</v>
      </c>
      <c r="Q54" s="2253">
        <f ca="1">J54</f>
        <v>-3</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99" priority="6">
      <formula>$F$12="自定义"</formula>
    </cfRule>
  </conditionalFormatting>
  <conditionalFormatting sqref="J13">
    <cfRule type="expression" dxfId="198" priority="5">
      <formula>$M$10="自定义"</formula>
    </cfRule>
  </conditionalFormatting>
  <conditionalFormatting sqref="K56">
    <cfRule type="expression" dxfId="197" priority="3">
      <formula>$L$48&gt;$J$51</formula>
    </cfRule>
  </conditionalFormatting>
  <conditionalFormatting sqref="I56">
    <cfRule type="expression" dxfId="196" priority="4">
      <formula>$J$51&gt;$L$48</formula>
    </cfRule>
  </conditionalFormatting>
  <conditionalFormatting sqref="I61">
    <cfRule type="expression" dxfId="195" priority="2">
      <formula>$J$51&gt;$L$48</formula>
    </cfRule>
  </conditionalFormatting>
  <conditionalFormatting sqref="K61">
    <cfRule type="expression" dxfId="19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62" t="s">
        <v>2450</v>
      </c>
      <c r="B1" s="4063"/>
      <c r="C1" s="4064"/>
      <c r="D1" s="4065">
        <f>SUM(I10,I15,I20,I21,I23)</f>
        <v>0</v>
      </c>
      <c r="E1" s="4065"/>
      <c r="F1" s="4065"/>
      <c r="G1" s="4065"/>
      <c r="H1" s="4065"/>
      <c r="I1" s="4066"/>
    </row>
    <row r="2" spans="1:9">
      <c r="A2" s="4067" t="s">
        <v>2451</v>
      </c>
      <c r="B2" s="4068" t="s">
        <v>2452</v>
      </c>
      <c r="C2" s="4068"/>
      <c r="D2" s="2358" t="s">
        <v>2453</v>
      </c>
      <c r="E2" s="2358" t="s">
        <v>2454</v>
      </c>
      <c r="F2" s="2358" t="s">
        <v>2455</v>
      </c>
      <c r="G2" s="2358" t="s">
        <v>2456</v>
      </c>
      <c r="H2" s="2358" t="s">
        <v>2457</v>
      </c>
      <c r="I2" s="2359" t="s">
        <v>2458</v>
      </c>
    </row>
    <row r="3" spans="1:9">
      <c r="A3" s="4067"/>
      <c r="B3" s="4068" t="s">
        <v>2459</v>
      </c>
      <c r="C3" s="4068"/>
      <c r="D3" s="2360"/>
      <c r="E3" s="2358"/>
      <c r="F3" s="2361"/>
      <c r="G3" s="2361"/>
      <c r="H3" s="2362"/>
      <c r="I3" s="2363">
        <f>ROUND(D3*E3*F3*G3*H3/10000,0)</f>
        <v>0</v>
      </c>
    </row>
    <row r="4" spans="1:9">
      <c r="A4" s="4067"/>
      <c r="B4" s="4068" t="s">
        <v>2460</v>
      </c>
      <c r="C4" s="4068"/>
      <c r="D4" s="2360"/>
      <c r="E4" s="2358"/>
      <c r="F4" s="2361"/>
      <c r="G4" s="2361"/>
      <c r="H4" s="2362"/>
      <c r="I4" s="2363">
        <f t="shared" ref="I4:I9" si="0">ROUND(D4*E4*F4*G4*H4/10000,0)</f>
        <v>0</v>
      </c>
    </row>
    <row r="5" spans="1:9">
      <c r="A5" s="4067"/>
      <c r="B5" s="4068" t="s">
        <v>2461</v>
      </c>
      <c r="C5" s="4068"/>
      <c r="D5" s="2360"/>
      <c r="E5" s="2358"/>
      <c r="F5" s="2361"/>
      <c r="G5" s="2361"/>
      <c r="H5" s="2362"/>
      <c r="I5" s="2363">
        <f t="shared" si="0"/>
        <v>0</v>
      </c>
    </row>
    <row r="6" spans="1:9">
      <c r="A6" s="4067"/>
      <c r="B6" s="4068" t="s">
        <v>2462</v>
      </c>
      <c r="C6" s="4068"/>
      <c r="D6" s="2360"/>
      <c r="E6" s="2358"/>
      <c r="F6" s="2361"/>
      <c r="G6" s="2361"/>
      <c r="H6" s="2362"/>
      <c r="I6" s="2363">
        <f t="shared" si="0"/>
        <v>0</v>
      </c>
    </row>
    <row r="7" spans="1:9">
      <c r="A7" s="4067"/>
      <c r="B7" s="4068" t="s">
        <v>2463</v>
      </c>
      <c r="C7" s="4068"/>
      <c r="D7" s="2360"/>
      <c r="E7" s="2358"/>
      <c r="F7" s="2361"/>
      <c r="G7" s="2361"/>
      <c r="H7" s="2362"/>
      <c r="I7" s="2363">
        <f t="shared" si="0"/>
        <v>0</v>
      </c>
    </row>
    <row r="8" spans="1:9">
      <c r="A8" s="4067"/>
      <c r="B8" s="4068" t="s">
        <v>2464</v>
      </c>
      <c r="C8" s="4068"/>
      <c r="D8" s="2360"/>
      <c r="E8" s="2358"/>
      <c r="F8" s="2361"/>
      <c r="G8" s="2361"/>
      <c r="H8" s="2362"/>
      <c r="I8" s="2363">
        <f t="shared" si="0"/>
        <v>0</v>
      </c>
    </row>
    <row r="9" spans="1:9">
      <c r="A9" s="4067"/>
      <c r="B9" s="4068" t="s">
        <v>2465</v>
      </c>
      <c r="C9" s="4068"/>
      <c r="D9" s="2360"/>
      <c r="E9" s="2358"/>
      <c r="F9" s="2361"/>
      <c r="G9" s="2361"/>
      <c r="H9" s="2362"/>
      <c r="I9" s="2363">
        <f t="shared" si="0"/>
        <v>0</v>
      </c>
    </row>
    <row r="10" spans="1:9">
      <c r="A10" s="4067"/>
      <c r="B10" s="4069" t="s">
        <v>2466</v>
      </c>
      <c r="C10" s="4069"/>
      <c r="D10" s="2364">
        <v>527</v>
      </c>
      <c r="E10" s="2364" t="e">
        <f>ROUND(D1*10000/D10/H9,0)</f>
        <v>#DIV/0!</v>
      </c>
      <c r="F10" s="2365"/>
      <c r="G10" s="2365"/>
      <c r="H10" s="2366"/>
      <c r="I10" s="2367">
        <f>SUM(I3:I9)</f>
        <v>0</v>
      </c>
    </row>
    <row r="11" spans="1:9" ht="14.25">
      <c r="A11" s="4067" t="s">
        <v>2467</v>
      </c>
      <c r="B11" s="4068" t="s">
        <v>2468</v>
      </c>
      <c r="C11" s="4068"/>
      <c r="D11" s="2360" t="s">
        <v>2469</v>
      </c>
      <c r="E11" s="2360" t="s">
        <v>2470</v>
      </c>
      <c r="F11" s="2361" t="s">
        <v>2471</v>
      </c>
      <c r="G11" s="2361" t="s">
        <v>2472</v>
      </c>
      <c r="H11" s="2368" t="s">
        <v>2473</v>
      </c>
      <c r="I11" s="2359" t="s">
        <v>2474</v>
      </c>
    </row>
    <row r="12" spans="1:9">
      <c r="A12" s="4067"/>
      <c r="B12" s="4068" t="s">
        <v>2475</v>
      </c>
      <c r="C12" s="4068"/>
      <c r="D12" s="2360"/>
      <c r="E12" s="2360"/>
      <c r="F12" s="2361"/>
      <c r="G12" s="2362"/>
      <c r="H12" s="2369"/>
      <c r="I12" s="2359">
        <f>ROUND(D12*E12*F12*G12/10000,0)</f>
        <v>0</v>
      </c>
    </row>
    <row r="13" spans="1:9">
      <c r="A13" s="4067"/>
      <c r="B13" s="4068" t="s">
        <v>2476</v>
      </c>
      <c r="C13" s="4068"/>
      <c r="D13" s="2360"/>
      <c r="E13" s="2360"/>
      <c r="F13" s="2361"/>
      <c r="G13" s="2362"/>
      <c r="H13" s="2369"/>
      <c r="I13" s="2359">
        <f>ROUND(D13*E13*F13*G13/10000,0)</f>
        <v>0</v>
      </c>
    </row>
    <row r="14" spans="1:9">
      <c r="A14" s="4067"/>
      <c r="B14" s="4068" t="s">
        <v>2477</v>
      </c>
      <c r="C14" s="4068"/>
      <c r="D14" s="2360"/>
      <c r="E14" s="2360"/>
      <c r="F14" s="2361"/>
      <c r="G14" s="2362"/>
      <c r="H14" s="2369"/>
      <c r="I14" s="2359">
        <f>ROUND(D14*E14*F14*G14/10000,0)</f>
        <v>0</v>
      </c>
    </row>
    <row r="15" spans="1:9">
      <c r="A15" s="4067"/>
      <c r="B15" s="4069" t="s">
        <v>2466</v>
      </c>
      <c r="C15" s="4069"/>
      <c r="D15" s="2364"/>
      <c r="E15" s="2364">
        <f>SUM(E12:E14)</f>
        <v>0</v>
      </c>
      <c r="F15" s="2365"/>
      <c r="G15" s="2362"/>
      <c r="H15" s="2369"/>
      <c r="I15" s="2370">
        <f>SUM(I12:I14)</f>
        <v>0</v>
      </c>
    </row>
    <row r="16" spans="1:9" ht="24">
      <c r="A16" s="4067" t="s">
        <v>2478</v>
      </c>
      <c r="B16" s="4068" t="s">
        <v>2479</v>
      </c>
      <c r="C16" s="4068"/>
      <c r="D16" s="2360" t="s">
        <v>2480</v>
      </c>
      <c r="E16" s="2371" t="s">
        <v>2481</v>
      </c>
      <c r="F16" s="2361" t="s">
        <v>2482</v>
      </c>
      <c r="G16" s="2362" t="s">
        <v>2472</v>
      </c>
      <c r="H16" s="2368" t="s">
        <v>2473</v>
      </c>
      <c r="I16" s="2359" t="s">
        <v>2474</v>
      </c>
    </row>
    <row r="17" spans="1:9" ht="14.25">
      <c r="A17" s="4067"/>
      <c r="B17" s="4068" t="s">
        <v>2483</v>
      </c>
      <c r="C17" s="4068"/>
      <c r="D17" s="2360"/>
      <c r="E17" s="2360"/>
      <c r="F17" s="2361"/>
      <c r="G17" s="2362"/>
      <c r="H17" s="2372"/>
      <c r="I17" s="2373">
        <f>ROUND(D17*E17*F17*G17/10000,0)</f>
        <v>0</v>
      </c>
    </row>
    <row r="18" spans="1:9" ht="14.25">
      <c r="A18" s="4067"/>
      <c r="B18" s="4068" t="s">
        <v>2484</v>
      </c>
      <c r="C18" s="4068"/>
      <c r="D18" s="2360"/>
      <c r="E18" s="2360"/>
      <c r="F18" s="2361"/>
      <c r="G18" s="2362"/>
      <c r="H18" s="2372"/>
      <c r="I18" s="2373">
        <f>ROUND(D18*E18*F18*G18/10000,0)</f>
        <v>0</v>
      </c>
    </row>
    <row r="19" spans="1:9" ht="14.25">
      <c r="A19" s="4067"/>
      <c r="B19" s="4068" t="s">
        <v>2485</v>
      </c>
      <c r="C19" s="4068"/>
      <c r="D19" s="2360"/>
      <c r="E19" s="2360"/>
      <c r="F19" s="2361"/>
      <c r="G19" s="2362"/>
      <c r="H19" s="2372"/>
      <c r="I19" s="2373">
        <f>ROUND(D19*E19*F19*G19/10000,0)</f>
        <v>0</v>
      </c>
    </row>
    <row r="20" spans="1:9">
      <c r="A20" s="4067"/>
      <c r="B20" s="4069" t="s">
        <v>2466</v>
      </c>
      <c r="C20" s="4069"/>
      <c r="D20" s="2364">
        <f>SUM(D17:D19)</f>
        <v>0</v>
      </c>
      <c r="E20" s="2364"/>
      <c r="F20" s="2365"/>
      <c r="G20" s="2362"/>
      <c r="H20" s="2369"/>
      <c r="I20" s="2370">
        <f>SUM(I17:I19)</f>
        <v>0</v>
      </c>
    </row>
    <row r="21" spans="1:9">
      <c r="A21" s="4067" t="s">
        <v>2486</v>
      </c>
      <c r="B21" s="4071"/>
      <c r="C21" s="4071"/>
      <c r="D21" s="4071"/>
      <c r="E21" s="4071"/>
      <c r="F21" s="4071"/>
      <c r="G21" s="4071"/>
      <c r="H21" s="2374">
        <v>0.1</v>
      </c>
      <c r="I21" s="2367">
        <f>ROUND(I10*H21,0)</f>
        <v>0</v>
      </c>
    </row>
    <row r="22" spans="1:9" ht="14.25">
      <c r="A22" s="4072" t="s">
        <v>2487</v>
      </c>
      <c r="B22" s="4073"/>
      <c r="C22" s="4074"/>
      <c r="D22" s="2375" t="s">
        <v>2488</v>
      </c>
      <c r="E22" s="2375" t="s">
        <v>2489</v>
      </c>
      <c r="F22" s="2376" t="s">
        <v>2490</v>
      </c>
      <c r="G22" s="2376" t="s">
        <v>2491</v>
      </c>
      <c r="H22" s="2368" t="s">
        <v>2492</v>
      </c>
      <c r="I22" s="2359" t="s">
        <v>2493</v>
      </c>
    </row>
    <row r="23" spans="1:9" ht="14.25" thickBot="1">
      <c r="A23" s="4075"/>
      <c r="B23" s="4076"/>
      <c r="C23" s="4077"/>
      <c r="D23" s="2377"/>
      <c r="E23" s="2377"/>
      <c r="F23" s="2377"/>
      <c r="G23" s="2378"/>
      <c r="H23" s="2379"/>
      <c r="I23" s="2380">
        <f>ROUND(E23*D23*F23*(1-G23)/10000,0)</f>
        <v>0</v>
      </c>
    </row>
    <row r="26" spans="1:9">
      <c r="A26" s="2381" t="s">
        <v>2494</v>
      </c>
      <c r="B26" s="2381"/>
      <c r="C26" s="2381"/>
      <c r="D26" s="2381"/>
      <c r="E26" s="4078">
        <f>C27-C30-C31-C32</f>
        <v>0</v>
      </c>
      <c r="F26" s="4078"/>
      <c r="G26" s="4078"/>
      <c r="H26" s="2754" t="s">
        <v>2820</v>
      </c>
    </row>
    <row r="27" spans="1:9">
      <c r="A27" s="2382">
        <v>1</v>
      </c>
      <c r="B27" s="2383" t="s">
        <v>2495</v>
      </c>
      <c r="C27" s="2383"/>
      <c r="D27" s="2383"/>
      <c r="E27" s="4079"/>
      <c r="F27" s="4079"/>
      <c r="G27" s="4079"/>
    </row>
    <row r="28" spans="1:9">
      <c r="A28" s="2384" t="s">
        <v>2496</v>
      </c>
      <c r="B28" s="2383" t="s">
        <v>2497</v>
      </c>
      <c r="C28" s="2383"/>
      <c r="D28" s="2383"/>
      <c r="E28" s="4079"/>
      <c r="F28" s="4079"/>
      <c r="G28" s="4079"/>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4070"/>
      <c r="F32" s="4070"/>
      <c r="G32" s="4070"/>
    </row>
    <row r="33" spans="1:7" hidden="1">
      <c r="A33" s="4080" t="s">
        <v>2505</v>
      </c>
      <c r="B33" s="4081"/>
      <c r="C33" s="4081"/>
      <c r="D33" s="4082"/>
      <c r="E33" s="4078"/>
      <c r="F33" s="4078"/>
      <c r="G33" s="4078"/>
    </row>
    <row r="34" spans="1:7" hidden="1">
      <c r="A34" s="2386">
        <v>1</v>
      </c>
      <c r="B34" s="2383" t="s">
        <v>2506</v>
      </c>
      <c r="C34" s="2383"/>
      <c r="D34" s="2383"/>
      <c r="E34" s="4079"/>
      <c r="F34" s="4079"/>
      <c r="G34" s="4079"/>
    </row>
    <row r="35" spans="1:7" hidden="1">
      <c r="A35" s="2386">
        <v>2</v>
      </c>
      <c r="B35" s="2383" t="s">
        <v>2507</v>
      </c>
      <c r="C35" s="2383"/>
      <c r="D35" s="2383"/>
      <c r="E35" s="4079"/>
      <c r="F35" s="4079"/>
      <c r="G35" s="4079"/>
    </row>
    <row r="36" spans="1:7" hidden="1">
      <c r="A36" s="2386">
        <v>3</v>
      </c>
      <c r="B36" s="2383" t="s">
        <v>2508</v>
      </c>
      <c r="C36" s="2383"/>
      <c r="D36" s="2383"/>
      <c r="E36" s="4079"/>
      <c r="F36" s="4079"/>
      <c r="G36" s="4079"/>
    </row>
    <row r="37" spans="1:7" hidden="1">
      <c r="A37" s="2386">
        <v>4</v>
      </c>
      <c r="B37" s="2383" t="s">
        <v>2509</v>
      </c>
      <c r="C37" s="2383"/>
      <c r="D37" s="2383"/>
      <c r="E37" s="4079"/>
      <c r="F37" s="4079"/>
      <c r="G37" s="4079"/>
    </row>
    <row r="38" spans="1:7" hidden="1">
      <c r="A38" s="4080" t="s">
        <v>2510</v>
      </c>
      <c r="B38" s="4081"/>
      <c r="C38" s="4081"/>
      <c r="D38" s="4082"/>
      <c r="E38" s="4078"/>
      <c r="F38" s="4078"/>
      <c r="G38" s="40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55"/>
      <c r="D2" s="3255"/>
      <c r="E2" s="3255"/>
      <c r="F2" s="3255"/>
      <c r="G2" s="3255"/>
    </row>
    <row r="3" spans="1:25" s="1940" customFormat="1" ht="18" customHeight="1">
      <c r="A3" s="1329" t="s">
        <v>1673</v>
      </c>
      <c r="B3" s="417" t="e">
        <f ca="1">ROUND(B2*10000/'数据-汇总表'!E3,0)</f>
        <v>#DIV/0!</v>
      </c>
      <c r="C3" s="3255"/>
      <c r="D3" s="3255"/>
      <c r="E3" s="3255"/>
      <c r="F3" s="3255"/>
      <c r="G3" s="3255"/>
    </row>
    <row r="4" spans="1:25" s="1940" customFormat="1" ht="18" customHeight="1">
      <c r="A4" s="418" t="s">
        <v>460</v>
      </c>
      <c r="B4" s="419" t="e">
        <f ca="1">ROUND(B2*10000/'数据-汇总表'!D3,0)</f>
        <v>#DIV/0!</v>
      </c>
      <c r="C4" s="3208"/>
      <c r="D4" s="3255"/>
      <c r="E4" s="3255"/>
      <c r="F4" s="3255"/>
      <c r="G4" s="3255"/>
    </row>
    <row r="5" spans="1:25" s="1940" customFormat="1" ht="18" customHeight="1" thickBot="1">
      <c r="A5" s="421"/>
      <c r="B5" s="422" t="e">
        <f ca="1">ROUND(B2/('数据-汇总表'!D3/666.67),0)</f>
        <v>#DIV/0!</v>
      </c>
      <c r="C5" s="423" t="s">
        <v>461</v>
      </c>
      <c r="D5" s="3255"/>
      <c r="E5" s="3255"/>
      <c r="F5" s="3255"/>
      <c r="G5" s="3255"/>
    </row>
    <row r="6" spans="1:25" s="2062" customFormat="1" ht="13.5" customHeight="1">
      <c r="A6" s="733"/>
      <c r="B6" s="734" t="s">
        <v>596</v>
      </c>
      <c r="C6" s="735" t="s">
        <v>597</v>
      </c>
      <c r="D6" s="735" t="s">
        <v>598</v>
      </c>
      <c r="E6" s="736" t="s">
        <v>599</v>
      </c>
      <c r="F6" s="736" t="s">
        <v>600</v>
      </c>
      <c r="G6" s="3254"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58">
        <f t="shared" ref="C8:C9" si="0">ROUND(D8*E8/10000,0)</f>
        <v>0</v>
      </c>
      <c r="D8" s="3258">
        <v>0</v>
      </c>
      <c r="E8" s="3259">
        <v>0</v>
      </c>
      <c r="F8" s="739"/>
      <c r="G8" s="740"/>
    </row>
    <row r="9" spans="1:25" s="2062" customFormat="1" ht="13.5" customHeight="1">
      <c r="A9" s="2321" t="s">
        <v>2421</v>
      </c>
      <c r="B9" s="2324" t="s">
        <v>2423</v>
      </c>
      <c r="C9" s="3258">
        <f t="shared" si="0"/>
        <v>0</v>
      </c>
      <c r="D9" s="3258">
        <v>0</v>
      </c>
      <c r="E9" s="3259">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2848</v>
      </c>
      <c r="D12" s="3258">
        <f>'数据-汇总表'!E5</f>
        <v>167500</v>
      </c>
      <c r="E12" s="3258">
        <f>'数据-取费表'!B27</f>
        <v>170</v>
      </c>
      <c r="F12" s="744"/>
      <c r="G12" s="747"/>
    </row>
    <row r="13" spans="1:25" s="2062" customFormat="1" ht="13.5" customHeight="1">
      <c r="A13" s="2327" t="s">
        <v>2427</v>
      </c>
      <c r="B13" s="745" t="s">
        <v>604</v>
      </c>
      <c r="C13" s="746">
        <f>ROUND(D13*E13/10000,0)</f>
        <v>12084</v>
      </c>
      <c r="D13" s="3258">
        <f>'数据-汇总表'!E6</f>
        <v>604200</v>
      </c>
      <c r="E13" s="3258">
        <f>'数据-取费表'!B28</f>
        <v>200</v>
      </c>
      <c r="F13" s="744"/>
      <c r="G13" s="747"/>
    </row>
    <row r="14" spans="1:25" s="2062" customFormat="1" ht="13.5" customHeight="1">
      <c r="A14" s="2321" t="s">
        <v>2421</v>
      </c>
      <c r="B14" s="2326" t="s">
        <v>2424</v>
      </c>
      <c r="C14" s="3260">
        <f t="shared" ref="C14:C15" si="1">ROUND(D14*E14/10000,0)</f>
        <v>0</v>
      </c>
      <c r="D14" s="3258">
        <v>0</v>
      </c>
      <c r="E14" s="3259">
        <v>0</v>
      </c>
      <c r="F14" s="2325"/>
      <c r="G14" s="2328" t="s">
        <v>2429</v>
      </c>
    </row>
    <row r="15" spans="1:25" s="2062" customFormat="1" ht="13.5" customHeight="1">
      <c r="A15" s="2321" t="s">
        <v>2426</v>
      </c>
      <c r="B15" s="2326" t="s">
        <v>2425</v>
      </c>
      <c r="C15" s="3260">
        <f t="shared" si="1"/>
        <v>0</v>
      </c>
      <c r="D15" s="3258">
        <v>0</v>
      </c>
      <c r="E15" s="3259">
        <v>0</v>
      </c>
      <c r="F15" s="2325"/>
      <c r="G15" s="2328" t="s">
        <v>2430</v>
      </c>
    </row>
    <row r="16" spans="1:25" s="2063" customFormat="1" ht="48">
      <c r="A16" s="2321">
        <v>3</v>
      </c>
      <c r="B16" s="737" t="s">
        <v>607</v>
      </c>
      <c r="C16" s="3260">
        <f t="shared" ref="C16" si="2">ROUND(D16*E16/10000,0)</f>
        <v>0</v>
      </c>
      <c r="D16" s="3258">
        <v>0</v>
      </c>
      <c r="E16" s="3259">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57" customFormat="1">
      <c r="A24" s="3256"/>
      <c r="D24" s="1882"/>
      <c r="E24" s="1882"/>
    </row>
    <row r="25" spans="1:25" s="3257" customFormat="1">
      <c r="A25" s="3256"/>
      <c r="D25" s="1882"/>
      <c r="E25" s="1882"/>
    </row>
    <row r="26" spans="1:25" s="3257" customFormat="1">
      <c r="A26" s="3256"/>
      <c r="D26" s="1882"/>
      <c r="E26" s="1882"/>
    </row>
    <row r="27" spans="1:25" s="3257" customFormat="1">
      <c r="A27" s="3256"/>
      <c r="D27" s="1882"/>
      <c r="E27" s="1882"/>
    </row>
    <row r="28" spans="1:25" s="3257" customFormat="1">
      <c r="A28" s="3256"/>
      <c r="D28" s="1882"/>
      <c r="E28" s="1882"/>
    </row>
    <row r="29" spans="1:25" s="3257" customFormat="1">
      <c r="A29" s="3256"/>
      <c r="D29" s="1882"/>
      <c r="E29" s="1882"/>
    </row>
    <row r="30" spans="1:25" s="3257" customFormat="1">
      <c r="A30" s="3256"/>
      <c r="D30" s="1882"/>
      <c r="E30" s="1882"/>
    </row>
    <row r="31" spans="1:25" s="3257" customFormat="1">
      <c r="A31" s="3256"/>
      <c r="D31" s="1882"/>
      <c r="E31" s="1882"/>
    </row>
    <row r="32" spans="1:25" s="3257" customFormat="1">
      <c r="A32" s="3256"/>
      <c r="D32" s="1882"/>
      <c r="E32" s="1882"/>
    </row>
    <row r="33" spans="1:5" s="3257" customFormat="1">
      <c r="A33" s="3256"/>
      <c r="D33" s="1882"/>
      <c r="E33" s="1882"/>
    </row>
    <row r="34" spans="1:5" s="3257" customFormat="1">
      <c r="A34" s="3256"/>
      <c r="D34" s="1882"/>
      <c r="E34" s="1882"/>
    </row>
    <row r="35" spans="1:5" s="3257" customFormat="1">
      <c r="A35" s="3256"/>
      <c r="D35" s="1882"/>
      <c r="E35" s="1882"/>
    </row>
    <row r="36" spans="1:5" s="3257" customFormat="1">
      <c r="A36" s="3256"/>
      <c r="D36" s="1882"/>
      <c r="E36" s="1882"/>
    </row>
    <row r="37" spans="1:5" s="3257" customFormat="1">
      <c r="A37" s="3256"/>
      <c r="D37" s="1882"/>
      <c r="E37" s="1882"/>
    </row>
    <row r="38" spans="1:5" s="3257" customFormat="1">
      <c r="A38" s="3256"/>
      <c r="D38" s="1882"/>
      <c r="E38" s="1882"/>
    </row>
    <row r="39" spans="1:5" s="3257" customFormat="1">
      <c r="A39" s="3256"/>
      <c r="D39" s="1882"/>
      <c r="E39" s="1882"/>
    </row>
    <row r="40" spans="1:5" s="3257" customFormat="1">
      <c r="A40" s="3256"/>
      <c r="D40" s="1882"/>
      <c r="E40" s="1882"/>
    </row>
    <row r="41" spans="1:5" s="3257" customFormat="1">
      <c r="A41" s="3256"/>
      <c r="D41" s="1882"/>
      <c r="E41" s="1882"/>
    </row>
    <row r="42" spans="1:5" s="3257" customFormat="1">
      <c r="A42" s="3256"/>
      <c r="D42" s="1882"/>
      <c r="E42" s="1882"/>
    </row>
    <row r="43" spans="1:5" s="3257" customFormat="1">
      <c r="A43" s="3256"/>
      <c r="D43" s="1882"/>
      <c r="E43" s="1882"/>
    </row>
    <row r="44" spans="1:5" s="3257" customFormat="1">
      <c r="A44" s="3256"/>
      <c r="D44" s="1882"/>
      <c r="E44" s="1882"/>
    </row>
    <row r="45" spans="1:5" s="3257" customFormat="1">
      <c r="A45" s="3256"/>
      <c r="D45" s="1882"/>
      <c r="E45" s="1882"/>
    </row>
    <row r="46" spans="1:5" s="3257" customFormat="1">
      <c r="A46" s="3256"/>
      <c r="D46" s="1882"/>
      <c r="E46" s="1882"/>
    </row>
    <row r="47" spans="1:5" s="3257" customFormat="1">
      <c r="A47" s="3256"/>
      <c r="D47" s="1882"/>
      <c r="E47" s="1882"/>
    </row>
    <row r="48" spans="1:5" s="3257" customFormat="1">
      <c r="A48" s="3256"/>
      <c r="D48" s="1882"/>
      <c r="E48" s="1882"/>
    </row>
    <row r="49" spans="1:5" s="3257" customFormat="1">
      <c r="A49" s="3256"/>
      <c r="D49" s="1882"/>
      <c r="E49" s="1882"/>
    </row>
    <row r="50" spans="1:5" s="3257" customFormat="1">
      <c r="A50" s="3256"/>
      <c r="D50" s="1882"/>
      <c r="E50" s="1882"/>
    </row>
    <row r="51" spans="1:5" s="3257" customFormat="1">
      <c r="A51" s="3256"/>
      <c r="D51" s="1882"/>
      <c r="E51" s="1882"/>
    </row>
    <row r="52" spans="1:5" s="3257" customFormat="1">
      <c r="A52" s="3256"/>
      <c r="D52" s="1882"/>
      <c r="E52" s="1882"/>
    </row>
    <row r="53" spans="1:5" s="3257" customFormat="1">
      <c r="A53" s="3256"/>
      <c r="D53" s="1882"/>
      <c r="E53" s="1882"/>
    </row>
    <row r="54" spans="1:5" s="3257" customFormat="1">
      <c r="A54" s="3256"/>
      <c r="D54" s="1882"/>
      <c r="E54" s="1882"/>
    </row>
    <row r="55" spans="1:5" s="3257" customFormat="1">
      <c r="A55" s="3256"/>
      <c r="D55" s="1882"/>
      <c r="E55" s="1882"/>
    </row>
    <row r="56" spans="1:5" s="3257" customFormat="1">
      <c r="A56" s="3256"/>
      <c r="D56" s="1882"/>
      <c r="E56" s="1882"/>
    </row>
    <row r="57" spans="1:5" s="3257" customFormat="1">
      <c r="A57" s="3256"/>
      <c r="D57" s="1882"/>
      <c r="E57" s="1882"/>
    </row>
    <row r="58" spans="1:5" s="3257" customFormat="1">
      <c r="A58" s="3256"/>
      <c r="D58" s="1882"/>
      <c r="E58" s="1882"/>
    </row>
    <row r="59" spans="1:5" s="3257" customFormat="1">
      <c r="A59" s="3256"/>
      <c r="D59" s="1882"/>
      <c r="E59" s="1882"/>
    </row>
    <row r="60" spans="1:5" s="3257" customFormat="1">
      <c r="A60" s="3256"/>
      <c r="D60" s="1882"/>
      <c r="E60" s="1882"/>
    </row>
    <row r="61" spans="1:5" s="3257" customFormat="1">
      <c r="A61" s="3256"/>
      <c r="D61" s="1882"/>
      <c r="E61" s="1882"/>
    </row>
    <row r="62" spans="1:5" s="3257" customFormat="1">
      <c r="A62" s="3256"/>
      <c r="D62" s="1882"/>
      <c r="E62" s="1882"/>
    </row>
    <row r="63" spans="1:5" s="3257" customFormat="1">
      <c r="A63" s="3256"/>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9" sqref="C9"/>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469797</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15551</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148029</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9869</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984846</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'不动产比较法-商业'!C48</f>
        <v>32600</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302100</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ROUND(C8*C9/10000,0)</f>
        <v>984846</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151050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4532</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6042</v>
      </c>
      <c r="D16" s="2559">
        <f ca="1">IF(B1="",'数据-汇总表'!E3,INDIRECT("'数据-取费表'!K"&amp;$K$1)+INDIRECT("'数据-取费表'!S"&amp;$K$1))</f>
        <v>302100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2266</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163890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453</v>
      </c>
      <c r="D19" s="2569">
        <f ca="1">D16</f>
        <v>302100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6042</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6042</v>
      </c>
      <c r="D22" s="2559">
        <f ca="1">IF(B1="",'数据-汇总表'!E6,IF(INDIRECT("'数据-取费表'!c"&amp;$K$1)="住宅",INDIRECT("'数据-取费表'!s"&amp;$K$1),INDIRECT("'数据-取费表'!k"&amp;$K$1)+INDIRECT("'数据-取费表'!s"&amp;$K$1)))</f>
        <v>302100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3408</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19697</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13949</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13949</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51587</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259026</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259026</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48373</v>
      </c>
      <c r="D33" s="459">
        <f ca="1">C34</f>
        <v>0.2576</v>
      </c>
      <c r="E33" s="461" t="s">
        <v>487</v>
      </c>
      <c r="F33" s="471">
        <f ca="1">IF(B1="",'数据-取费表'!Q16,INDIRECT("'数据-取费表'!q"&amp;$K$1))</f>
        <v>0.25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0.2576</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48373</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469797</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15551</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9" sqref="C9"/>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432787</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14326</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136368</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9091</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892313</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'不动产比较法-办公'!C49</f>
        <v>29537</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302100</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ROUND(C8*C9/10000,0)</f>
        <v>892313</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151050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4532</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6042</v>
      </c>
      <c r="D16" s="2559">
        <f ca="1">IF(B1="",'数据-汇总表'!E3,INDIRECT("'数据-取费表'!K"&amp;$K$1)+INDIRECT("'数据-取费表'!S"&amp;$K$1))</f>
        <v>302100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2266</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163890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453</v>
      </c>
      <c r="D19" s="2569">
        <f ca="1">D16</f>
        <v>302100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6042</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6042</v>
      </c>
      <c r="D22" s="2559">
        <f ca="1">IF(B1="",'数据-汇总表'!E6,IF(INDIRECT("'数据-取费表'!c"&amp;$K$1)="住宅",INDIRECT("'数据-取费表'!s"&amp;$K$1),INDIRECT("'数据-取费表'!k"&amp;$K$1)+INDIRECT("'数据-取费表'!s"&amp;$K$1)))</f>
        <v>302100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3408</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17846</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13815</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13815</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46740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252194</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252194</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38328</v>
      </c>
      <c r="D33" s="459">
        <f ca="1">C34</f>
        <v>0.20610000000000001</v>
      </c>
      <c r="E33" s="461" t="s">
        <v>487</v>
      </c>
      <c r="F33" s="471">
        <f ca="1">IF(B1="",'数据-取费表'!Q16,INDIRECT("'数据-取费表'!q"&amp;$K$1))</f>
        <v>0.2</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0.20610000000000001</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38328</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432787</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14326</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81070.11平方米。根据《建设工程规划许可证》[]、《出让合同》[]，估价对象规划建筑面积为771700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根据《国有土地使用证》[]，估价对象（分摊）出让国有建设用地使用权面积为81070.11平方米。根据《建设工程规划许可证》[]、《出让合同》[]，估价对象规划建筑面积为771700平方米。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tabSelected="1" view="pageBreakPreview" zoomScale="80" zoomScaleNormal="80" zoomScaleSheetLayoutView="80" workbookViewId="0">
      <selection activeCell="F27" sqref="F2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3228</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351713</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20998</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199876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13325</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797200</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3228</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'不动产比较法-商务办公'!C50</f>
        <v>47594</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SUMIF('数据-汇总表'!$C19:$C33,剩余法商务公寓!C7,'数据-汇总表'!$E19:$E33)</f>
        <v>167500</v>
      </c>
      <c r="D9" s="433">
        <f>SUMIF('数据-汇总表'!$C19:$C33,剩余法商务公寓!D7,'数据-汇总表'!$E19:$E33)</f>
        <v>0</v>
      </c>
      <c r="E9" s="433">
        <f>SUMIF('数据-汇总表'!$C19:$C33,剩余法商务公寓!E7,'数据-汇总表'!$E19:$E33)</f>
        <v>0</v>
      </c>
      <c r="F9" s="433">
        <f>SUMIF('数据-汇总表'!$C19:$C33,剩余法商务公寓!F7,'数据-汇总表'!$E19:$E33)</f>
        <v>0</v>
      </c>
      <c r="G9" s="433">
        <f>SUMIF('数据-汇总表'!$C19:$C33,剩余法商务公寓!G7,'数据-汇总表'!$E19:$E33)</f>
        <v>0</v>
      </c>
      <c r="H9" s="433">
        <f>SUMIF('数据-汇总表'!$C19:$C33,剩余法商务公寓!H7,'数据-汇总表'!$E19:$E33)</f>
        <v>0</v>
      </c>
      <c r="I9" s="433">
        <f>SUMIF('数据-汇总表'!$C19:$C33,剩余法商务公寓!I7,'数据-汇总表'!$E19:$E33)</f>
        <v>0</v>
      </c>
      <c r="J9" s="433">
        <f>SUMIF('数据-汇总表'!$C19:$C33,剩余法商务公寓!J7,'数据-汇总表'!$E19:$E33)</f>
        <v>0</v>
      </c>
      <c r="K9" s="434">
        <f>SUMIF('数据-汇总表'!$C19:$C33,剩余法商务公寓!K7,'数据-汇总表'!$E19:$E33)</f>
        <v>0</v>
      </c>
      <c r="AA9" s="1994"/>
      <c r="AB9" s="1994"/>
      <c r="AC9" s="1994"/>
      <c r="AD9" s="1994"/>
      <c r="AE9" s="1994"/>
    </row>
    <row r="10" spans="1:31" s="1995" customFormat="1" ht="13.5" customHeight="1" thickBot="1">
      <c r="A10" s="2551" t="s">
        <v>1835</v>
      </c>
      <c r="B10" s="2537" t="s">
        <v>466</v>
      </c>
      <c r="C10" s="2740">
        <f>ROUND(C8*C9/10000,0)</f>
        <v>797200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388" t="s">
        <v>468</v>
      </c>
      <c r="E12" s="3388" t="s">
        <v>469</v>
      </c>
      <c r="F12" s="3388"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100500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3015</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10050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3350</v>
      </c>
      <c r="D16" s="2559">
        <f ca="1">IF(B1="",'数据-汇总表'!E3,INDIRECT("'数据-取费表'!K"&amp;$K$1)+INDIRECT("'数据-取费表'!S"&amp;$K$1))</f>
        <v>167500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1508</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118423</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388">
        <f ca="1">ROUND(D19*E19/10000,0)</f>
        <v>251</v>
      </c>
      <c r="D19" s="2569">
        <f ca="1">D16</f>
        <v>167500</v>
      </c>
      <c r="E19" s="3388">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388">
        <f ca="1">C21+C22-IF(B1="",'数据-取费表'!B29,IF(G20="已全部缴纳",C21+C22,H20))</f>
        <v>2848</v>
      </c>
      <c r="D20" s="2569"/>
      <c r="E20" s="3388"/>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2848</v>
      </c>
      <c r="D21" s="2559">
        <f ca="1">IF(B1="",'数据-汇总表'!E5,IF(INDIRECT("'数据-取费表'!c"&amp;$K$1)="住宅",INDIRECT("'数据-取费表'!k"&amp;$K$1),0))</f>
        <v>167500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3646</v>
      </c>
      <c r="D23" s="460"/>
      <c r="E23" s="460"/>
      <c r="F23" s="4152">
        <v>0.03</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23916</v>
      </c>
      <c r="D24" s="467"/>
      <c r="E24" s="465"/>
      <c r="F24" s="4152">
        <v>0.03</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10747</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10747</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41758</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201589</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201589</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52179</v>
      </c>
      <c r="D33" s="459">
        <f ca="1">C34</f>
        <v>0.36070000000000002</v>
      </c>
      <c r="E33" s="461" t="s">
        <v>487</v>
      </c>
      <c r="F33" s="471">
        <f ca="1">IF(B1="",'数据-取费表'!Q16,INDIRECT("'数据-取费表'!q"&amp;$K$1))</f>
        <v>0.35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0.36070000000000002</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52179</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351713</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20998</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B2" zoomScale="80" zoomScaleNormal="60" zoomScaleSheetLayoutView="80" workbookViewId="0">
      <selection activeCell="K18" sqref="K18"/>
    </sheetView>
  </sheetViews>
  <sheetFormatPr defaultColWidth="9" defaultRowHeight="14.25"/>
  <cols>
    <col min="1" max="1" width="10.5" style="3424" customWidth="1"/>
    <col min="2" max="2" width="15.75" style="3424" customWidth="1"/>
    <col min="3" max="3" width="16.7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757"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3204</v>
      </c>
      <c r="C1" s="3396" t="s">
        <v>3173</v>
      </c>
      <c r="D1" s="3719" t="s">
        <v>1665</v>
      </c>
      <c r="E1" s="3398"/>
      <c r="F1" s="3399"/>
      <c r="G1" s="3400" t="s">
        <v>3174</v>
      </c>
      <c r="H1" s="3398"/>
      <c r="I1" s="3398"/>
      <c r="J1" s="3398"/>
      <c r="K1" s="3401"/>
      <c r="L1" s="3402"/>
      <c r="M1" s="3403"/>
      <c r="N1" s="3403"/>
      <c r="O1" s="3403"/>
      <c r="P1" s="3720"/>
      <c r="Q1" s="3404"/>
      <c r="R1" s="3404"/>
      <c r="S1" s="3404"/>
      <c r="T1" s="3404"/>
      <c r="U1" s="3404"/>
      <c r="V1" s="3404"/>
      <c r="W1" s="3404"/>
      <c r="X1" s="3404"/>
      <c r="Y1" s="3404"/>
      <c r="Z1" s="3404"/>
      <c r="AA1" s="3404"/>
      <c r="AB1" s="3404"/>
      <c r="AC1" s="3405"/>
    </row>
    <row r="2" spans="1:29" s="3406" customFormat="1" ht="28.5" customHeight="1">
      <c r="A2" s="3407" t="s">
        <v>3175</v>
      </c>
      <c r="B2" s="3408">
        <f>ROUND(B3*D3/10000,0)</f>
        <v>1437815</v>
      </c>
      <c r="C2" s="3409"/>
      <c r="D2" s="3409"/>
      <c r="E2" s="3405"/>
      <c r="F2" s="3410"/>
      <c r="G2" s="3411"/>
      <c r="H2" s="3411"/>
      <c r="I2" s="3411"/>
      <c r="J2" s="3411"/>
      <c r="K2" s="3411"/>
      <c r="L2" s="3412"/>
      <c r="M2" s="3404"/>
      <c r="N2" s="3404"/>
      <c r="O2" s="3404"/>
      <c r="P2" s="3720"/>
      <c r="Q2" s="3404"/>
      <c r="R2" s="3404"/>
      <c r="S2" s="3404"/>
      <c r="T2" s="3404"/>
      <c r="U2" s="3404"/>
      <c r="V2" s="3404"/>
      <c r="W2" s="3404"/>
      <c r="X2" s="3404"/>
      <c r="Y2" s="3404"/>
      <c r="Z2" s="3404"/>
      <c r="AA2" s="3404"/>
      <c r="AB2" s="3404"/>
      <c r="AC2" s="3405"/>
    </row>
    <row r="3" spans="1:29" s="3406" customFormat="1" ht="28.5" customHeight="1" thickBot="1">
      <c r="A3" s="3413" t="s">
        <v>3176</v>
      </c>
      <c r="B3" s="3414">
        <f>C50</f>
        <v>47594</v>
      </c>
      <c r="C3" s="3415" t="s">
        <v>3177</v>
      </c>
      <c r="D3" s="3416">
        <f>SUMIF('数据-汇总表'!$C19:$C33,D1,'数据-汇总表'!$E19:$E33)</f>
        <v>302100</v>
      </c>
      <c r="E3" s="3405"/>
      <c r="F3" s="3410"/>
      <c r="G3" s="3411"/>
      <c r="H3" s="3411"/>
      <c r="I3" s="3411"/>
      <c r="J3" s="3411"/>
      <c r="K3" s="3417"/>
      <c r="L3" s="3412"/>
      <c r="M3" s="3404"/>
      <c r="N3" s="3404"/>
      <c r="O3" s="3404"/>
      <c r="P3" s="3720"/>
      <c r="Q3" s="3404"/>
      <c r="R3" s="3404"/>
      <c r="S3" s="3404"/>
      <c r="T3" s="3404"/>
      <c r="U3" s="3404"/>
      <c r="V3" s="3404"/>
      <c r="W3" s="3404"/>
      <c r="X3" s="3404"/>
      <c r="Y3" s="3404"/>
      <c r="Z3" s="3404"/>
      <c r="AA3" s="3404"/>
      <c r="AB3" s="3404"/>
      <c r="AC3" s="3405"/>
    </row>
    <row r="4" spans="1:29" ht="15">
      <c r="A4" s="3418" t="s">
        <v>513</v>
      </c>
      <c r="B4" s="3419"/>
      <c r="C4" s="4086" t="s">
        <v>514</v>
      </c>
      <c r="D4" s="4087"/>
      <c r="E4" s="4088" t="s">
        <v>515</v>
      </c>
      <c r="F4" s="4089"/>
      <c r="G4" s="4086" t="s">
        <v>516</v>
      </c>
      <c r="H4" s="4087"/>
      <c r="I4" s="4086" t="s">
        <v>517</v>
      </c>
      <c r="J4" s="4087"/>
      <c r="K4" s="3420" t="s">
        <v>518</v>
      </c>
      <c r="L4" s="3421"/>
      <c r="M4" s="3422"/>
      <c r="N4" s="3422"/>
      <c r="O4" s="3422"/>
      <c r="P4" s="4090" t="s">
        <v>519</v>
      </c>
      <c r="Q4" s="4091"/>
      <c r="R4" s="4096" t="s">
        <v>515</v>
      </c>
      <c r="S4" s="4097"/>
      <c r="T4" s="4096" t="s">
        <v>516</v>
      </c>
      <c r="U4" s="4097"/>
      <c r="V4" s="4111" t="s">
        <v>517</v>
      </c>
      <c r="W4" s="4111"/>
      <c r="X4" s="3423"/>
      <c r="Y4" s="4096" t="s">
        <v>519</v>
      </c>
      <c r="Z4" s="4097"/>
      <c r="AA4" s="4083" t="s">
        <v>515</v>
      </c>
      <c r="AB4" s="4083" t="s">
        <v>516</v>
      </c>
      <c r="AC4" s="4083" t="s">
        <v>517</v>
      </c>
    </row>
    <row r="5" spans="1:29" ht="15">
      <c r="A5" s="3425"/>
      <c r="B5" s="3426"/>
      <c r="C5" s="4100" t="s">
        <v>2892</v>
      </c>
      <c r="D5" s="4101"/>
      <c r="E5" s="4102" t="str">
        <f>'公寓案例截图及地图 '!$A$2</f>
        <v>复地时代中心</v>
      </c>
      <c r="F5" s="4103"/>
      <c r="G5" s="4104" t="str">
        <f>'公寓案例截图及地图 '!$A$37</f>
        <v>通州富力中心</v>
      </c>
      <c r="H5" s="4101"/>
      <c r="I5" s="4100" t="str">
        <f>'公寓案例截图及地图 '!$A$73</f>
        <v>合景中心</v>
      </c>
      <c r="J5" s="4101"/>
      <c r="K5" s="3420"/>
      <c r="L5" s="3421"/>
      <c r="M5" s="3422"/>
      <c r="N5" s="3422"/>
      <c r="O5" s="3422"/>
      <c r="P5" s="4092"/>
      <c r="Q5" s="4093"/>
      <c r="R5" s="4098"/>
      <c r="S5" s="4099"/>
      <c r="T5" s="4098"/>
      <c r="U5" s="4099"/>
      <c r="V5" s="4111"/>
      <c r="W5" s="4111"/>
      <c r="X5" s="3423"/>
      <c r="Y5" s="4098"/>
      <c r="Z5" s="4099"/>
      <c r="AA5" s="4084"/>
      <c r="AB5" s="4084"/>
      <c r="AC5" s="4084"/>
    </row>
    <row r="6" spans="1:29" ht="15.75" thickBot="1">
      <c r="A6" s="3427"/>
      <c r="B6" s="3428"/>
      <c r="C6" s="4105" t="s">
        <v>2896</v>
      </c>
      <c r="D6" s="4106"/>
      <c r="E6" s="4107" t="s">
        <v>2896</v>
      </c>
      <c r="F6" s="4108"/>
      <c r="G6" s="4105" t="s">
        <v>2896</v>
      </c>
      <c r="H6" s="4106"/>
      <c r="I6" s="4105" t="s">
        <v>2896</v>
      </c>
      <c r="J6" s="4106"/>
      <c r="K6" s="3420" t="s">
        <v>520</v>
      </c>
      <c r="L6" s="3421"/>
      <c r="M6" s="3422"/>
      <c r="N6" s="3422"/>
      <c r="O6" s="3422"/>
      <c r="P6" s="4094"/>
      <c r="Q6" s="4095"/>
      <c r="R6" s="4098"/>
      <c r="S6" s="4099"/>
      <c r="T6" s="4109"/>
      <c r="U6" s="4110"/>
      <c r="V6" s="4111"/>
      <c r="W6" s="4111"/>
      <c r="X6" s="3423"/>
      <c r="Y6" s="4109"/>
      <c r="Z6" s="4110"/>
      <c r="AA6" s="4085"/>
      <c r="AB6" s="4085"/>
      <c r="AC6" s="4085"/>
    </row>
    <row r="7" spans="1:29" s="3442" customFormat="1" ht="15.75" thickBot="1">
      <c r="A7" s="3429"/>
      <c r="B7" s="3430" t="s">
        <v>521</v>
      </c>
      <c r="C7" s="3431">
        <f>'[3]数据-取费表'!B2</f>
        <v>44498</v>
      </c>
      <c r="D7" s="3432">
        <v>100</v>
      </c>
      <c r="E7" s="3433">
        <v>44470</v>
      </c>
      <c r="F7" s="3434">
        <f>SUMIF(59:59,YEAR(E7)&amp;"-"&amp;MONTH(E7),60:60)</f>
        <v>100</v>
      </c>
      <c r="G7" s="3433">
        <v>44470</v>
      </c>
      <c r="H7" s="3432">
        <f>SUMIF(59:59,YEAR(G7)&amp;"-"&amp;MONTH(G7),60:60)</f>
        <v>100</v>
      </c>
      <c r="I7" s="3433">
        <v>44440</v>
      </c>
      <c r="J7" s="3432">
        <f>SUMIF(59:59,YEAR(I7)&amp;"-"&amp;MONTH(I7),60:60)</f>
        <v>100</v>
      </c>
      <c r="K7" s="3435"/>
      <c r="L7" s="3436"/>
      <c r="M7" s="3437"/>
      <c r="N7" s="3437"/>
      <c r="O7" s="3437"/>
      <c r="P7" s="4112" t="s">
        <v>522</v>
      </c>
      <c r="Q7" s="4112"/>
      <c r="R7" s="3438" t="s">
        <v>8</v>
      </c>
      <c r="S7" s="3439">
        <f t="shared" ref="S7:S15" si="0">F7</f>
        <v>100</v>
      </c>
      <c r="T7" s="3438" t="s">
        <v>8</v>
      </c>
      <c r="U7" s="3439">
        <f t="shared" ref="U7:U15" si="1">H7</f>
        <v>100</v>
      </c>
      <c r="V7" s="3438" t="s">
        <v>8</v>
      </c>
      <c r="W7" s="3439">
        <f t="shared" ref="W7:W15" si="2">J7</f>
        <v>100</v>
      </c>
      <c r="X7" s="3440"/>
      <c r="Y7" s="4114" t="s">
        <v>522</v>
      </c>
      <c r="Z7" s="4113"/>
      <c r="AA7" s="3441">
        <f>D7/F7</f>
        <v>1</v>
      </c>
      <c r="AB7" s="3441">
        <f>D7/H7</f>
        <v>1</v>
      </c>
      <c r="AC7" s="3441">
        <f>D7/J7</f>
        <v>1</v>
      </c>
    </row>
    <row r="8" spans="1:29" s="3442" customFormat="1" ht="15.75" thickBot="1">
      <c r="A8" s="3443"/>
      <c r="B8" s="3444" t="s">
        <v>523</v>
      </c>
      <c r="C8" s="3445" t="s">
        <v>3178</v>
      </c>
      <c r="D8" s="3432">
        <v>100</v>
      </c>
      <c r="E8" s="3445" t="s">
        <v>3066</v>
      </c>
      <c r="F8" s="3434">
        <f>SUMIF(62:62,E8,63:63)-SUMIF(62:62,C8,63:63)+100</f>
        <v>100</v>
      </c>
      <c r="G8" s="3445" t="s">
        <v>3066</v>
      </c>
      <c r="H8" s="3432">
        <f>SUMIF(62:62,G8,63:63)-SUMIF(62:62,C8,63:63)+100</f>
        <v>100</v>
      </c>
      <c r="I8" s="3445" t="s">
        <v>3066</v>
      </c>
      <c r="J8" s="3432">
        <f>SUMIF(62:62,I8,63:63)-SUMIF(62:62,C8,63:63)+100</f>
        <v>100</v>
      </c>
      <c r="K8" s="3435"/>
      <c r="L8" s="3436"/>
      <c r="M8" s="3437"/>
      <c r="N8" s="3437"/>
      <c r="O8" s="3437"/>
      <c r="P8" s="4112" t="s">
        <v>525</v>
      </c>
      <c r="Q8" s="4113"/>
      <c r="R8" s="3438" t="s">
        <v>8</v>
      </c>
      <c r="S8" s="3439">
        <f t="shared" si="0"/>
        <v>100</v>
      </c>
      <c r="T8" s="3438" t="s">
        <v>8</v>
      </c>
      <c r="U8" s="3439">
        <f t="shared" si="1"/>
        <v>100</v>
      </c>
      <c r="V8" s="3438" t="s">
        <v>8</v>
      </c>
      <c r="W8" s="3439">
        <f t="shared" si="2"/>
        <v>100</v>
      </c>
      <c r="X8" s="3440"/>
      <c r="Y8" s="4114" t="s">
        <v>525</v>
      </c>
      <c r="Z8" s="4113"/>
      <c r="AA8" s="3441">
        <f t="shared" ref="AA8:AA47" si="3">D8/F8</f>
        <v>1</v>
      </c>
      <c r="AB8" s="3441">
        <f t="shared" ref="AB8:AB47" si="4">D8/H8</f>
        <v>1</v>
      </c>
      <c r="AC8" s="3441">
        <f t="shared" ref="AC8:AC47" si="5">D8/J8</f>
        <v>1</v>
      </c>
    </row>
    <row r="9" spans="1:29" s="3442" customFormat="1" ht="15">
      <c r="A9" s="3446"/>
      <c r="B9" s="3447" t="s">
        <v>2734</v>
      </c>
      <c r="C9" s="3448"/>
      <c r="D9" s="3449">
        <v>100</v>
      </c>
      <c r="E9" s="3450"/>
      <c r="F9" s="3449">
        <f>SUMIF(64:64,E9,65:65)-SUMIF(64:64,C9,65:65)+100</f>
        <v>100</v>
      </c>
      <c r="G9" s="3451"/>
      <c r="H9" s="3449">
        <f>SUMIF(64:64,G9,65:65)-SUMIF(64:64,C9,65:65)+100</f>
        <v>100</v>
      </c>
      <c r="I9" s="3451"/>
      <c r="J9" s="3449">
        <f>SUMIF(64:64,I9,65:65)-SUMIF(64:64,C9,65:65)+100</f>
        <v>100</v>
      </c>
      <c r="K9" s="3435"/>
      <c r="L9" s="3436"/>
      <c r="M9" s="3437"/>
      <c r="N9" s="3437"/>
      <c r="O9" s="3437"/>
      <c r="P9" s="4115" t="s">
        <v>527</v>
      </c>
      <c r="Q9" s="3453" t="str">
        <f t="shared" ref="Q9:Q15" si="6">B9</f>
        <v>用途</v>
      </c>
      <c r="R9" s="3438" t="s">
        <v>8</v>
      </c>
      <c r="S9" s="3439">
        <f t="shared" si="0"/>
        <v>100</v>
      </c>
      <c r="T9" s="3438" t="s">
        <v>8</v>
      </c>
      <c r="U9" s="3439">
        <f t="shared" si="1"/>
        <v>100</v>
      </c>
      <c r="V9" s="3438" t="s">
        <v>8</v>
      </c>
      <c r="W9" s="3439">
        <f t="shared" si="2"/>
        <v>100</v>
      </c>
      <c r="X9" s="3440"/>
      <c r="Y9" s="4116" t="s">
        <v>528</v>
      </c>
      <c r="Z9" s="3441" t="str">
        <f t="shared" ref="Z9:Z15" si="7">Q9</f>
        <v>用途</v>
      </c>
      <c r="AA9" s="3441">
        <f t="shared" si="3"/>
        <v>1</v>
      </c>
      <c r="AB9" s="3441">
        <f t="shared" si="4"/>
        <v>1</v>
      </c>
      <c r="AC9" s="3441">
        <f t="shared" si="5"/>
        <v>1</v>
      </c>
    </row>
    <row r="10" spans="1:29" s="3462" customFormat="1" ht="27">
      <c r="A10" s="3454"/>
      <c r="B10" s="3444" t="s">
        <v>2735</v>
      </c>
      <c r="C10" s="3455" t="s">
        <v>3130</v>
      </c>
      <c r="D10" s="3456">
        <v>100</v>
      </c>
      <c r="E10" s="3455" t="s">
        <v>3124</v>
      </c>
      <c r="F10" s="3456">
        <f>SUMIF(66:66,E10,67:67)-SUMIF(66:66,C10,67:67)+100</f>
        <v>99.5</v>
      </c>
      <c r="G10" s="3457" t="s">
        <v>3130</v>
      </c>
      <c r="H10" s="3456">
        <f>SUMIF(66:66,G10,67:67)-SUMIF(66:66,C10,67:67)+100</f>
        <v>100</v>
      </c>
      <c r="I10" s="3455" t="s">
        <v>3124</v>
      </c>
      <c r="J10" s="3456">
        <f>SUMIF(66:66,I10,67:67)-SUMIF(66:66,C10,67:67)+100</f>
        <v>99.5</v>
      </c>
      <c r="K10" s="3458">
        <v>0.5</v>
      </c>
      <c r="L10" s="3459"/>
      <c r="M10" s="3460"/>
      <c r="N10" s="3460"/>
      <c r="O10" s="3460"/>
      <c r="P10" s="4115"/>
      <c r="Q10" s="3453" t="str">
        <f t="shared" si="6"/>
        <v>土地使用年限（年）</v>
      </c>
      <c r="R10" s="3438" t="s">
        <v>8</v>
      </c>
      <c r="S10" s="3439">
        <f t="shared" si="0"/>
        <v>99.5</v>
      </c>
      <c r="T10" s="3438" t="s">
        <v>8</v>
      </c>
      <c r="U10" s="3439">
        <f t="shared" si="1"/>
        <v>100</v>
      </c>
      <c r="V10" s="3438" t="s">
        <v>8</v>
      </c>
      <c r="W10" s="3439">
        <f t="shared" si="2"/>
        <v>99.5</v>
      </c>
      <c r="X10" s="3440"/>
      <c r="Y10" s="4116"/>
      <c r="Z10" s="3441" t="str">
        <f t="shared" si="7"/>
        <v>土地使用年限（年）</v>
      </c>
      <c r="AA10" s="3441">
        <f t="shared" si="3"/>
        <v>1.0050251256281406</v>
      </c>
      <c r="AB10" s="3441">
        <f t="shared" si="4"/>
        <v>1</v>
      </c>
      <c r="AC10" s="3441">
        <f t="shared" si="5"/>
        <v>1.0050251256281406</v>
      </c>
    </row>
    <row r="11" spans="1:29" ht="15">
      <c r="A11" s="3463"/>
      <c r="B11" s="3444" t="s">
        <v>2736</v>
      </c>
      <c r="C11" s="3464">
        <f>'[2]4个单元汇总表'!$L$6</f>
        <v>5.79</v>
      </c>
      <c r="D11" s="3456">
        <v>100</v>
      </c>
      <c r="E11" s="3464">
        <v>1.8</v>
      </c>
      <c r="F11" s="3456">
        <f>LOOKUP(E11,69:69,70:70)-LOOKUP(C11,69:69,70:70)+100</f>
        <v>100.39999999999998</v>
      </c>
      <c r="G11" s="3465">
        <v>1.8</v>
      </c>
      <c r="H11" s="3456">
        <f>LOOKUP(G11,69:69,70:70)-LOOKUP(C11,69:69,70:70)+100</f>
        <v>100.39999999999998</v>
      </c>
      <c r="I11" s="3464">
        <v>1.8</v>
      </c>
      <c r="J11" s="3456">
        <f>LOOKUP(I11,69:69,70:70)-LOOKUP(C11,69:69,70:70)+100</f>
        <v>100.39999999999998</v>
      </c>
      <c r="K11" s="3458">
        <v>0.1</v>
      </c>
      <c r="L11" s="3466"/>
      <c r="M11" s="3422"/>
      <c r="N11" s="3422"/>
      <c r="O11" s="3422"/>
      <c r="P11" s="4115"/>
      <c r="Q11" s="3453" t="str">
        <f t="shared" si="6"/>
        <v>容积率</v>
      </c>
      <c r="R11" s="3438" t="s">
        <v>8</v>
      </c>
      <c r="S11" s="3439">
        <f t="shared" si="0"/>
        <v>100.39999999999998</v>
      </c>
      <c r="T11" s="3438" t="s">
        <v>8</v>
      </c>
      <c r="U11" s="3439">
        <f t="shared" si="1"/>
        <v>100.39999999999998</v>
      </c>
      <c r="V11" s="3438" t="s">
        <v>8</v>
      </c>
      <c r="W11" s="3439">
        <f t="shared" si="2"/>
        <v>100.39999999999998</v>
      </c>
      <c r="X11" s="3440"/>
      <c r="Y11" s="4116"/>
      <c r="Z11" s="3441" t="str">
        <f t="shared" si="7"/>
        <v>容积率</v>
      </c>
      <c r="AA11" s="3441">
        <f t="shared" si="3"/>
        <v>0.99601593625498031</v>
      </c>
      <c r="AB11" s="3441">
        <f t="shared" si="4"/>
        <v>0.99601593625498031</v>
      </c>
      <c r="AC11" s="3441">
        <f t="shared" si="5"/>
        <v>0.99601593625498031</v>
      </c>
    </row>
    <row r="12" spans="1:29" s="3442" customFormat="1" ht="15">
      <c r="A12" s="3468"/>
      <c r="B12" s="3469">
        <v>111</v>
      </c>
      <c r="C12" s="3470"/>
      <c r="D12" s="3471">
        <v>100</v>
      </c>
      <c r="E12" s="3470"/>
      <c r="F12" s="3456">
        <f>SUMIF(71:71,E12,72:72)-SUMIF(71:71,C12,72:72)+100</f>
        <v>100</v>
      </c>
      <c r="G12" s="3721"/>
      <c r="H12" s="3456">
        <f>SUMIF(71:71,G12,72:72)-SUMIF(71:71,C12,72:72)+100</f>
        <v>100</v>
      </c>
      <c r="I12" s="3470"/>
      <c r="J12" s="3456">
        <f>SUMIF(71:71,I12,72:72)-SUMIF(71:71,C12,72:72)+100</f>
        <v>100</v>
      </c>
      <c r="K12" s="3474"/>
      <c r="L12" s="3436"/>
      <c r="M12" s="3437"/>
      <c r="N12" s="3437"/>
      <c r="O12" s="3437"/>
      <c r="P12" s="4115"/>
      <c r="Q12" s="3453">
        <f t="shared" si="6"/>
        <v>111</v>
      </c>
      <c r="R12" s="3438" t="s">
        <v>8</v>
      </c>
      <c r="S12" s="3439">
        <f t="shared" si="0"/>
        <v>100</v>
      </c>
      <c r="T12" s="3438" t="s">
        <v>8</v>
      </c>
      <c r="U12" s="3439">
        <f t="shared" si="1"/>
        <v>100</v>
      </c>
      <c r="V12" s="3438" t="s">
        <v>8</v>
      </c>
      <c r="W12" s="3439">
        <f t="shared" si="2"/>
        <v>100</v>
      </c>
      <c r="X12" s="3440"/>
      <c r="Y12" s="4116"/>
      <c r="Z12" s="3441">
        <f t="shared" si="7"/>
        <v>111</v>
      </c>
      <c r="AA12" s="3441">
        <f>D12/F12</f>
        <v>1</v>
      </c>
      <c r="AB12" s="3441">
        <f>D12/H12</f>
        <v>1</v>
      </c>
      <c r="AC12" s="3441">
        <f>D12/J12</f>
        <v>1</v>
      </c>
    </row>
    <row r="13" spans="1:29" ht="15">
      <c r="A13" s="3468"/>
      <c r="B13" s="3469">
        <v>111</v>
      </c>
      <c r="C13" s="3472"/>
      <c r="D13" s="3475">
        <v>100</v>
      </c>
      <c r="E13" s="3470"/>
      <c r="F13" s="3456">
        <f>SUMIF(73:73,E13,74:74)-SUMIF(73:73,C13,74:74)+100</f>
        <v>100</v>
      </c>
      <c r="G13" s="3721"/>
      <c r="H13" s="3475">
        <f>SUMIF(73:73,G13,74:74)-SUMIF(73:73,C13,74:74)+100</f>
        <v>100</v>
      </c>
      <c r="I13" s="3470"/>
      <c r="J13" s="3475">
        <f>SUMIF(73:73,I13,74:74)-SUMIF(73:73,C13,74:74)+100</f>
        <v>100</v>
      </c>
      <c r="K13" s="3474"/>
      <c r="L13" s="3476"/>
      <c r="M13" s="3422"/>
      <c r="N13" s="3422"/>
      <c r="O13" s="3422"/>
      <c r="P13" s="4115"/>
      <c r="Q13" s="3453">
        <f t="shared" si="6"/>
        <v>111</v>
      </c>
      <c r="R13" s="3438" t="s">
        <v>8</v>
      </c>
      <c r="S13" s="3439">
        <f t="shared" si="0"/>
        <v>100</v>
      </c>
      <c r="T13" s="3438" t="s">
        <v>8</v>
      </c>
      <c r="U13" s="3439">
        <f t="shared" si="1"/>
        <v>100</v>
      </c>
      <c r="V13" s="3438" t="s">
        <v>8</v>
      </c>
      <c r="W13" s="3439">
        <f t="shared" si="2"/>
        <v>100</v>
      </c>
      <c r="X13" s="3440"/>
      <c r="Y13" s="4116"/>
      <c r="Z13" s="3441">
        <f t="shared" si="7"/>
        <v>111</v>
      </c>
      <c r="AA13" s="3441">
        <f t="shared" si="3"/>
        <v>1</v>
      </c>
      <c r="AB13" s="3441">
        <f t="shared" si="4"/>
        <v>1</v>
      </c>
      <c r="AC13" s="3441">
        <f t="shared" si="5"/>
        <v>1</v>
      </c>
    </row>
    <row r="14" spans="1:29" ht="15.75" thickBot="1">
      <c r="A14" s="3477"/>
      <c r="B14" s="3478">
        <v>111</v>
      </c>
      <c r="C14" s="3479"/>
      <c r="D14" s="3480">
        <v>100</v>
      </c>
      <c r="E14" s="3722"/>
      <c r="F14" s="3480">
        <f>SUMIF(75:75,E14,76:76)-SUMIF(75:75,C14,76:76)+100</f>
        <v>100</v>
      </c>
      <c r="G14" s="3721"/>
      <c r="H14" s="3480">
        <f>SUMIF(75:75,G14,76:76)-SUMIF(75:75,C14,76:76)+100</f>
        <v>100</v>
      </c>
      <c r="I14" s="3470"/>
      <c r="J14" s="3480">
        <f>SUMIF(75:75,I14,76:76)-SUMIF(75:75,C14,76:76)+100</f>
        <v>100</v>
      </c>
      <c r="K14" s="3474"/>
      <c r="L14" s="3476"/>
      <c r="M14" s="3422"/>
      <c r="N14" s="3422"/>
      <c r="O14" s="3422"/>
      <c r="P14" s="4115"/>
      <c r="Q14" s="3453">
        <f t="shared" si="6"/>
        <v>111</v>
      </c>
      <c r="R14" s="3438" t="s">
        <v>8</v>
      </c>
      <c r="S14" s="3439">
        <f t="shared" si="0"/>
        <v>100</v>
      </c>
      <c r="T14" s="3438" t="s">
        <v>8</v>
      </c>
      <c r="U14" s="3439">
        <f t="shared" si="1"/>
        <v>100</v>
      </c>
      <c r="V14" s="3438" t="s">
        <v>8</v>
      </c>
      <c r="W14" s="3439">
        <f t="shared" si="2"/>
        <v>100</v>
      </c>
      <c r="X14" s="3440"/>
      <c r="Y14" s="4116"/>
      <c r="Z14" s="3441">
        <f t="shared" si="7"/>
        <v>111</v>
      </c>
      <c r="AA14" s="3441">
        <f t="shared" si="3"/>
        <v>1</v>
      </c>
      <c r="AB14" s="3441">
        <f t="shared" si="4"/>
        <v>1</v>
      </c>
      <c r="AC14" s="3441">
        <f t="shared" si="5"/>
        <v>1</v>
      </c>
    </row>
    <row r="15" spans="1:29" ht="71.25">
      <c r="A15" s="3481" t="s">
        <v>3179</v>
      </c>
      <c r="B15" s="3723" t="s">
        <v>577</v>
      </c>
      <c r="C15" s="3724" t="str">
        <f>[3]估价对象房地状况!C5</f>
        <v>估价对象位于XX商圈，周边办公楼项目较多，入驻率高，办公集聚程度较好</v>
      </c>
      <c r="D15" s="3484">
        <v>100</v>
      </c>
      <c r="E15" s="3487"/>
      <c r="F15" s="3484">
        <f>SUMIF(77:77,E16,78:78)-SUMIF(77:77,C16,78:78)+100</f>
        <v>97</v>
      </c>
      <c r="G15" s="3485"/>
      <c r="H15" s="3484">
        <f>SUMIF(77:77,G16,78:78)-SUMIF(77:77,C16,78:78)+100</f>
        <v>97</v>
      </c>
      <c r="I15" s="3485"/>
      <c r="J15" s="3484">
        <f>SUMIF(77:77,I16,78:78)-SUMIF(77:77,C16,78:78)+100</f>
        <v>97</v>
      </c>
      <c r="K15" s="3488">
        <v>3</v>
      </c>
      <c r="L15" s="3476"/>
      <c r="M15" s="3422"/>
      <c r="N15" s="3422"/>
      <c r="O15" s="3422"/>
      <c r="P15" s="4117" t="s">
        <v>532</v>
      </c>
      <c r="Q15" s="3489" t="str">
        <f t="shared" si="6"/>
        <v>办公集聚程度</v>
      </c>
      <c r="R15" s="3490" t="s">
        <v>8</v>
      </c>
      <c r="S15" s="3491">
        <f t="shared" si="0"/>
        <v>97</v>
      </c>
      <c r="T15" s="3490" t="s">
        <v>8</v>
      </c>
      <c r="U15" s="3491">
        <f t="shared" si="1"/>
        <v>97</v>
      </c>
      <c r="V15" s="3490" t="s">
        <v>8</v>
      </c>
      <c r="W15" s="3491">
        <f t="shared" si="2"/>
        <v>97</v>
      </c>
      <c r="X15" s="3423"/>
      <c r="Y15" s="4117" t="s">
        <v>532</v>
      </c>
      <c r="Z15" s="3492" t="str">
        <f t="shared" si="7"/>
        <v>办公集聚程度</v>
      </c>
      <c r="AA15" s="3492">
        <f t="shared" si="3"/>
        <v>1.0309278350515463</v>
      </c>
      <c r="AB15" s="3492">
        <f t="shared" si="4"/>
        <v>1.0309278350515463</v>
      </c>
      <c r="AC15" s="3492">
        <f t="shared" si="5"/>
        <v>1.0309278350515463</v>
      </c>
    </row>
    <row r="16" spans="1:29" ht="15">
      <c r="A16" s="3493"/>
      <c r="B16" s="3725"/>
      <c r="C16" s="3726" t="s">
        <v>3071</v>
      </c>
      <c r="D16" s="3496"/>
      <c r="E16" s="3495" t="s">
        <v>3070</v>
      </c>
      <c r="F16" s="3496"/>
      <c r="G16" s="3726" t="s">
        <v>3070</v>
      </c>
      <c r="H16" s="3498"/>
      <c r="I16" s="3495" t="s">
        <v>3070</v>
      </c>
      <c r="J16" s="3496"/>
      <c r="K16" s="3499"/>
      <c r="L16" s="3476"/>
      <c r="M16" s="3422"/>
      <c r="N16" s="3422"/>
      <c r="O16" s="3422"/>
      <c r="P16" s="4118"/>
      <c r="Q16" s="3489"/>
      <c r="R16" s="3490"/>
      <c r="S16" s="3491"/>
      <c r="T16" s="3490"/>
      <c r="U16" s="3491"/>
      <c r="V16" s="3490"/>
      <c r="W16" s="3491"/>
      <c r="X16" s="3423"/>
      <c r="Y16" s="4118"/>
      <c r="Z16" s="3492"/>
      <c r="AA16" s="3492">
        <v>1</v>
      </c>
      <c r="AB16" s="3492">
        <v>1</v>
      </c>
      <c r="AC16" s="3492">
        <v>1</v>
      </c>
    </row>
    <row r="17" spans="1:29" ht="71.25">
      <c r="A17" s="3493"/>
      <c r="B17" s="3727" t="s">
        <v>294</v>
      </c>
      <c r="C17" s="3728" t="str">
        <f>[3]估价对象房地状况!C6</f>
        <v>估价对象周边道路状况、公共交通通达情况、停车便捷程度，综合评价交通便捷度较好</v>
      </c>
      <c r="D17" s="3498">
        <v>100</v>
      </c>
      <c r="E17" s="3504"/>
      <c r="F17" s="3498">
        <f>SUMIF(79:79,E18,80:80)-SUMIF(79:79,C18,80:80)+100</f>
        <v>105</v>
      </c>
      <c r="G17" s="3502"/>
      <c r="H17" s="3505">
        <f>SUMIF(79:79,G18,80:80)-SUMIF(79:79,C18,80:80)+100</f>
        <v>110</v>
      </c>
      <c r="I17" s="3502"/>
      <c r="J17" s="3505">
        <f>SUMIF(79:79,I18,80:80)-SUMIF(79:79,C18,80:80)+100</f>
        <v>105</v>
      </c>
      <c r="K17" s="3488">
        <v>5</v>
      </c>
      <c r="L17" s="3476"/>
      <c r="M17" s="3422"/>
      <c r="N17" s="3422"/>
      <c r="O17" s="3422"/>
      <c r="P17" s="4118"/>
      <c r="Q17" s="3489" t="str">
        <f>B17</f>
        <v>交通便捷度</v>
      </c>
      <c r="R17" s="3490" t="s">
        <v>8</v>
      </c>
      <c r="S17" s="3491">
        <f>F17</f>
        <v>105</v>
      </c>
      <c r="T17" s="3490" t="s">
        <v>8</v>
      </c>
      <c r="U17" s="3491">
        <f>H17</f>
        <v>110</v>
      </c>
      <c r="V17" s="3490" t="s">
        <v>8</v>
      </c>
      <c r="W17" s="3491">
        <f>J17</f>
        <v>105</v>
      </c>
      <c r="X17" s="3423"/>
      <c r="Y17" s="4118"/>
      <c r="Z17" s="3492" t="str">
        <f>Q17</f>
        <v>交通便捷度</v>
      </c>
      <c r="AA17" s="3492">
        <f t="shared" si="3"/>
        <v>0.95238095238095233</v>
      </c>
      <c r="AB17" s="3492">
        <f t="shared" si="4"/>
        <v>0.90909090909090906</v>
      </c>
      <c r="AC17" s="3492">
        <f t="shared" si="5"/>
        <v>0.95238095238095233</v>
      </c>
    </row>
    <row r="18" spans="1:29" ht="15">
      <c r="A18" s="3493"/>
      <c r="B18" s="3526"/>
      <c r="C18" s="3729" t="s">
        <v>3070</v>
      </c>
      <c r="D18" s="3498"/>
      <c r="E18" s="3509" t="s">
        <v>3071</v>
      </c>
      <c r="F18" s="3498"/>
      <c r="G18" s="3508" t="s">
        <v>3077</v>
      </c>
      <c r="H18" s="3496"/>
      <c r="I18" s="3508" t="s">
        <v>3071</v>
      </c>
      <c r="J18" s="3496"/>
      <c r="K18" s="3499"/>
      <c r="L18" s="3476"/>
      <c r="M18" s="3422"/>
      <c r="N18" s="3422"/>
      <c r="O18" s="3422"/>
      <c r="P18" s="4118"/>
      <c r="Q18" s="3489"/>
      <c r="R18" s="3490"/>
      <c r="S18" s="3491"/>
      <c r="T18" s="3490"/>
      <c r="U18" s="3491"/>
      <c r="V18" s="3490"/>
      <c r="W18" s="3491"/>
      <c r="X18" s="3423"/>
      <c r="Y18" s="4118"/>
      <c r="Z18" s="3492"/>
      <c r="AA18" s="3492">
        <v>1</v>
      </c>
      <c r="AB18" s="3492">
        <v>1</v>
      </c>
      <c r="AC18" s="3492">
        <v>1</v>
      </c>
    </row>
    <row r="19" spans="1:29" ht="42.75">
      <c r="A19" s="3493"/>
      <c r="B19" s="3730" t="s">
        <v>2302</v>
      </c>
      <c r="C19" s="3728" t="str">
        <f>[3]估价对象房地状况!C7</f>
        <v>估价对象所在区域公共配套设施齐备情况</v>
      </c>
      <c r="D19" s="3505">
        <v>100</v>
      </c>
      <c r="E19" s="3513"/>
      <c r="F19" s="3505">
        <f>SUMIF(81:81,E20,82:82)-SUMIF(81:81,C20,82:82)+100</f>
        <v>100</v>
      </c>
      <c r="G19" s="3511"/>
      <c r="H19" s="3498">
        <f>SUMIF(81:81,G20,82:82)-SUMIF(81:81,C20,82:82)+100</f>
        <v>100</v>
      </c>
      <c r="I19" s="3511"/>
      <c r="J19" s="3498">
        <f>SUMIF(81:81,I20,82:82)-SUMIF(81:81,C20,82:82)+100</f>
        <v>100</v>
      </c>
      <c r="K19" s="3488">
        <v>1</v>
      </c>
      <c r="L19" s="3476"/>
      <c r="M19" s="3422"/>
      <c r="N19" s="3422"/>
      <c r="O19" s="3422"/>
      <c r="P19" s="4118"/>
      <c r="Q19" s="3489" t="str">
        <f>B19</f>
        <v>公共配套设施</v>
      </c>
      <c r="R19" s="3490" t="s">
        <v>8</v>
      </c>
      <c r="S19" s="3491">
        <f>F19</f>
        <v>100</v>
      </c>
      <c r="T19" s="3490" t="s">
        <v>8</v>
      </c>
      <c r="U19" s="3491">
        <f>H19</f>
        <v>100</v>
      </c>
      <c r="V19" s="3490" t="s">
        <v>8</v>
      </c>
      <c r="W19" s="3491">
        <f>J19</f>
        <v>100</v>
      </c>
      <c r="X19" s="3423"/>
      <c r="Y19" s="4118"/>
      <c r="Z19" s="3492" t="str">
        <f>Q19</f>
        <v>公共配套设施</v>
      </c>
      <c r="AA19" s="3492">
        <f t="shared" si="3"/>
        <v>1</v>
      </c>
      <c r="AB19" s="3492">
        <f t="shared" si="4"/>
        <v>1</v>
      </c>
      <c r="AC19" s="3492">
        <f t="shared" si="5"/>
        <v>1</v>
      </c>
    </row>
    <row r="20" spans="1:29" ht="15">
      <c r="A20" s="3493"/>
      <c r="B20" s="3526"/>
      <c r="C20" s="3726" t="s">
        <v>3071</v>
      </c>
      <c r="D20" s="3496"/>
      <c r="E20" s="3515" t="s">
        <v>3071</v>
      </c>
      <c r="F20" s="3496"/>
      <c r="G20" s="3514" t="s">
        <v>3071</v>
      </c>
      <c r="H20" s="3496"/>
      <c r="I20" s="3514" t="s">
        <v>3071</v>
      </c>
      <c r="J20" s="3496"/>
      <c r="K20" s="3499"/>
      <c r="L20" s="3476"/>
      <c r="M20" s="3422"/>
      <c r="N20" s="3422"/>
      <c r="O20" s="3422"/>
      <c r="P20" s="4118"/>
      <c r="Q20" s="3489"/>
      <c r="R20" s="3490"/>
      <c r="S20" s="3491"/>
      <c r="T20" s="3490"/>
      <c r="U20" s="3491"/>
      <c r="V20" s="3490"/>
      <c r="W20" s="3491"/>
      <c r="X20" s="3423"/>
      <c r="Y20" s="4118"/>
      <c r="Z20" s="3492"/>
      <c r="AA20" s="3492">
        <v>1</v>
      </c>
      <c r="AB20" s="3492">
        <v>1</v>
      </c>
      <c r="AC20" s="3492">
        <v>1</v>
      </c>
    </row>
    <row r="21" spans="1:29" ht="28.5">
      <c r="A21" s="3493"/>
      <c r="B21" s="3731" t="s">
        <v>3180</v>
      </c>
      <c r="C21" s="3728" t="str">
        <f>[3]估价对象房地状况!C8</f>
        <v>估价对象所在区域基础设施水平</v>
      </c>
      <c r="D21" s="3505">
        <v>100</v>
      </c>
      <c r="E21" s="3513"/>
      <c r="F21" s="3505">
        <f>SUMIF(83:83,E22,84:84)-SUMIF(83:83,C22,84:84)+100</f>
        <v>100</v>
      </c>
      <c r="G21" s="3511"/>
      <c r="H21" s="3505">
        <f>SUMIF(83:83,G22,84:84)-SUMIF(83:83,C22,84:84)+100</f>
        <v>100</v>
      </c>
      <c r="I21" s="3511"/>
      <c r="J21" s="3505">
        <f>SUMIF(83:83,I22,84:84)-SUMIF(83:83,C22,84:84)+100</f>
        <v>100</v>
      </c>
      <c r="K21" s="3488">
        <v>1</v>
      </c>
      <c r="L21" s="3476"/>
      <c r="M21" s="3422"/>
      <c r="N21" s="3422"/>
      <c r="O21" s="3422"/>
      <c r="P21" s="4118"/>
      <c r="Q21" s="3489" t="str">
        <f>B21</f>
        <v>基础设施水平</v>
      </c>
      <c r="R21" s="3490" t="s">
        <v>8</v>
      </c>
      <c r="S21" s="3491">
        <f>F21</f>
        <v>100</v>
      </c>
      <c r="T21" s="3490" t="s">
        <v>8</v>
      </c>
      <c r="U21" s="3491">
        <f>H21</f>
        <v>100</v>
      </c>
      <c r="V21" s="3490" t="s">
        <v>8</v>
      </c>
      <c r="W21" s="3491">
        <f>J21</f>
        <v>100</v>
      </c>
      <c r="X21" s="3423"/>
      <c r="Y21" s="4118"/>
      <c r="Z21" s="3492" t="str">
        <f>Q21</f>
        <v>基础设施水平</v>
      </c>
      <c r="AA21" s="3492">
        <f t="shared" ref="AA21" si="8">D21/F21</f>
        <v>1</v>
      </c>
      <c r="AB21" s="3492">
        <f t="shared" ref="AB21" si="9">D21/H21</f>
        <v>1</v>
      </c>
      <c r="AC21" s="3492">
        <f t="shared" ref="AC21" si="10">D21/J21</f>
        <v>1</v>
      </c>
    </row>
    <row r="22" spans="1:29" ht="15">
      <c r="A22" s="3493"/>
      <c r="B22" s="3732"/>
      <c r="C22" s="3729" t="s">
        <v>3078</v>
      </c>
      <c r="D22" s="3496"/>
      <c r="E22" s="3495" t="s">
        <v>3078</v>
      </c>
      <c r="F22" s="3496"/>
      <c r="G22" s="3726" t="s">
        <v>3078</v>
      </c>
      <c r="H22" s="3496"/>
      <c r="I22" s="3726" t="s">
        <v>3078</v>
      </c>
      <c r="J22" s="3496"/>
      <c r="K22" s="3518"/>
      <c r="L22" s="3476"/>
      <c r="M22" s="3422"/>
      <c r="N22" s="3422"/>
      <c r="O22" s="3422"/>
      <c r="P22" s="4118"/>
      <c r="Q22" s="3489"/>
      <c r="R22" s="3490"/>
      <c r="S22" s="3491"/>
      <c r="T22" s="3490"/>
      <c r="U22" s="3491"/>
      <c r="V22" s="3490"/>
      <c r="W22" s="3491"/>
      <c r="X22" s="3423"/>
      <c r="Y22" s="4118"/>
      <c r="Z22" s="3492"/>
      <c r="AA22" s="3492">
        <v>1</v>
      </c>
      <c r="AB22" s="3492">
        <v>1</v>
      </c>
      <c r="AC22" s="3492">
        <v>1</v>
      </c>
    </row>
    <row r="23" spans="1:29" ht="42.75">
      <c r="A23" s="3493"/>
      <c r="B23" s="3727" t="s">
        <v>776</v>
      </c>
      <c r="C23" s="3728" t="str">
        <f>[3]估价对象房地状况!C9</f>
        <v>区域自然环境：；人文环境；综合评价环境状况一般</v>
      </c>
      <c r="D23" s="3498">
        <v>100</v>
      </c>
      <c r="E23" s="3504"/>
      <c r="F23" s="3498">
        <f>SUMIF(85:85,E24,86:86)-SUMIF(85:85,C24,86:86)+100</f>
        <v>100</v>
      </c>
      <c r="G23" s="3502"/>
      <c r="H23" s="3498">
        <f>SUMIF(85:85,G24,86:86)-SUMIF(85:85,C24,86:86)+100</f>
        <v>99</v>
      </c>
      <c r="I23" s="3502"/>
      <c r="J23" s="3498">
        <f>SUMIF(85:85,I24,86:86)-SUMIF(85:85,C24,86:86)+100</f>
        <v>99</v>
      </c>
      <c r="K23" s="3488">
        <v>1</v>
      </c>
      <c r="L23" s="3476"/>
      <c r="M23" s="3422"/>
      <c r="N23" s="3422"/>
      <c r="O23" s="3422"/>
      <c r="P23" s="4118"/>
      <c r="Q23" s="3489" t="str">
        <f>B23</f>
        <v>环境质量</v>
      </c>
      <c r="R23" s="3490" t="s">
        <v>8</v>
      </c>
      <c r="S23" s="3491">
        <f>F23</f>
        <v>100</v>
      </c>
      <c r="T23" s="3490" t="s">
        <v>8</v>
      </c>
      <c r="U23" s="3491">
        <f>H23</f>
        <v>99</v>
      </c>
      <c r="V23" s="3490" t="s">
        <v>8</v>
      </c>
      <c r="W23" s="3491">
        <f>J23</f>
        <v>99</v>
      </c>
      <c r="X23" s="3423"/>
      <c r="Y23" s="4118"/>
      <c r="Z23" s="3492" t="str">
        <f>Q23</f>
        <v>环境质量</v>
      </c>
      <c r="AA23" s="3492">
        <f t="shared" si="3"/>
        <v>1</v>
      </c>
      <c r="AB23" s="3492">
        <f t="shared" si="4"/>
        <v>1.0101010101010102</v>
      </c>
      <c r="AC23" s="3492">
        <f t="shared" si="5"/>
        <v>1.0101010101010102</v>
      </c>
    </row>
    <row r="24" spans="1:29" ht="15">
      <c r="A24" s="3493"/>
      <c r="B24" s="3732"/>
      <c r="C24" s="3726" t="s">
        <v>3077</v>
      </c>
      <c r="D24" s="3496"/>
      <c r="E24" s="3515" t="s">
        <v>3077</v>
      </c>
      <c r="F24" s="3496"/>
      <c r="G24" s="3514" t="s">
        <v>3071</v>
      </c>
      <c r="H24" s="3496"/>
      <c r="I24" s="3514" t="s">
        <v>3071</v>
      </c>
      <c r="J24" s="3496"/>
      <c r="K24" s="3499"/>
      <c r="L24" s="3476"/>
      <c r="M24" s="3422"/>
      <c r="N24" s="3422"/>
      <c r="O24" s="3422"/>
      <c r="P24" s="4118"/>
      <c r="Q24" s="3489"/>
      <c r="R24" s="3490"/>
      <c r="S24" s="3491"/>
      <c r="T24" s="3490"/>
      <c r="U24" s="3491"/>
      <c r="V24" s="3490"/>
      <c r="W24" s="3491"/>
      <c r="X24" s="3423"/>
      <c r="Y24" s="4118"/>
      <c r="Z24" s="3492"/>
      <c r="AA24" s="3492">
        <v>1</v>
      </c>
      <c r="AB24" s="3492">
        <v>1</v>
      </c>
      <c r="AC24" s="3492">
        <v>1</v>
      </c>
    </row>
    <row r="25" spans="1:29" ht="27.75">
      <c r="A25" s="3425"/>
      <c r="B25" s="3727" t="s">
        <v>777</v>
      </c>
      <c r="C25" s="3473" t="s">
        <v>3207</v>
      </c>
      <c r="D25" s="3475">
        <v>100</v>
      </c>
      <c r="E25" s="3472" t="s">
        <v>3236</v>
      </c>
      <c r="F25" s="3475">
        <f>SUMIF(87:87,E26,88:88)-SUMIF(87:87,C26,88:88)+100</f>
        <v>99</v>
      </c>
      <c r="G25" s="3472" t="s">
        <v>3209</v>
      </c>
      <c r="H25" s="3475">
        <f>SUMIF(87:87,G26,88:88)-SUMIF(87:87,C26,88:88)+100</f>
        <v>100</v>
      </c>
      <c r="I25" s="3472" t="s">
        <v>3210</v>
      </c>
      <c r="J25" s="3475">
        <f>SUMIF(87:87,I26,88:88)-SUMIF(87:87,C26,88:88)+100</f>
        <v>101</v>
      </c>
      <c r="K25" s="3488">
        <v>1</v>
      </c>
      <c r="L25" s="3476"/>
      <c r="M25" s="3422"/>
      <c r="N25" s="3422"/>
      <c r="O25" s="3422"/>
      <c r="P25" s="4118"/>
      <c r="Q25" s="3489" t="str">
        <f>B25</f>
        <v>毗邻道路的类型与等级</v>
      </c>
      <c r="R25" s="3490" t="s">
        <v>8</v>
      </c>
      <c r="S25" s="3491">
        <f>F25</f>
        <v>99</v>
      </c>
      <c r="T25" s="3490" t="s">
        <v>8</v>
      </c>
      <c r="U25" s="3491">
        <f>H25</f>
        <v>100</v>
      </c>
      <c r="V25" s="3490" t="s">
        <v>8</v>
      </c>
      <c r="W25" s="3491">
        <f>J25</f>
        <v>101</v>
      </c>
      <c r="X25" s="3423"/>
      <c r="Y25" s="4118"/>
      <c r="Z25" s="3492" t="str">
        <f>Q25</f>
        <v>毗邻道路的类型与等级</v>
      </c>
      <c r="AA25" s="3492">
        <f t="shared" si="3"/>
        <v>1.0101010101010102</v>
      </c>
      <c r="AB25" s="3492">
        <f t="shared" si="4"/>
        <v>1</v>
      </c>
      <c r="AC25" s="3492">
        <f t="shared" si="5"/>
        <v>0.99009900990099009</v>
      </c>
    </row>
    <row r="26" spans="1:29" ht="15">
      <c r="A26" s="3425"/>
      <c r="B26" s="3526"/>
      <c r="C26" s="3733" t="s">
        <v>3083</v>
      </c>
      <c r="D26" s="3475"/>
      <c r="E26" s="3521" t="s">
        <v>3235</v>
      </c>
      <c r="F26" s="3475"/>
      <c r="G26" s="3733" t="s">
        <v>3083</v>
      </c>
      <c r="H26" s="3475"/>
      <c r="I26" s="3521" t="s">
        <v>3081</v>
      </c>
      <c r="J26" s="3475"/>
      <c r="K26" s="3499"/>
      <c r="L26" s="3476"/>
      <c r="M26" s="3422"/>
      <c r="N26" s="3422"/>
      <c r="O26" s="3422"/>
      <c r="P26" s="4118"/>
      <c r="Q26" s="3489"/>
      <c r="R26" s="3490"/>
      <c r="S26" s="3491"/>
      <c r="T26" s="3490"/>
      <c r="U26" s="3491"/>
      <c r="V26" s="3490"/>
      <c r="W26" s="3491"/>
      <c r="X26" s="3423"/>
      <c r="Y26" s="4118"/>
      <c r="Z26" s="3492"/>
      <c r="AA26" s="3492">
        <v>1</v>
      </c>
      <c r="AB26" s="3492">
        <v>1</v>
      </c>
      <c r="AC26" s="3492">
        <v>1</v>
      </c>
    </row>
    <row r="27" spans="1:29" ht="15">
      <c r="A27" s="3493"/>
      <c r="B27" s="3526" t="s">
        <v>737</v>
      </c>
      <c r="C27" s="3733" t="s">
        <v>3211</v>
      </c>
      <c r="D27" s="3475">
        <v>100</v>
      </c>
      <c r="E27" s="3521" t="s">
        <v>3211</v>
      </c>
      <c r="F27" s="3475">
        <f>SUMIF(89:89,E27,90:90)-SUMIF(89:89,C27,90:90)+100</f>
        <v>100</v>
      </c>
      <c r="G27" s="3733" t="s">
        <v>3211</v>
      </c>
      <c r="H27" s="3475">
        <f>SUMIF(89:89,G27,90:90)-SUMIF(89:89,C27,90:90)+100</f>
        <v>100</v>
      </c>
      <c r="I27" s="3521" t="s">
        <v>3212</v>
      </c>
      <c r="J27" s="3475">
        <f>SUMIF(89:89,I27,90:90)-SUMIF(89:89,C27,90:90)+100</f>
        <v>102</v>
      </c>
      <c r="K27" s="3458">
        <v>1</v>
      </c>
      <c r="L27" s="3476"/>
      <c r="M27" s="3422"/>
      <c r="N27" s="3422"/>
      <c r="O27" s="3422"/>
      <c r="P27" s="4118"/>
      <c r="Q27" s="3489" t="str">
        <f t="shared" ref="Q27:Q47" si="11">B27</f>
        <v>楼层</v>
      </c>
      <c r="R27" s="3490" t="s">
        <v>8</v>
      </c>
      <c r="S27" s="3491">
        <f>F27</f>
        <v>100</v>
      </c>
      <c r="T27" s="3490" t="s">
        <v>8</v>
      </c>
      <c r="U27" s="3491">
        <f>H27</f>
        <v>100</v>
      </c>
      <c r="V27" s="3490" t="s">
        <v>8</v>
      </c>
      <c r="W27" s="3491">
        <f>J27</f>
        <v>102</v>
      </c>
      <c r="X27" s="3423"/>
      <c r="Y27" s="4118"/>
      <c r="Z27" s="3492" t="str">
        <f>Q27</f>
        <v>楼层</v>
      </c>
      <c r="AA27" s="3492">
        <f t="shared" si="3"/>
        <v>1</v>
      </c>
      <c r="AB27" s="3492">
        <f t="shared" si="4"/>
        <v>1</v>
      </c>
      <c r="AC27" s="3492">
        <f t="shared" si="5"/>
        <v>0.98039215686274506</v>
      </c>
    </row>
    <row r="28" spans="1:29" s="3442" customFormat="1" ht="15">
      <c r="A28" s="3524"/>
      <c r="B28" s="3727" t="s">
        <v>738</v>
      </c>
      <c r="C28" s="3734"/>
      <c r="D28" s="3526">
        <v>100</v>
      </c>
      <c r="E28" s="3525"/>
      <c r="F28" s="3526">
        <f>SUMIF(91:91,E28,92:92)-SUMIF(91:91,C28,92:92)+100</f>
        <v>100</v>
      </c>
      <c r="G28" s="3734"/>
      <c r="H28" s="3526">
        <f>SUMIF(91:91,G28,92:92)-SUMIF(91:91,C28,92:92)+100</f>
        <v>100</v>
      </c>
      <c r="I28" s="3525"/>
      <c r="J28" s="3526">
        <f>SUMIF(91:91,I28,92:92)-SUMIF(91:91,C28,92:92)+100</f>
        <v>100</v>
      </c>
      <c r="K28" s="3458"/>
      <c r="L28" s="3436"/>
      <c r="M28" s="3437"/>
      <c r="N28" s="3437"/>
      <c r="O28" s="3437"/>
      <c r="P28" s="4118"/>
      <c r="Q28" s="3453" t="str">
        <f t="shared" si="11"/>
        <v>朝向</v>
      </c>
      <c r="R28" s="3438" t="s">
        <v>8</v>
      </c>
      <c r="S28" s="3439">
        <f>F28</f>
        <v>100</v>
      </c>
      <c r="T28" s="3438" t="s">
        <v>8</v>
      </c>
      <c r="U28" s="3439">
        <f>H28</f>
        <v>100</v>
      </c>
      <c r="V28" s="3438" t="s">
        <v>8</v>
      </c>
      <c r="W28" s="3439">
        <f>J28</f>
        <v>100</v>
      </c>
      <c r="X28" s="3440"/>
      <c r="Y28" s="4118"/>
      <c r="Z28" s="3441" t="str">
        <f>Q28</f>
        <v>朝向</v>
      </c>
      <c r="AA28" s="3492">
        <f>D28/F28</f>
        <v>1</v>
      </c>
      <c r="AB28" s="3492">
        <f>D28/H28</f>
        <v>1</v>
      </c>
      <c r="AC28" s="3492">
        <f>D28/J28</f>
        <v>1</v>
      </c>
    </row>
    <row r="29" spans="1:29" ht="15">
      <c r="A29" s="3493"/>
      <c r="B29" s="3735">
        <v>111</v>
      </c>
      <c r="C29" s="3473"/>
      <c r="D29" s="3475">
        <v>100</v>
      </c>
      <c r="E29" s="3470"/>
      <c r="F29" s="3475">
        <f>SUMIF(93:93,E29,94:94)-SUMIF(93:93,C29,94:94)+100</f>
        <v>100</v>
      </c>
      <c r="G29" s="3721"/>
      <c r="H29" s="3475">
        <f>SUMIF(93:93,G29,94:94)-SUMIF(93:93,C29,94:94)+100</f>
        <v>100</v>
      </c>
      <c r="I29" s="3470"/>
      <c r="J29" s="3475">
        <f>SUMIF(93:93,I29,94:94)-SUMIF(93:93,C29,94:94)+100</f>
        <v>100</v>
      </c>
      <c r="K29" s="3474"/>
      <c r="L29" s="3476"/>
      <c r="M29" s="3422"/>
      <c r="N29" s="3422"/>
      <c r="O29" s="3422"/>
      <c r="P29" s="4118"/>
      <c r="Q29" s="3489">
        <f t="shared" si="11"/>
        <v>111</v>
      </c>
      <c r="R29" s="3490" t="s">
        <v>8</v>
      </c>
      <c r="S29" s="3491">
        <f t="shared" ref="S29:S47" si="12">F29</f>
        <v>100</v>
      </c>
      <c r="T29" s="3490" t="s">
        <v>8</v>
      </c>
      <c r="U29" s="3491">
        <f t="shared" ref="U29:U47" si="13">H29</f>
        <v>100</v>
      </c>
      <c r="V29" s="3490" t="s">
        <v>8</v>
      </c>
      <c r="W29" s="3491">
        <f t="shared" ref="W29:W47" si="14">J29</f>
        <v>100</v>
      </c>
      <c r="X29" s="3423"/>
      <c r="Y29" s="4118"/>
      <c r="Z29" s="3492">
        <f t="shared" ref="Z29:Z47" si="15">Q29</f>
        <v>111</v>
      </c>
      <c r="AA29" s="3492">
        <f t="shared" si="3"/>
        <v>1</v>
      </c>
      <c r="AB29" s="3492">
        <f t="shared" si="4"/>
        <v>1</v>
      </c>
      <c r="AC29" s="3492">
        <f t="shared" si="5"/>
        <v>1</v>
      </c>
    </row>
    <row r="30" spans="1:29" ht="15">
      <c r="A30" s="3493"/>
      <c r="B30" s="3735">
        <v>111</v>
      </c>
      <c r="C30" s="3473"/>
      <c r="D30" s="3475">
        <v>100</v>
      </c>
      <c r="E30" s="3470"/>
      <c r="F30" s="3475">
        <f>SUMIF(95:95,E30,96:96)-SUMIF(95:95,C30,96:96)+100</f>
        <v>100</v>
      </c>
      <c r="G30" s="3721"/>
      <c r="H30" s="3475">
        <f>SUMIF(95:95,G30,96:96)-SUMIF(95:95,C30,96:96)+100</f>
        <v>100</v>
      </c>
      <c r="I30" s="3470"/>
      <c r="J30" s="3475">
        <f>SUMIF(95:95,I30,96:96)-SUMIF(95:95,C30,96:96)+100</f>
        <v>100</v>
      </c>
      <c r="K30" s="3474"/>
      <c r="L30" s="3476"/>
      <c r="M30" s="3422"/>
      <c r="N30" s="3422"/>
      <c r="O30" s="3422"/>
      <c r="P30" s="4118"/>
      <c r="Q30" s="3489">
        <f t="shared" si="11"/>
        <v>111</v>
      </c>
      <c r="R30" s="3490" t="s">
        <v>8</v>
      </c>
      <c r="S30" s="3491">
        <f t="shared" si="12"/>
        <v>100</v>
      </c>
      <c r="T30" s="3490" t="s">
        <v>8</v>
      </c>
      <c r="U30" s="3491">
        <f t="shared" si="13"/>
        <v>100</v>
      </c>
      <c r="V30" s="3490" t="s">
        <v>8</v>
      </c>
      <c r="W30" s="3491">
        <f t="shared" si="14"/>
        <v>100</v>
      </c>
      <c r="X30" s="3423"/>
      <c r="Y30" s="4118"/>
      <c r="Z30" s="3492">
        <f t="shared" si="15"/>
        <v>111</v>
      </c>
      <c r="AA30" s="3492">
        <f t="shared" si="3"/>
        <v>1</v>
      </c>
      <c r="AB30" s="3492">
        <f t="shared" si="4"/>
        <v>1</v>
      </c>
      <c r="AC30" s="3492">
        <f t="shared" si="5"/>
        <v>1</v>
      </c>
    </row>
    <row r="31" spans="1:29" ht="15">
      <c r="A31" s="3493"/>
      <c r="B31" s="3735">
        <v>111</v>
      </c>
      <c r="C31" s="3473"/>
      <c r="D31" s="3475">
        <v>100</v>
      </c>
      <c r="E31" s="3470"/>
      <c r="F31" s="3475">
        <f>SUMIF(97:97,E31,98:98)-SUMIF(97:97,C31,98:98)+100</f>
        <v>100</v>
      </c>
      <c r="G31" s="3721"/>
      <c r="H31" s="3475">
        <f>SUMIF(97:97,G31,98:98)-SUMIF(97:97,C31,98:98)+100</f>
        <v>100</v>
      </c>
      <c r="I31" s="3470"/>
      <c r="J31" s="3475">
        <f>SUMIF(97:97,I31,98:98)-SUMIF(97:97,C31,98:98)+100</f>
        <v>100</v>
      </c>
      <c r="K31" s="3474"/>
      <c r="L31" s="3476"/>
      <c r="M31" s="3422"/>
      <c r="N31" s="3422"/>
      <c r="O31" s="3422"/>
      <c r="P31" s="4118"/>
      <c r="Q31" s="3489">
        <f t="shared" si="11"/>
        <v>111</v>
      </c>
      <c r="R31" s="3490" t="s">
        <v>8</v>
      </c>
      <c r="S31" s="3491">
        <f t="shared" si="12"/>
        <v>100</v>
      </c>
      <c r="T31" s="3490" t="s">
        <v>8</v>
      </c>
      <c r="U31" s="3491">
        <f t="shared" si="13"/>
        <v>100</v>
      </c>
      <c r="V31" s="3490" t="s">
        <v>8</v>
      </c>
      <c r="W31" s="3491">
        <f t="shared" si="14"/>
        <v>100</v>
      </c>
      <c r="X31" s="3423"/>
      <c r="Y31" s="4118"/>
      <c r="Z31" s="3492">
        <f t="shared" si="15"/>
        <v>111</v>
      </c>
      <c r="AA31" s="3492">
        <f t="shared" si="3"/>
        <v>1</v>
      </c>
      <c r="AB31" s="3492">
        <f t="shared" si="4"/>
        <v>1</v>
      </c>
      <c r="AC31" s="3492">
        <f t="shared" si="5"/>
        <v>1</v>
      </c>
    </row>
    <row r="32" spans="1:29" ht="15.75" thickBot="1">
      <c r="A32" s="3529"/>
      <c r="B32" s="3736">
        <v>111</v>
      </c>
      <c r="C32" s="3737"/>
      <c r="D32" s="3480">
        <v>100</v>
      </c>
      <c r="E32" s="3722"/>
      <c r="F32" s="3480">
        <f>SUMIF(99:99,E32,100:100)-SUMIF(99:99,C32,100:100)+100</f>
        <v>100</v>
      </c>
      <c r="G32" s="3721"/>
      <c r="H32" s="3480">
        <f>SUMIF(99:99,G32,100:100)-SUMIF(99:99,C32,100:100)+100</f>
        <v>100</v>
      </c>
      <c r="I32" s="3470"/>
      <c r="J32" s="3480">
        <f>SUMIF(99:99,I32,100:100)-SUMIF(99:99,C32,100:100)+100</f>
        <v>100</v>
      </c>
      <c r="K32" s="3474"/>
      <c r="L32" s="3476"/>
      <c r="M32" s="3422"/>
      <c r="N32" s="3422"/>
      <c r="O32" s="3422"/>
      <c r="P32" s="4118"/>
      <c r="Q32" s="3489">
        <f t="shared" si="11"/>
        <v>111</v>
      </c>
      <c r="R32" s="3490" t="s">
        <v>8</v>
      </c>
      <c r="S32" s="3491">
        <f t="shared" si="12"/>
        <v>100</v>
      </c>
      <c r="T32" s="3490" t="s">
        <v>8</v>
      </c>
      <c r="U32" s="3491">
        <f t="shared" si="13"/>
        <v>100</v>
      </c>
      <c r="V32" s="3490" t="s">
        <v>8</v>
      </c>
      <c r="W32" s="3491">
        <f t="shared" si="14"/>
        <v>100</v>
      </c>
      <c r="X32" s="3423"/>
      <c r="Y32" s="4118"/>
      <c r="Z32" s="3492">
        <f t="shared" si="15"/>
        <v>111</v>
      </c>
      <c r="AA32" s="3492">
        <f t="shared" si="3"/>
        <v>1</v>
      </c>
      <c r="AB32" s="3492">
        <f t="shared" si="4"/>
        <v>1</v>
      </c>
      <c r="AC32" s="3492">
        <f t="shared" si="5"/>
        <v>1</v>
      </c>
    </row>
    <row r="33" spans="1:29" ht="15">
      <c r="A33" s="3531" t="s">
        <v>3185</v>
      </c>
      <c r="B33" s="3532" t="s">
        <v>739</v>
      </c>
      <c r="C33" s="3533"/>
      <c r="D33" s="3534">
        <v>100</v>
      </c>
      <c r="E33" s="3533"/>
      <c r="F33" s="3522">
        <f>SUMIF(101:101,E33,102:102)-SUMIF(101:101,C33,102:102)+100</f>
        <v>100</v>
      </c>
      <c r="G33" s="3533"/>
      <c r="H33" s="3475">
        <f>SUMIF(101:101,G33,102:102)-SUMIF(101:101,C33,102:102)+100</f>
        <v>100</v>
      </c>
      <c r="I33" s="3533"/>
      <c r="J33" s="3534">
        <f>SUMIF(101:101,I33,102:102)-SUMIF(101:101,C33,102:102)+100</f>
        <v>100</v>
      </c>
      <c r="K33" s="3458"/>
      <c r="L33" s="3476"/>
      <c r="M33" s="3422"/>
      <c r="N33" s="3422"/>
      <c r="O33" s="3422"/>
      <c r="P33" s="4119" t="s">
        <v>542</v>
      </c>
      <c r="Q33" s="3489" t="str">
        <f t="shared" si="11"/>
        <v>建筑类型</v>
      </c>
      <c r="R33" s="3490" t="s">
        <v>8</v>
      </c>
      <c r="S33" s="3491">
        <f t="shared" si="12"/>
        <v>100</v>
      </c>
      <c r="T33" s="3490" t="s">
        <v>8</v>
      </c>
      <c r="U33" s="3491">
        <f t="shared" si="13"/>
        <v>100</v>
      </c>
      <c r="V33" s="3490" t="s">
        <v>8</v>
      </c>
      <c r="W33" s="3491">
        <f t="shared" si="14"/>
        <v>100</v>
      </c>
      <c r="X33" s="3423"/>
      <c r="Y33" s="4120" t="s">
        <v>542</v>
      </c>
      <c r="Z33" s="3492" t="str">
        <f t="shared" si="15"/>
        <v>建筑类型</v>
      </c>
      <c r="AA33" s="3492">
        <f t="shared" si="3"/>
        <v>1</v>
      </c>
      <c r="AB33" s="3492">
        <f t="shared" si="4"/>
        <v>1</v>
      </c>
      <c r="AC33" s="3492">
        <f t="shared" si="5"/>
        <v>1</v>
      </c>
    </row>
    <row r="34" spans="1:29" s="3544" customFormat="1" ht="15">
      <c r="A34" s="3535"/>
      <c r="B34" s="3520" t="s">
        <v>718</v>
      </c>
      <c r="C34" s="3536">
        <f>'不动产比较法-商业'!C33</f>
        <v>302100</v>
      </c>
      <c r="D34" s="3456">
        <v>100</v>
      </c>
      <c r="E34" s="3465">
        <v>5253</v>
      </c>
      <c r="F34" s="3520">
        <f>LOOKUP(E34,104:104,105:105)-LOOKUP(C34,104:104,105:105)+100</f>
        <v>103</v>
      </c>
      <c r="G34" s="3464">
        <v>10660</v>
      </c>
      <c r="H34" s="3456">
        <f>LOOKUP(G34,104:104,105:105)-LOOKUP(C34,104:104,105:105)+100</f>
        <v>102</v>
      </c>
      <c r="I34" s="3464">
        <v>1900</v>
      </c>
      <c r="J34" s="3456">
        <f>LOOKUP(I34,104:104,105:105)-LOOKUP(C34,104:104,105:105)+100</f>
        <v>104</v>
      </c>
      <c r="K34" s="3474"/>
      <c r="L34" s="3466"/>
      <c r="M34" s="3537"/>
      <c r="N34" s="3537"/>
      <c r="O34" s="3537"/>
      <c r="P34" s="4120"/>
      <c r="Q34" s="3539" t="str">
        <f t="shared" si="11"/>
        <v>项目建筑规模</v>
      </c>
      <c r="R34" s="3540" t="s">
        <v>8</v>
      </c>
      <c r="S34" s="3541">
        <f t="shared" si="12"/>
        <v>103</v>
      </c>
      <c r="T34" s="3540" t="s">
        <v>8</v>
      </c>
      <c r="U34" s="3541">
        <f t="shared" si="13"/>
        <v>102</v>
      </c>
      <c r="V34" s="3540" t="s">
        <v>8</v>
      </c>
      <c r="W34" s="3541">
        <f t="shared" si="14"/>
        <v>104</v>
      </c>
      <c r="X34" s="3542"/>
      <c r="Y34" s="4120"/>
      <c r="Z34" s="3543" t="str">
        <f t="shared" si="15"/>
        <v>项目建筑规模</v>
      </c>
      <c r="AA34" s="3492">
        <f t="shared" si="3"/>
        <v>0.970873786407767</v>
      </c>
      <c r="AB34" s="3492">
        <f t="shared" si="4"/>
        <v>0.98039215686274506</v>
      </c>
      <c r="AC34" s="3492">
        <f t="shared" si="5"/>
        <v>0.96153846153846156</v>
      </c>
    </row>
    <row r="35" spans="1:29" ht="15">
      <c r="A35" s="3545"/>
      <c r="B35" s="3520" t="s">
        <v>719</v>
      </c>
      <c r="C35" s="3546"/>
      <c r="D35" s="3475">
        <v>100</v>
      </c>
      <c r="E35" s="3546"/>
      <c r="F35" s="3522">
        <f>SUMIF(106:106,E35,107:107)-SUMIF(106:106,C35,107:107)+100</f>
        <v>100</v>
      </c>
      <c r="G35" s="3546"/>
      <c r="H35" s="3475">
        <f>SUMIF(106:106,G35,107:107)-SUMIF(106:106,C35,107:107)+100</f>
        <v>100</v>
      </c>
      <c r="I35" s="3546"/>
      <c r="J35" s="3475">
        <f>SUMIF(106:106,I35,107:107)-SUMIF(106:106,C35,107:107)+100</f>
        <v>100</v>
      </c>
      <c r="K35" s="3458"/>
      <c r="L35" s="3476"/>
      <c r="M35" s="3422"/>
      <c r="N35" s="3422"/>
      <c r="O35" s="3422"/>
      <c r="P35" s="4120"/>
      <c r="Q35" s="3489" t="str">
        <f t="shared" si="11"/>
        <v>建筑结构</v>
      </c>
      <c r="R35" s="3490" t="s">
        <v>8</v>
      </c>
      <c r="S35" s="3491">
        <f t="shared" si="12"/>
        <v>100</v>
      </c>
      <c r="T35" s="3490" t="s">
        <v>8</v>
      </c>
      <c r="U35" s="3491">
        <f t="shared" si="13"/>
        <v>100</v>
      </c>
      <c r="V35" s="3490" t="s">
        <v>8</v>
      </c>
      <c r="W35" s="3491">
        <f t="shared" si="14"/>
        <v>100</v>
      </c>
      <c r="X35" s="3423"/>
      <c r="Y35" s="4120"/>
      <c r="Z35" s="3492" t="str">
        <f t="shared" si="15"/>
        <v>建筑结构</v>
      </c>
      <c r="AA35" s="3492">
        <f t="shared" si="3"/>
        <v>1</v>
      </c>
      <c r="AB35" s="3492">
        <f t="shared" si="4"/>
        <v>1</v>
      </c>
      <c r="AC35" s="3492">
        <f t="shared" si="5"/>
        <v>1</v>
      </c>
    </row>
    <row r="36" spans="1:29" ht="15">
      <c r="A36" s="3545"/>
      <c r="B36" s="3520" t="s">
        <v>743</v>
      </c>
      <c r="C36" s="3546"/>
      <c r="D36" s="3475">
        <v>100</v>
      </c>
      <c r="E36" s="3546"/>
      <c r="F36" s="3522">
        <f>SUMIF(108:108,E36,109:109)-SUMIF(108:108,C36,109:109)+100</f>
        <v>100</v>
      </c>
      <c r="G36" s="3546"/>
      <c r="H36" s="3475">
        <f>SUMIF(108:108,G36,109:109)-SUMIF(108:108,C36,109:109)+100</f>
        <v>100</v>
      </c>
      <c r="I36" s="3546"/>
      <c r="J36" s="3475">
        <f>SUMIF(108:108,I36,109:109)-SUMIF(108:108,C36,109:109)+100</f>
        <v>100</v>
      </c>
      <c r="K36" s="3458"/>
      <c r="L36" s="3476"/>
      <c r="M36" s="3422"/>
      <c r="N36" s="3422"/>
      <c r="O36" s="3422"/>
      <c r="P36" s="4120"/>
      <c r="Q36" s="3489" t="str">
        <f t="shared" si="11"/>
        <v>公共部分装修</v>
      </c>
      <c r="R36" s="3490" t="s">
        <v>8</v>
      </c>
      <c r="S36" s="3491">
        <f t="shared" si="12"/>
        <v>100</v>
      </c>
      <c r="T36" s="3490" t="s">
        <v>8</v>
      </c>
      <c r="U36" s="3491">
        <f t="shared" si="13"/>
        <v>100</v>
      </c>
      <c r="V36" s="3490" t="s">
        <v>8</v>
      </c>
      <c r="W36" s="3491">
        <f t="shared" si="14"/>
        <v>100</v>
      </c>
      <c r="X36" s="3423"/>
      <c r="Y36" s="4120"/>
      <c r="Z36" s="3492" t="str">
        <f t="shared" si="15"/>
        <v>公共部分装修</v>
      </c>
      <c r="AA36" s="3492">
        <f t="shared" si="3"/>
        <v>1</v>
      </c>
      <c r="AB36" s="3492">
        <f t="shared" si="4"/>
        <v>1</v>
      </c>
      <c r="AC36" s="3492">
        <f t="shared" si="5"/>
        <v>1</v>
      </c>
    </row>
    <row r="37" spans="1:29" ht="15">
      <c r="A37" s="3545"/>
      <c r="B37" s="3520" t="s">
        <v>744</v>
      </c>
      <c r="C37" s="3549">
        <v>1</v>
      </c>
      <c r="D37" s="3475">
        <v>100</v>
      </c>
      <c r="E37" s="3549">
        <v>0.9</v>
      </c>
      <c r="F37" s="3522">
        <f>LOOKUP(E37,111:111,112:112)-LOOKUP(C37,111:111,112:112)+100</f>
        <v>100</v>
      </c>
      <c r="G37" s="3549">
        <v>0.96</v>
      </c>
      <c r="H37" s="3522">
        <f>LOOKUP(G37,111:111,112:112)-LOOKUP(E37,111:111,112:112)+100</f>
        <v>100</v>
      </c>
      <c r="I37" s="3549">
        <v>0.8</v>
      </c>
      <c r="J37" s="3522">
        <f>LOOKUP(I37,111:111,112:112)-LOOKUP(G37,111:111,112:112)+100</f>
        <v>98</v>
      </c>
      <c r="K37" s="3458">
        <v>2</v>
      </c>
      <c r="L37" s="3476"/>
      <c r="M37" s="3422"/>
      <c r="N37" s="3422"/>
      <c r="O37" s="3422"/>
      <c r="P37" s="4120"/>
      <c r="Q37" s="3489" t="str">
        <f t="shared" si="11"/>
        <v>成新度</v>
      </c>
      <c r="R37" s="3490" t="s">
        <v>8</v>
      </c>
      <c r="S37" s="3491">
        <f t="shared" si="12"/>
        <v>100</v>
      </c>
      <c r="T37" s="3490" t="s">
        <v>8</v>
      </c>
      <c r="U37" s="3491">
        <f t="shared" si="13"/>
        <v>100</v>
      </c>
      <c r="V37" s="3490" t="s">
        <v>8</v>
      </c>
      <c r="W37" s="3491">
        <f t="shared" si="14"/>
        <v>98</v>
      </c>
      <c r="X37" s="3423"/>
      <c r="Y37" s="4120"/>
      <c r="Z37" s="3492" t="str">
        <f t="shared" si="15"/>
        <v>成新度</v>
      </c>
      <c r="AA37" s="3492">
        <f t="shared" si="3"/>
        <v>1</v>
      </c>
      <c r="AB37" s="3492">
        <f t="shared" si="4"/>
        <v>1</v>
      </c>
      <c r="AC37" s="3492">
        <f t="shared" si="5"/>
        <v>1.0204081632653061</v>
      </c>
    </row>
    <row r="38" spans="1:29" s="3442" customFormat="1" ht="15">
      <c r="A38" s="3550"/>
      <c r="B38" s="3520" t="s">
        <v>778</v>
      </c>
      <c r="C38" s="3546"/>
      <c r="D38" s="3456">
        <v>100</v>
      </c>
      <c r="E38" s="3546"/>
      <c r="F38" s="3522">
        <f>SUMIF(113:113,E38,114:114)-SUMIF(113:113,C38,114:114)+100</f>
        <v>100</v>
      </c>
      <c r="G38" s="3546"/>
      <c r="H38" s="3475">
        <f>SUMIF(113:113,G38,114:114)-SUMIF(113:113,C38,114:114)+100</f>
        <v>100</v>
      </c>
      <c r="I38" s="3546"/>
      <c r="J38" s="3475">
        <f>SUMIF(113:113,I38,114:114)-SUMIF(113:113,C38,114:114)+100</f>
        <v>100</v>
      </c>
      <c r="K38" s="3458"/>
      <c r="L38" s="3436"/>
      <c r="M38" s="3437"/>
      <c r="N38" s="3437"/>
      <c r="O38" s="3437"/>
      <c r="P38" s="4120"/>
      <c r="Q38" s="3453" t="str">
        <f t="shared" si="11"/>
        <v>写字楼等级</v>
      </c>
      <c r="R38" s="3438" t="s">
        <v>8</v>
      </c>
      <c r="S38" s="3439">
        <f t="shared" si="12"/>
        <v>100</v>
      </c>
      <c r="T38" s="3438" t="s">
        <v>8</v>
      </c>
      <c r="U38" s="3439">
        <f t="shared" si="13"/>
        <v>100</v>
      </c>
      <c r="V38" s="3438" t="s">
        <v>8</v>
      </c>
      <c r="W38" s="3439">
        <f t="shared" si="14"/>
        <v>100</v>
      </c>
      <c r="X38" s="3440"/>
      <c r="Y38" s="4120"/>
      <c r="Z38" s="3441" t="str">
        <f t="shared" si="15"/>
        <v>写字楼等级</v>
      </c>
      <c r="AA38" s="3441">
        <f t="shared" si="3"/>
        <v>1</v>
      </c>
      <c r="AB38" s="3441">
        <f t="shared" si="4"/>
        <v>1</v>
      </c>
      <c r="AC38" s="3441">
        <f t="shared" si="5"/>
        <v>1</v>
      </c>
    </row>
    <row r="39" spans="1:29" ht="15">
      <c r="A39" s="3545"/>
      <c r="B39" s="3520" t="s">
        <v>745</v>
      </c>
      <c r="C39" s="3546"/>
      <c r="D39" s="3475">
        <v>100</v>
      </c>
      <c r="E39" s="3546"/>
      <c r="F39" s="3522">
        <f>SUMIF(115:115,E39,116:116)-SUMIF(115:115,C39,116:116)+100</f>
        <v>100</v>
      </c>
      <c r="G39" s="3546"/>
      <c r="H39" s="3475">
        <f>SUMIF(115:115,G39,116:116)-SUMIF(115:115,C39,116:116)+100</f>
        <v>100</v>
      </c>
      <c r="I39" s="3546"/>
      <c r="J39" s="3475">
        <f>SUMIF(115:115,I39,116:116)-SUMIF(115:115,C39,116:116)+100</f>
        <v>100</v>
      </c>
      <c r="K39" s="3458"/>
      <c r="L39" s="3476"/>
      <c r="M39" s="3422"/>
      <c r="N39" s="3422"/>
      <c r="O39" s="3422"/>
      <c r="P39" s="4120" t="s">
        <v>542</v>
      </c>
      <c r="Q39" s="3489" t="str">
        <f t="shared" si="11"/>
        <v>物业管理</v>
      </c>
      <c r="R39" s="3490" t="s">
        <v>8</v>
      </c>
      <c r="S39" s="3491">
        <f t="shared" si="12"/>
        <v>100</v>
      </c>
      <c r="T39" s="3490" t="s">
        <v>8</v>
      </c>
      <c r="U39" s="3491">
        <f t="shared" si="13"/>
        <v>100</v>
      </c>
      <c r="V39" s="3490" t="s">
        <v>8</v>
      </c>
      <c r="W39" s="3491">
        <f t="shared" si="14"/>
        <v>100</v>
      </c>
      <c r="X39" s="3423"/>
      <c r="Y39" s="4120" t="s">
        <v>542</v>
      </c>
      <c r="Z39" s="3492" t="str">
        <f t="shared" si="15"/>
        <v>物业管理</v>
      </c>
      <c r="AA39" s="3492">
        <f t="shared" si="3"/>
        <v>1</v>
      </c>
      <c r="AB39" s="3492">
        <f t="shared" si="4"/>
        <v>1</v>
      </c>
      <c r="AC39" s="3492">
        <f t="shared" si="5"/>
        <v>1</v>
      </c>
    </row>
    <row r="40" spans="1:29" ht="15">
      <c r="A40" s="3545"/>
      <c r="B40" s="3551" t="s">
        <v>2535</v>
      </c>
      <c r="C40" s="3546"/>
      <c r="D40" s="3475">
        <v>100</v>
      </c>
      <c r="E40" s="3546"/>
      <c r="F40" s="3522">
        <f>SUMIF(117:117,E40,118:118)-SUMIF(117:117,C40,118:118)+100</f>
        <v>100</v>
      </c>
      <c r="G40" s="3546"/>
      <c r="H40" s="3475">
        <f>SUMIF(117:117,G40,118:118)-SUMIF(117:117,C40,118:118)+100</f>
        <v>100</v>
      </c>
      <c r="I40" s="3546"/>
      <c r="J40" s="3475">
        <f>SUMIF(117:117,I40,118:118)-SUMIF(117:117,C40,118:118)+100</f>
        <v>100</v>
      </c>
      <c r="K40" s="3458"/>
      <c r="L40" s="3476"/>
      <c r="M40" s="3422"/>
      <c r="N40" s="3422"/>
      <c r="O40" s="3422"/>
      <c r="P40" s="4120"/>
      <c r="Q40" s="3489" t="str">
        <f t="shared" si="11"/>
        <v>市政基础设施</v>
      </c>
      <c r="R40" s="3490" t="s">
        <v>8</v>
      </c>
      <c r="S40" s="3491">
        <f t="shared" si="12"/>
        <v>100</v>
      </c>
      <c r="T40" s="3490" t="s">
        <v>8</v>
      </c>
      <c r="U40" s="3491">
        <f t="shared" si="13"/>
        <v>100</v>
      </c>
      <c r="V40" s="3490" t="s">
        <v>8</v>
      </c>
      <c r="W40" s="3491">
        <f t="shared" si="14"/>
        <v>100</v>
      </c>
      <c r="X40" s="3423"/>
      <c r="Y40" s="4120"/>
      <c r="Z40" s="3492" t="str">
        <f t="shared" si="15"/>
        <v>市政基础设施</v>
      </c>
      <c r="AA40" s="3492">
        <f t="shared" si="3"/>
        <v>1</v>
      </c>
      <c r="AB40" s="3492">
        <f t="shared" si="4"/>
        <v>1</v>
      </c>
      <c r="AC40" s="3492">
        <f t="shared" si="5"/>
        <v>1</v>
      </c>
    </row>
    <row r="41" spans="1:29" ht="15">
      <c r="A41" s="3545"/>
      <c r="B41" s="3520" t="s">
        <v>766</v>
      </c>
      <c r="C41" s="3521"/>
      <c r="D41" s="3475">
        <v>100</v>
      </c>
      <c r="E41" s="3521"/>
      <c r="F41" s="3522">
        <f>SUMIF(119:119,E41,120:120)-SUMIF(119:119,C41,120:120)+100</f>
        <v>100</v>
      </c>
      <c r="G41" s="3521"/>
      <c r="H41" s="3475">
        <f>SUMIF(119:119,G41,120:120)-SUMIF(119:119,C41,120:120)+100</f>
        <v>100</v>
      </c>
      <c r="I41" s="3521"/>
      <c r="J41" s="3475">
        <f>SUMIF(119:119,I41,120:120)-SUMIF(119:119,C41,120:120)+100</f>
        <v>100</v>
      </c>
      <c r="K41" s="3458"/>
      <c r="L41" s="3476"/>
      <c r="M41" s="3422"/>
      <c r="N41" s="3422"/>
      <c r="O41" s="3422"/>
      <c r="P41" s="4120"/>
      <c r="Q41" s="3489" t="str">
        <f t="shared" si="11"/>
        <v>层高</v>
      </c>
      <c r="R41" s="3490" t="s">
        <v>8</v>
      </c>
      <c r="S41" s="3491">
        <f t="shared" si="12"/>
        <v>100</v>
      </c>
      <c r="T41" s="3490" t="s">
        <v>8</v>
      </c>
      <c r="U41" s="3491">
        <f t="shared" si="13"/>
        <v>100</v>
      </c>
      <c r="V41" s="3490" t="s">
        <v>8</v>
      </c>
      <c r="W41" s="3491">
        <f t="shared" si="14"/>
        <v>100</v>
      </c>
      <c r="X41" s="3423"/>
      <c r="Y41" s="4120"/>
      <c r="Z41" s="3492" t="str">
        <f t="shared" si="15"/>
        <v>层高</v>
      </c>
      <c r="AA41" s="3492">
        <f t="shared" si="3"/>
        <v>1</v>
      </c>
      <c r="AB41" s="3492">
        <f t="shared" si="4"/>
        <v>1</v>
      </c>
      <c r="AC41" s="3492">
        <f t="shared" si="5"/>
        <v>1</v>
      </c>
    </row>
    <row r="42" spans="1:29" s="3544" customFormat="1" ht="15">
      <c r="A42" s="3535"/>
      <c r="B42" s="3522" t="s">
        <v>775</v>
      </c>
      <c r="C42" s="3472"/>
      <c r="D42" s="3475">
        <v>100</v>
      </c>
      <c r="E42" s="3472"/>
      <c r="F42" s="3522">
        <f>SUMIF(121:121,E42,122:122)-SUMIF(121:121,C42,122:122)+100</f>
        <v>100</v>
      </c>
      <c r="G42" s="3472"/>
      <c r="H42" s="3475">
        <f>SUMIF(121:121,G42,122:122)-SUMIF(121:121,C42,122:122)+100</f>
        <v>100</v>
      </c>
      <c r="I42" s="3472"/>
      <c r="J42" s="3475">
        <f>SUMIF(121:121,I42,122:122)-SUMIF(121:121,C42,122:122)+100</f>
        <v>100</v>
      </c>
      <c r="K42" s="3474"/>
      <c r="L42" s="3466"/>
      <c r="M42" s="3537"/>
      <c r="N42" s="3537"/>
      <c r="O42" s="3537"/>
      <c r="P42" s="4120"/>
      <c r="Q42" s="3539" t="str">
        <f t="shared" si="11"/>
        <v>单套建筑面积</v>
      </c>
      <c r="R42" s="3540" t="s">
        <v>8</v>
      </c>
      <c r="S42" s="3541">
        <f t="shared" si="12"/>
        <v>100</v>
      </c>
      <c r="T42" s="3540" t="s">
        <v>8</v>
      </c>
      <c r="U42" s="3541">
        <f t="shared" si="13"/>
        <v>100</v>
      </c>
      <c r="V42" s="3540" t="s">
        <v>8</v>
      </c>
      <c r="W42" s="3541">
        <f t="shared" si="14"/>
        <v>100</v>
      </c>
      <c r="X42" s="3542"/>
      <c r="Y42" s="4120"/>
      <c r="Z42" s="3543" t="str">
        <f t="shared" si="15"/>
        <v>单套建筑面积</v>
      </c>
      <c r="AA42" s="3492">
        <f t="shared" si="3"/>
        <v>1</v>
      </c>
      <c r="AB42" s="3492">
        <f t="shared" si="4"/>
        <v>1</v>
      </c>
      <c r="AC42" s="3492">
        <f t="shared" si="5"/>
        <v>1</v>
      </c>
    </row>
    <row r="43" spans="1:29" ht="15">
      <c r="A43" s="3545"/>
      <c r="B43" s="3520" t="s">
        <v>747</v>
      </c>
      <c r="C43" s="3546"/>
      <c r="D43" s="3475">
        <v>100</v>
      </c>
      <c r="E43" s="3546"/>
      <c r="F43" s="3522">
        <f>SUMIF(123:123,E43,124:124)-SUMIF(123:123,C43,124:124)+100</f>
        <v>100</v>
      </c>
      <c r="G43" s="3546"/>
      <c r="H43" s="3475">
        <f>SUMIF(123:123,G43,124:124)-SUMIF(123:123,C43,124:124)+100</f>
        <v>100</v>
      </c>
      <c r="I43" s="3546"/>
      <c r="J43" s="3475">
        <f>SUMIF(123:123,I43,124:124)-SUMIF(123:123,C43,124:124)+100</f>
        <v>100</v>
      </c>
      <c r="K43" s="3458"/>
      <c r="L43" s="3476"/>
      <c r="M43" s="3422"/>
      <c r="N43" s="3422"/>
      <c r="O43" s="3422"/>
      <c r="P43" s="4120"/>
      <c r="Q43" s="3489" t="str">
        <f t="shared" si="11"/>
        <v>内部装修</v>
      </c>
      <c r="R43" s="3490" t="s">
        <v>8</v>
      </c>
      <c r="S43" s="3491">
        <f t="shared" si="12"/>
        <v>100</v>
      </c>
      <c r="T43" s="3490" t="s">
        <v>8</v>
      </c>
      <c r="U43" s="3491">
        <f t="shared" si="13"/>
        <v>100</v>
      </c>
      <c r="V43" s="3490" t="s">
        <v>8</v>
      </c>
      <c r="W43" s="3491">
        <f t="shared" si="14"/>
        <v>100</v>
      </c>
      <c r="X43" s="3423"/>
      <c r="Y43" s="4120"/>
      <c r="Z43" s="3492" t="str">
        <f t="shared" si="15"/>
        <v>内部装修</v>
      </c>
      <c r="AA43" s="3492">
        <f t="shared" si="3"/>
        <v>1</v>
      </c>
      <c r="AB43" s="3492">
        <f t="shared" si="4"/>
        <v>1</v>
      </c>
      <c r="AC43" s="3492">
        <f t="shared" si="5"/>
        <v>1</v>
      </c>
    </row>
    <row r="44" spans="1:29" ht="27">
      <c r="A44" s="3545"/>
      <c r="B44" s="3520" t="s">
        <v>727</v>
      </c>
      <c r="C44" s="3546"/>
      <c r="D44" s="3475">
        <v>100</v>
      </c>
      <c r="E44" s="3548"/>
      <c r="F44" s="3522">
        <f>SUMIF(125:125,E44,126:126)-SUMIF(125:125,C44,126:126)+100</f>
        <v>100</v>
      </c>
      <c r="G44" s="3548"/>
      <c r="H44" s="3475">
        <f>SUMIF(125:125,G44,126:126)-SUMIF(125:125,C44,126:126)+100</f>
        <v>100</v>
      </c>
      <c r="I44" s="3548"/>
      <c r="J44" s="3475">
        <f>SUMIF(125:125,I44,126:126)-SUMIF(125:125,C44,126:126)+100</f>
        <v>100</v>
      </c>
      <c r="K44" s="3458"/>
      <c r="L44" s="3476"/>
      <c r="M44" s="3422"/>
      <c r="N44" s="3422"/>
      <c r="O44" s="3422"/>
      <c r="P44" s="4120"/>
      <c r="Q44" s="3489" t="str">
        <f t="shared" si="11"/>
        <v>内部装修维护情况</v>
      </c>
      <c r="R44" s="3490" t="s">
        <v>8</v>
      </c>
      <c r="S44" s="3491">
        <f t="shared" si="12"/>
        <v>100</v>
      </c>
      <c r="T44" s="3490" t="s">
        <v>8</v>
      </c>
      <c r="U44" s="3491">
        <f t="shared" si="13"/>
        <v>100</v>
      </c>
      <c r="V44" s="3490" t="s">
        <v>8</v>
      </c>
      <c r="W44" s="3491">
        <f t="shared" si="14"/>
        <v>100</v>
      </c>
      <c r="X44" s="3423"/>
      <c r="Y44" s="4120"/>
      <c r="Z44" s="3492" t="str">
        <f t="shared" si="15"/>
        <v>内部装修维护情况</v>
      </c>
      <c r="AA44" s="3492">
        <f t="shared" si="3"/>
        <v>1</v>
      </c>
      <c r="AB44" s="3492">
        <f t="shared" si="4"/>
        <v>1</v>
      </c>
      <c r="AC44" s="3492">
        <f t="shared" si="5"/>
        <v>1</v>
      </c>
    </row>
    <row r="45" spans="1:29" s="3442" customFormat="1" ht="15">
      <c r="A45" s="3550"/>
      <c r="B45" s="4151" t="s">
        <v>3238</v>
      </c>
      <c r="C45" s="4147" t="s">
        <v>3239</v>
      </c>
      <c r="D45" s="4148">
        <v>100</v>
      </c>
      <c r="E45" s="4149" t="s">
        <v>3239</v>
      </c>
      <c r="F45" s="4150">
        <f>SUMIF(127:127,E45,128:128)-SUMIF(127:127,C45,128:128)+100</f>
        <v>100</v>
      </c>
      <c r="G45" s="4149" t="s">
        <v>3239</v>
      </c>
      <c r="H45" s="4148">
        <f>SUMIF(127:127,G45,128:128)-SUMIF(127:127,C45,128:128)+100</f>
        <v>100</v>
      </c>
      <c r="I45" s="4149" t="s">
        <v>3239</v>
      </c>
      <c r="J45" s="3456">
        <f>SUMIF(127:127,I45,128:128)-SUMIF(127:127,C45,128:128)+100</f>
        <v>100</v>
      </c>
      <c r="K45" s="3474"/>
      <c r="L45" s="3436"/>
      <c r="M45" s="3437"/>
      <c r="N45" s="3437"/>
      <c r="O45" s="3437"/>
      <c r="P45" s="4120"/>
      <c r="Q45" s="3453" t="str">
        <f t="shared" si="11"/>
        <v>距北运河距离</v>
      </c>
      <c r="R45" s="3438" t="s">
        <v>8</v>
      </c>
      <c r="S45" s="3439">
        <f t="shared" si="12"/>
        <v>100</v>
      </c>
      <c r="T45" s="3438" t="s">
        <v>8</v>
      </c>
      <c r="U45" s="3439">
        <f t="shared" si="13"/>
        <v>100</v>
      </c>
      <c r="V45" s="3438" t="s">
        <v>8</v>
      </c>
      <c r="W45" s="3439">
        <f t="shared" si="14"/>
        <v>100</v>
      </c>
      <c r="X45" s="3440"/>
      <c r="Y45" s="4120"/>
      <c r="Z45" s="3441" t="str">
        <f t="shared" si="15"/>
        <v>距北运河距离</v>
      </c>
      <c r="AA45" s="3441">
        <f t="shared" si="3"/>
        <v>1</v>
      </c>
      <c r="AB45" s="3441">
        <f t="shared" si="4"/>
        <v>1</v>
      </c>
      <c r="AC45" s="3441">
        <f t="shared" si="5"/>
        <v>1</v>
      </c>
    </row>
    <row r="46" spans="1:29" ht="15">
      <c r="A46" s="3545"/>
      <c r="B46" s="3523">
        <v>111</v>
      </c>
      <c r="C46" s="3472"/>
      <c r="D46" s="3475">
        <v>100</v>
      </c>
      <c r="E46" s="3470"/>
      <c r="F46" s="3522">
        <f>SUMIF(129:129,E46,130:130)-SUMIF(129:129,C46,130:130)+100</f>
        <v>100</v>
      </c>
      <c r="G46" s="3470"/>
      <c r="H46" s="3475">
        <f>SUMIF(129:129,G46,130:130)-SUMIF(129:129,C46,130:130)+100</f>
        <v>100</v>
      </c>
      <c r="I46" s="3470"/>
      <c r="J46" s="3475">
        <f>SUMIF(129:129,I46,130:130)-SUMIF(129:129,C46,130:130)+100</f>
        <v>100</v>
      </c>
      <c r="K46" s="3474"/>
      <c r="L46" s="3476"/>
      <c r="M46" s="3422"/>
      <c r="N46" s="3422"/>
      <c r="O46" s="3422"/>
      <c r="P46" s="4120"/>
      <c r="Q46" s="3489">
        <f t="shared" si="11"/>
        <v>111</v>
      </c>
      <c r="R46" s="3490" t="s">
        <v>8</v>
      </c>
      <c r="S46" s="3491">
        <f t="shared" si="12"/>
        <v>100</v>
      </c>
      <c r="T46" s="3490" t="s">
        <v>8</v>
      </c>
      <c r="U46" s="3491">
        <f t="shared" si="13"/>
        <v>100</v>
      </c>
      <c r="V46" s="3490" t="s">
        <v>8</v>
      </c>
      <c r="W46" s="3491">
        <f t="shared" si="14"/>
        <v>100</v>
      </c>
      <c r="X46" s="3423"/>
      <c r="Y46" s="4120"/>
      <c r="Z46" s="3492">
        <f t="shared" si="15"/>
        <v>111</v>
      </c>
      <c r="AA46" s="3492">
        <f t="shared" si="3"/>
        <v>1</v>
      </c>
      <c r="AB46" s="3492">
        <f t="shared" si="4"/>
        <v>1</v>
      </c>
      <c r="AC46" s="3492">
        <f t="shared" si="5"/>
        <v>1</v>
      </c>
    </row>
    <row r="47" spans="1:29" ht="15.75" thickBot="1">
      <c r="A47" s="3554"/>
      <c r="B47" s="3555">
        <v>111</v>
      </c>
      <c r="C47" s="3479"/>
      <c r="D47" s="3480">
        <v>100</v>
      </c>
      <c r="E47" s="3470"/>
      <c r="F47" s="3530">
        <f>SUMIF(131:131,E47,132:132)-SUMIF(131:131,C47,132:132)+100</f>
        <v>100</v>
      </c>
      <c r="G47" s="3470"/>
      <c r="H47" s="3480">
        <f>SUMIF(131:131,G47,132:132)-SUMIF(131:131,C47,132:132)+100</f>
        <v>100</v>
      </c>
      <c r="I47" s="3470"/>
      <c r="J47" s="3480">
        <f>SUMIF(131:131,I47,132:132)-SUMIF(131:131,C47,132:132)+100</f>
        <v>100</v>
      </c>
      <c r="K47" s="3474"/>
      <c r="L47" s="3476"/>
      <c r="M47" s="3422"/>
      <c r="N47" s="3422"/>
      <c r="O47" s="3422"/>
      <c r="P47" s="4121"/>
      <c r="Q47" s="3489">
        <f t="shared" si="11"/>
        <v>111</v>
      </c>
      <c r="R47" s="3490" t="s">
        <v>8</v>
      </c>
      <c r="S47" s="3491">
        <f t="shared" si="12"/>
        <v>100</v>
      </c>
      <c r="T47" s="3490" t="s">
        <v>8</v>
      </c>
      <c r="U47" s="3491">
        <f t="shared" si="13"/>
        <v>100</v>
      </c>
      <c r="V47" s="3490" t="s">
        <v>8</v>
      </c>
      <c r="W47" s="3491">
        <f t="shared" si="14"/>
        <v>100</v>
      </c>
      <c r="X47" s="3423"/>
      <c r="Y47" s="4121"/>
      <c r="Z47" s="3492">
        <f t="shared" si="15"/>
        <v>111</v>
      </c>
      <c r="AA47" s="3492">
        <f t="shared" si="3"/>
        <v>1</v>
      </c>
      <c r="AB47" s="3492">
        <f t="shared" si="4"/>
        <v>1</v>
      </c>
      <c r="AC47" s="3492">
        <f t="shared" si="5"/>
        <v>1</v>
      </c>
    </row>
    <row r="48" spans="1:29" ht="15">
      <c r="A48" s="3556" t="s">
        <v>728</v>
      </c>
      <c r="B48" s="3557"/>
      <c r="C48" s="3558" t="s">
        <v>1</v>
      </c>
      <c r="D48" s="3559"/>
      <c r="E48" s="3560">
        <f>'公寓案例截图及地图 '!$A$3</f>
        <v>52336</v>
      </c>
      <c r="F48" s="3561"/>
      <c r="G48" s="3562">
        <f>'公寓案例截图及地图 '!$A$39</f>
        <v>53094</v>
      </c>
      <c r="H48" s="3563"/>
      <c r="I48" s="3560">
        <f>'公寓案例截图及地图 '!$A$75</f>
        <v>45751</v>
      </c>
      <c r="J48" s="3563"/>
      <c r="K48" s="3564"/>
      <c r="L48" s="3565"/>
      <c r="M48" s="3422"/>
      <c r="N48" s="3422"/>
      <c r="O48" s="3422"/>
      <c r="P48" s="4122" t="str">
        <f>A48</f>
        <v>成交单价（元/平方米）</v>
      </c>
      <c r="Q48" s="4115"/>
      <c r="R48" s="4111">
        <f>E48</f>
        <v>52336</v>
      </c>
      <c r="S48" s="4111"/>
      <c r="T48" s="4111">
        <f>G48</f>
        <v>53094</v>
      </c>
      <c r="U48" s="4111"/>
      <c r="V48" s="4111">
        <f>I48</f>
        <v>45751</v>
      </c>
      <c r="W48" s="4111"/>
      <c r="X48" s="3494"/>
      <c r="Y48" s="3566"/>
      <c r="Z48" s="3494"/>
      <c r="AA48" s="3494"/>
      <c r="AB48" s="3494"/>
      <c r="AC48" s="3494"/>
    </row>
    <row r="49" spans="1:29" ht="15.75" thickBot="1">
      <c r="A49" s="3567" t="s">
        <v>2671</v>
      </c>
      <c r="B49" s="3568"/>
      <c r="C49" s="3569">
        <f>R50</f>
        <v>47594</v>
      </c>
      <c r="D49" s="3570" t="s">
        <v>2963</v>
      </c>
      <c r="E49" s="3571">
        <f>R49</f>
        <v>50444</v>
      </c>
      <c r="F49" s="3572"/>
      <c r="G49" s="3569">
        <f>T49</f>
        <v>49081</v>
      </c>
      <c r="H49" s="3572"/>
      <c r="I49" s="3571">
        <f>V49</f>
        <v>43258</v>
      </c>
      <c r="J49" s="3572"/>
      <c r="K49" s="3573">
        <f>F49+H49+J49</f>
        <v>0</v>
      </c>
      <c r="L49" s="3565"/>
      <c r="M49" s="3422"/>
      <c r="N49" s="3422"/>
      <c r="O49" s="3422"/>
      <c r="P49" s="4122" t="str">
        <f>A49</f>
        <v>比较价格（元/平方米）</v>
      </c>
      <c r="Q49" s="4115"/>
      <c r="R49" s="4111">
        <f>IF(F1="售价",ROUND(PRODUCT(R48,AA7:AA47),0),ROUND(PRODUCT(R48,AA7:AA47),0))</f>
        <v>50444</v>
      </c>
      <c r="S49" s="4111"/>
      <c r="T49" s="4111">
        <f>IF(F1="售价",ROUND(PRODUCT(T48,AB7:AB47),0),ROUND(PRODUCT(T48,AB7:AB47),0))</f>
        <v>49081</v>
      </c>
      <c r="U49" s="4111"/>
      <c r="V49" s="4111">
        <f>IF(F1="售价",ROUND(PRODUCT(V48,AC7:AC47),0),ROUND(PRODUCT(V48,AC7:AC47),0))</f>
        <v>43258</v>
      </c>
      <c r="W49" s="4111"/>
      <c r="X49" s="3494"/>
      <c r="Y49" s="3494"/>
      <c r="Z49" s="3494"/>
      <c r="AA49" s="3494"/>
      <c r="AB49" s="3494"/>
      <c r="AC49" s="3494"/>
    </row>
    <row r="50" spans="1:29" ht="15.75" thickBot="1">
      <c r="A50" s="3574" t="s">
        <v>2898</v>
      </c>
      <c r="B50" s="3575"/>
      <c r="C50" s="3428">
        <f>R50</f>
        <v>47594</v>
      </c>
      <c r="D50" s="3428"/>
      <c r="E50" s="3428"/>
      <c r="F50" s="3428"/>
      <c r="G50" s="3428"/>
      <c r="H50" s="3428"/>
      <c r="I50" s="3428"/>
      <c r="J50" s="3428"/>
      <c r="K50" s="3576"/>
      <c r="L50" s="3565"/>
      <c r="M50" s="3422"/>
      <c r="N50" s="3422"/>
      <c r="O50" s="3422"/>
      <c r="P50" s="4123" t="str">
        <f>A50</f>
        <v>估价对象XX用房的比较价格（楼面单价，元/平方米）</v>
      </c>
      <c r="Q50" s="4122"/>
      <c r="R50" s="4124">
        <f>IF(F1="售价",ROUND(IF(D49="简单平均",AVERAGE(R49:V49),R49*F49+T49*H49+V49*J49),0),ROUND(IF(D49="简单平均",AVERAGE(R49:V49),R49*F49+T49*H49+V49*J49),0))</f>
        <v>47594</v>
      </c>
      <c r="S50" s="4124"/>
      <c r="T50" s="4124"/>
      <c r="U50" s="4124"/>
      <c r="V50" s="4124"/>
      <c r="W50" s="4124"/>
      <c r="X50" s="3494"/>
      <c r="Y50" s="3494"/>
      <c r="Z50" s="3494"/>
      <c r="AA50" s="3494"/>
      <c r="AB50" s="3494"/>
      <c r="AC50" s="3494"/>
    </row>
    <row r="51" spans="1:29">
      <c r="A51" s="3577"/>
      <c r="B51" s="3577"/>
      <c r="C51" s="3577"/>
      <c r="D51" s="3577"/>
      <c r="E51" s="3577"/>
      <c r="F51" s="3577"/>
      <c r="G51" s="3578"/>
      <c r="H51" s="3577"/>
      <c r="I51" s="3577"/>
      <c r="J51" s="3577"/>
      <c r="K51" s="3579"/>
      <c r="L51" s="3580"/>
      <c r="M51" s="3422"/>
      <c r="N51" s="3422"/>
      <c r="O51" s="3422"/>
      <c r="P51" s="3738"/>
      <c r="Q51" s="3422"/>
      <c r="R51" s="3422"/>
      <c r="S51" s="3422"/>
      <c r="T51" s="3422"/>
      <c r="U51" s="3422"/>
      <c r="V51" s="3422"/>
      <c r="W51" s="3422"/>
      <c r="X51" s="3422"/>
      <c r="Y51" s="3422"/>
      <c r="Z51" s="3422"/>
      <c r="AA51" s="3422"/>
      <c r="AB51" s="3422"/>
      <c r="AC51" s="3422"/>
    </row>
    <row r="52" spans="1:29">
      <c r="A52" s="3577"/>
      <c r="B52" s="3577"/>
      <c r="C52" s="3577"/>
      <c r="D52" s="3577"/>
      <c r="E52" s="3577"/>
      <c r="F52" s="3577"/>
      <c r="G52" s="3577"/>
      <c r="H52" s="3577"/>
      <c r="I52" s="3577"/>
      <c r="J52" s="3577"/>
      <c r="K52" s="3579"/>
      <c r="L52" s="3580"/>
      <c r="M52" s="3422"/>
      <c r="N52" s="3422"/>
      <c r="O52" s="3422"/>
      <c r="P52" s="3738"/>
      <c r="Q52" s="3422"/>
      <c r="R52" s="3422"/>
      <c r="S52" s="3422"/>
      <c r="T52" s="3422"/>
      <c r="U52" s="3422"/>
      <c r="V52" s="3422"/>
      <c r="W52" s="3422"/>
      <c r="X52" s="3422"/>
      <c r="Y52" s="3422"/>
      <c r="Z52" s="3422"/>
      <c r="AA52" s="3422"/>
      <c r="AB52" s="3422"/>
      <c r="AC52" s="3422"/>
    </row>
    <row r="53" spans="1:29" ht="13.5" customHeight="1">
      <c r="A53" s="3577"/>
      <c r="B53" s="3577"/>
      <c r="C53" s="3581" t="s">
        <v>549</v>
      </c>
      <c r="D53" s="3582"/>
      <c r="E53" s="3583">
        <f>IF(E48&lt;E49,E49/E48-1,E48/E49-1)</f>
        <v>3.7506938387122268E-2</v>
      </c>
      <c r="F53" s="3584" t="str">
        <f>IF(OR(E53&gt;=0.3,E53&lt;=-0.3),"超过30%","")</f>
        <v/>
      </c>
      <c r="G53" s="3583">
        <f>IF(G48&lt;G49,G49/G48-1,G48/G49-1)</f>
        <v>8.1762800268943225E-2</v>
      </c>
      <c r="H53" s="3584" t="str">
        <f>IF(OR(G53&gt;=0.3,G53&lt;=-0.3),"超过30%","")</f>
        <v/>
      </c>
      <c r="I53" s="3583">
        <f>IF(I48&lt;I49,I49/I48-1,I48/I49-1)</f>
        <v>5.7630958435433977E-2</v>
      </c>
      <c r="J53" s="3584" t="str">
        <f>IF(OR(I53&gt;=0.3,I53&lt;=-0.3),"超过30%","")</f>
        <v/>
      </c>
      <c r="K53" s="3579"/>
      <c r="L53" s="3580"/>
      <c r="M53" s="3422"/>
      <c r="N53" s="3422"/>
      <c r="O53" s="3422"/>
      <c r="P53" s="3738"/>
      <c r="Q53" s="3422"/>
      <c r="R53" s="3422"/>
      <c r="S53" s="3422"/>
      <c r="T53" s="3422"/>
      <c r="U53" s="3422"/>
      <c r="V53" s="3422"/>
      <c r="W53" s="3422"/>
      <c r="X53" s="3422"/>
      <c r="Y53" s="3422"/>
      <c r="Z53" s="3422"/>
      <c r="AA53" s="3422"/>
      <c r="AB53" s="3422"/>
      <c r="AC53" s="3422"/>
    </row>
    <row r="54" spans="1:29" ht="13.5" customHeight="1">
      <c r="A54" s="3577"/>
      <c r="B54" s="3577"/>
      <c r="C54" s="3581" t="s">
        <v>550</v>
      </c>
      <c r="D54" s="3585"/>
      <c r="E54" s="3583">
        <f>IF(E49&lt;G49,G49/E49-1,E49/G49-1)</f>
        <v>2.7770420325584189E-2</v>
      </c>
      <c r="F54" s="3584" t="str">
        <f>IF(OR(E54&gt;=0.2,E54&lt;=-0.2),"超过20%","")</f>
        <v/>
      </c>
      <c r="G54" s="3583">
        <f>IF(G49&lt;I49,I49/G49-1,G49/I49-1)</f>
        <v>0.13461093901706045</v>
      </c>
      <c r="H54" s="3584" t="str">
        <f>IF(OR(G54&gt;=0.2,G54&lt;=-0.2),"超过20%","")</f>
        <v/>
      </c>
      <c r="I54" s="3583">
        <f>IF(I49&lt;E49,E49/I49-1,I49/E49-1)</f>
        <v>0.1661195616995701</v>
      </c>
      <c r="J54" s="3584" t="str">
        <f>IF(OR(I54&gt;=0.2,I54&lt;=-0.2),"超过20%","")</f>
        <v/>
      </c>
      <c r="K54" s="3579"/>
      <c r="L54" s="3580"/>
      <c r="M54" s="3422"/>
      <c r="N54" s="3422"/>
      <c r="O54" s="3422"/>
      <c r="P54" s="3738"/>
      <c r="Q54" s="3422"/>
      <c r="R54" s="3422"/>
      <c r="S54" s="3422"/>
      <c r="T54" s="3422"/>
      <c r="U54" s="3422"/>
      <c r="V54" s="3422"/>
      <c r="W54" s="3422"/>
      <c r="X54" s="3422"/>
      <c r="Y54" s="3422"/>
      <c r="Z54" s="3422"/>
      <c r="AA54" s="3422"/>
      <c r="AB54" s="3422"/>
      <c r="AC54" s="3422"/>
    </row>
    <row r="55" spans="1:29" s="3590" customFormat="1" ht="13.5" customHeight="1">
      <c r="A55" s="3586"/>
      <c r="B55" s="3586"/>
      <c r="C55" s="3581" t="s">
        <v>551</v>
      </c>
      <c r="D55" s="3585"/>
      <c r="E55" s="3583">
        <f>IF(E48&lt;G48,G48/E48-1,E48/G48-1)</f>
        <v>1.4483338428615156E-2</v>
      </c>
      <c r="F55" s="3584" t="str">
        <f>IF(OR(E55&gt;=0.3,E55&lt;=-0.3),"超过30%","")</f>
        <v/>
      </c>
      <c r="G55" s="3583">
        <f>IF(G48&lt;I48,I48/G48-1,G48/I48-1)</f>
        <v>0.16049922406067618</v>
      </c>
      <c r="H55" s="3584" t="str">
        <f>IF(OR(G55&gt;=0.3,G55&lt;=-0.3),"超过30%","")</f>
        <v/>
      </c>
      <c r="I55" s="3583">
        <f>IF(I48&lt;E48,E48/I48-1,I48/E48-1)</f>
        <v>0.14393128019059698</v>
      </c>
      <c r="J55" s="3584" t="str">
        <f>IF(OR(I55&gt;=0.3,I55&lt;=-0.3),"超过30%","")</f>
        <v/>
      </c>
      <c r="K55" s="3587"/>
      <c r="L55" s="3588"/>
      <c r="M55" s="3589"/>
      <c r="N55" s="3589"/>
      <c r="O55" s="3589"/>
      <c r="P55" s="3739"/>
      <c r="Q55" s="3589"/>
      <c r="R55" s="3589"/>
      <c r="S55" s="3589"/>
      <c r="T55" s="3589"/>
      <c r="U55" s="3589"/>
      <c r="V55" s="3589"/>
      <c r="W55" s="3589"/>
      <c r="X55" s="3589"/>
      <c r="Y55" s="3589"/>
      <c r="Z55" s="3589"/>
      <c r="AA55" s="3589"/>
      <c r="AB55" s="3589"/>
      <c r="AC55" s="3589"/>
    </row>
    <row r="56" spans="1:29" s="3590" customFormat="1">
      <c r="A56" s="3589"/>
      <c r="B56" s="3591"/>
      <c r="C56" s="3592"/>
      <c r="D56" s="3589"/>
      <c r="E56" s="3589"/>
      <c r="F56" s="3589"/>
      <c r="G56" s="3589"/>
      <c r="H56" s="3589"/>
      <c r="I56" s="3589"/>
      <c r="J56" s="3589"/>
      <c r="K56" s="3593"/>
      <c r="L56" s="3588"/>
      <c r="M56" s="3589"/>
      <c r="N56" s="3589"/>
      <c r="O56" s="3589"/>
      <c r="P56" s="3739"/>
      <c r="Q56" s="3589"/>
      <c r="R56" s="3589"/>
      <c r="S56" s="3589"/>
      <c r="T56" s="3589"/>
      <c r="U56" s="3589"/>
      <c r="V56" s="3589"/>
      <c r="W56" s="3589"/>
      <c r="X56" s="3589"/>
      <c r="Y56" s="3589"/>
      <c r="Z56" s="3589"/>
      <c r="AA56" s="3589"/>
      <c r="AB56" s="3589"/>
      <c r="AC56" s="3589"/>
    </row>
    <row r="57" spans="1:29">
      <c r="A57" s="3422"/>
      <c r="B57" s="3591"/>
      <c r="C57" s="3592"/>
      <c r="D57" s="3422"/>
      <c r="E57" s="3422"/>
      <c r="F57" s="3422"/>
      <c r="G57" s="3422"/>
      <c r="H57" s="3422"/>
      <c r="I57" s="3422"/>
      <c r="J57" s="3422"/>
      <c r="K57" s="3594"/>
      <c r="L57" s="3580"/>
      <c r="M57" s="3422"/>
      <c r="N57" s="3422"/>
      <c r="O57" s="3422"/>
      <c r="P57" s="3738"/>
      <c r="Q57" s="3422"/>
      <c r="R57" s="3422"/>
      <c r="S57" s="3422"/>
      <c r="T57" s="3422"/>
      <c r="U57" s="3422"/>
      <c r="V57" s="3422"/>
      <c r="W57" s="3422"/>
      <c r="X57" s="3422"/>
      <c r="Y57" s="3422"/>
      <c r="Z57" s="3422"/>
      <c r="AA57" s="3422"/>
      <c r="AB57" s="3422"/>
      <c r="AC57" s="3422"/>
    </row>
    <row r="58" spans="1:29" ht="21.75" thickBot="1">
      <c r="A58" s="3595" t="s">
        <v>566</v>
      </c>
      <c r="B58" s="3494"/>
      <c r="C58" s="3596"/>
      <c r="D58" s="3596"/>
      <c r="E58" s="3596"/>
      <c r="F58" s="3597"/>
      <c r="G58" s="3597"/>
      <c r="H58" s="3596"/>
      <c r="I58" s="3596"/>
      <c r="J58" s="3596"/>
      <c r="K58" s="3598"/>
      <c r="L58" s="3599"/>
      <c r="M58" s="3596"/>
      <c r="N58" s="3600"/>
      <c r="O58" s="3600"/>
      <c r="P58" s="3740"/>
      <c r="Q58" s="3601"/>
      <c r="R58" s="3422"/>
      <c r="S58" s="3422"/>
      <c r="T58" s="3422"/>
      <c r="U58" s="3422"/>
      <c r="V58" s="3422"/>
      <c r="W58" s="3422"/>
      <c r="X58" s="3422"/>
      <c r="Y58" s="3422"/>
      <c r="Z58" s="3422"/>
      <c r="AA58" s="3422"/>
      <c r="AB58" s="3422"/>
      <c r="AC58" s="3422"/>
    </row>
    <row r="59" spans="1:29" s="3607" customFormat="1" ht="15">
      <c r="A59" s="3602" t="s">
        <v>521</v>
      </c>
      <c r="B59" s="3603"/>
      <c r="C59" s="3604" t="str">
        <f>YEAR(C7)&amp;"-"&amp;MONTH(C7)</f>
        <v>2021-10</v>
      </c>
      <c r="D59" s="3605">
        <f>EDATE(C59,-1)</f>
        <v>44440</v>
      </c>
      <c r="E59" s="3605">
        <f t="shared" ref="E59:O59" si="16">EDATE(D59,-1)</f>
        <v>44409</v>
      </c>
      <c r="F59" s="3605">
        <f t="shared" si="16"/>
        <v>44378</v>
      </c>
      <c r="G59" s="3605">
        <f t="shared" si="16"/>
        <v>44348</v>
      </c>
      <c r="H59" s="3605">
        <f t="shared" si="16"/>
        <v>44317</v>
      </c>
      <c r="I59" s="3605">
        <f t="shared" si="16"/>
        <v>44287</v>
      </c>
      <c r="J59" s="3605">
        <f t="shared" si="16"/>
        <v>44256</v>
      </c>
      <c r="K59" s="3605">
        <f t="shared" si="16"/>
        <v>44228</v>
      </c>
      <c r="L59" s="3605">
        <f t="shared" si="16"/>
        <v>44197</v>
      </c>
      <c r="M59" s="3605">
        <f t="shared" si="16"/>
        <v>44166</v>
      </c>
      <c r="N59" s="3605">
        <f t="shared" si="16"/>
        <v>44136</v>
      </c>
      <c r="O59" s="3605">
        <f t="shared" si="16"/>
        <v>44105</v>
      </c>
      <c r="P59" s="3741"/>
      <c r="Q59" s="3606"/>
      <c r="R59" s="3606"/>
      <c r="S59" s="3606"/>
      <c r="T59" s="3606"/>
      <c r="U59" s="3606"/>
      <c r="V59" s="3606"/>
      <c r="W59" s="3606"/>
      <c r="X59" s="3606"/>
      <c r="Y59" s="3606"/>
      <c r="Z59" s="3606"/>
      <c r="AA59" s="3606"/>
      <c r="AB59" s="3606"/>
      <c r="AC59" s="3606"/>
    </row>
    <row r="60" spans="1:29" s="3442" customFormat="1" ht="15">
      <c r="A60" s="3608"/>
      <c r="B60" s="3609"/>
      <c r="C60" s="3610">
        <v>100</v>
      </c>
      <c r="D60" s="3611">
        <v>100</v>
      </c>
      <c r="E60" s="3611"/>
      <c r="F60" s="3611"/>
      <c r="G60" s="3611"/>
      <c r="H60" s="3611"/>
      <c r="I60" s="3611"/>
      <c r="J60" s="3611"/>
      <c r="K60" s="3611"/>
      <c r="L60" s="3611"/>
      <c r="M60" s="3612"/>
      <c r="N60" s="3611"/>
      <c r="O60" s="3612"/>
      <c r="P60" s="3742"/>
      <c r="Q60" s="3437"/>
      <c r="R60" s="3437"/>
      <c r="S60" s="3437"/>
      <c r="T60" s="3437"/>
      <c r="U60" s="3437"/>
      <c r="V60" s="3437"/>
      <c r="W60" s="3437"/>
      <c r="X60" s="3437"/>
      <c r="Y60" s="3437"/>
      <c r="Z60" s="3437"/>
      <c r="AA60" s="3437"/>
      <c r="AB60" s="3437"/>
      <c r="AC60" s="3437"/>
    </row>
    <row r="61" spans="1:29" s="3442" customFormat="1" ht="15.75" thickBot="1">
      <c r="A61" s="3614" t="s">
        <v>3186</v>
      </c>
      <c r="B61" s="3615"/>
      <c r="C61" s="3616"/>
      <c r="D61" s="3617"/>
      <c r="E61" s="3617"/>
      <c r="F61" s="3617"/>
      <c r="G61" s="3617"/>
      <c r="H61" s="3617"/>
      <c r="I61" s="3617"/>
      <c r="J61" s="3617"/>
      <c r="K61" s="3617"/>
      <c r="L61" s="3617"/>
      <c r="M61" s="3618"/>
      <c r="N61" s="3617"/>
      <c r="O61" s="3618"/>
      <c r="P61" s="3742"/>
      <c r="Q61" s="3601"/>
      <c r="R61" s="3437"/>
      <c r="S61" s="3437"/>
      <c r="T61" s="3437"/>
      <c r="U61" s="3437"/>
      <c r="V61" s="3437"/>
      <c r="W61" s="3437"/>
      <c r="X61" s="3437"/>
      <c r="Y61" s="3437"/>
      <c r="Z61" s="3437"/>
      <c r="AA61" s="3437"/>
      <c r="AB61" s="3437"/>
      <c r="AC61" s="3437"/>
    </row>
    <row r="62" spans="1:29" s="3442" customFormat="1" ht="15">
      <c r="A62" s="3620" t="s">
        <v>523</v>
      </c>
      <c r="B62" s="3609"/>
      <c r="C62" s="3621" t="s">
        <v>3178</v>
      </c>
      <c r="D62" s="3743" t="s">
        <v>3213</v>
      </c>
      <c r="E62" s="3622"/>
      <c r="F62" s="3622"/>
      <c r="G62" s="3622"/>
      <c r="H62" s="3622"/>
      <c r="I62" s="3622"/>
      <c r="J62" s="3622"/>
      <c r="K62" s="3622"/>
      <c r="L62" s="3623"/>
      <c r="M62" s="3624"/>
      <c r="N62" s="3625"/>
      <c r="O62" s="3625"/>
      <c r="P62" s="3744"/>
      <c r="Q62" s="3601"/>
      <c r="R62" s="3437"/>
      <c r="S62" s="3437"/>
      <c r="T62" s="3437"/>
      <c r="U62" s="3437"/>
      <c r="V62" s="3437"/>
      <c r="W62" s="3437"/>
      <c r="X62" s="3437"/>
      <c r="Y62" s="3437"/>
      <c r="Z62" s="3437"/>
      <c r="AA62" s="3437"/>
      <c r="AB62" s="3437"/>
      <c r="AC62" s="3437"/>
    </row>
    <row r="63" spans="1:29" s="3442" customFormat="1" ht="15.75" thickBot="1">
      <c r="A63" s="3620"/>
      <c r="B63" s="3609"/>
      <c r="C63" s="3627">
        <v>100</v>
      </c>
      <c r="D63" s="3611">
        <v>103</v>
      </c>
      <c r="E63" s="3611"/>
      <c r="F63" s="3611"/>
      <c r="G63" s="3611"/>
      <c r="H63" s="3611"/>
      <c r="I63" s="3611"/>
      <c r="J63" s="3611"/>
      <c r="K63" s="3611"/>
      <c r="L63" s="3611"/>
      <c r="M63" s="3613"/>
      <c r="N63" s="3625"/>
      <c r="O63" s="3625"/>
      <c r="P63" s="3742"/>
      <c r="Q63" s="3601"/>
      <c r="R63" s="3437"/>
      <c r="S63" s="3437"/>
      <c r="T63" s="3437"/>
      <c r="U63" s="3437"/>
      <c r="V63" s="3437"/>
      <c r="W63" s="3437"/>
      <c r="X63" s="3437"/>
      <c r="Y63" s="3437"/>
      <c r="Z63" s="3437"/>
      <c r="AA63" s="3437"/>
      <c r="AB63" s="3437"/>
      <c r="AC63" s="3437"/>
    </row>
    <row r="64" spans="1:29">
      <c r="A64" s="3629" t="s">
        <v>569</v>
      </c>
      <c r="B64" s="3630" t="s">
        <v>526</v>
      </c>
      <c r="C64" s="3631">
        <f>C9</f>
        <v>0</v>
      </c>
      <c r="D64" s="3632"/>
      <c r="E64" s="3632"/>
      <c r="F64" s="3632"/>
      <c r="G64" s="3632"/>
      <c r="H64" s="3632"/>
      <c r="I64" s="3632"/>
      <c r="J64" s="3632"/>
      <c r="K64" s="3633"/>
      <c r="L64" s="3634"/>
      <c r="M64" s="3635"/>
      <c r="N64" s="3636"/>
      <c r="O64" s="3636"/>
      <c r="P64" s="3745"/>
      <c r="Q64" s="3601"/>
      <c r="R64" s="3422"/>
      <c r="S64" s="3422"/>
      <c r="T64" s="3422"/>
      <c r="U64" s="3422"/>
      <c r="V64" s="3422"/>
      <c r="W64" s="3422"/>
      <c r="X64" s="3422"/>
      <c r="Y64" s="3422"/>
      <c r="Z64" s="3422"/>
      <c r="AA64" s="3422"/>
      <c r="AB64" s="3422"/>
      <c r="AC64" s="3422"/>
    </row>
    <row r="65" spans="1:29" ht="15.75" thickBot="1">
      <c r="A65" s="3493"/>
      <c r="B65" s="3637"/>
      <c r="C65" s="3638"/>
      <c r="D65" s="3638"/>
      <c r="E65" s="3638"/>
      <c r="F65" s="3638"/>
      <c r="G65" s="3638"/>
      <c r="H65" s="3638"/>
      <c r="I65" s="3638"/>
      <c r="J65" s="3638"/>
      <c r="K65" s="3638"/>
      <c r="L65" s="3638"/>
      <c r="M65" s="3639"/>
      <c r="N65" s="3640"/>
      <c r="O65" s="3640"/>
      <c r="P65" s="3745"/>
      <c r="Q65" s="3601"/>
      <c r="R65" s="3422"/>
      <c r="S65" s="3422"/>
      <c r="T65" s="3422"/>
      <c r="U65" s="3422"/>
      <c r="V65" s="3422"/>
      <c r="W65" s="3422"/>
      <c r="X65" s="3422"/>
      <c r="Y65" s="3422"/>
      <c r="Z65" s="3422"/>
      <c r="AA65" s="3422"/>
      <c r="AB65" s="3422"/>
      <c r="AC65" s="3422"/>
    </row>
    <row r="66" spans="1:29" ht="27.75" thickTop="1">
      <c r="A66" s="3493"/>
      <c r="B66" s="3641" t="s">
        <v>529</v>
      </c>
      <c r="C66" s="3642" t="s">
        <v>3187</v>
      </c>
      <c r="D66" s="3642" t="s">
        <v>3188</v>
      </c>
      <c r="E66" s="3642" t="s">
        <v>3189</v>
      </c>
      <c r="F66" s="3642" t="s">
        <v>3190</v>
      </c>
      <c r="G66" s="3642" t="s">
        <v>3191</v>
      </c>
      <c r="H66" s="3642" t="s">
        <v>3192</v>
      </c>
      <c r="I66" s="3642" t="s">
        <v>3193</v>
      </c>
      <c r="J66" s="3642"/>
      <c r="K66" s="3643"/>
      <c r="L66" s="3644"/>
      <c r="M66" s="3645"/>
      <c r="N66" s="3636"/>
      <c r="O66" s="3636"/>
      <c r="P66" s="3745"/>
      <c r="Q66" s="3601"/>
      <c r="R66" s="3422"/>
      <c r="S66" s="3422"/>
      <c r="T66" s="3422"/>
      <c r="U66" s="3422"/>
      <c r="V66" s="3422"/>
      <c r="W66" s="3422"/>
      <c r="X66" s="3422"/>
      <c r="Y66" s="3422"/>
      <c r="Z66" s="3422"/>
      <c r="AA66" s="3422"/>
      <c r="AB66" s="3422"/>
      <c r="AC66" s="3422"/>
    </row>
    <row r="67" spans="1:29" ht="15.75" thickBot="1">
      <c r="A67" s="3493"/>
      <c r="B67" s="3646"/>
      <c r="C67" s="3647" t="s">
        <v>2279</v>
      </c>
      <c r="D67" s="3647" t="s">
        <v>2279</v>
      </c>
      <c r="E67" s="3647">
        <v>100</v>
      </c>
      <c r="F67" s="3647">
        <f>E67-$K10</f>
        <v>99.5</v>
      </c>
      <c r="G67" s="3647">
        <f>F67-$K10</f>
        <v>99</v>
      </c>
      <c r="H67" s="3647">
        <f>G67-$K10</f>
        <v>98.5</v>
      </c>
      <c r="I67" s="3647">
        <f>H67-$K10</f>
        <v>98</v>
      </c>
      <c r="J67" s="3647"/>
      <c r="K67" s="3647"/>
      <c r="L67" s="3647"/>
      <c r="M67" s="3648"/>
      <c r="N67" s="3640"/>
      <c r="O67" s="3640"/>
      <c r="P67" s="3745"/>
      <c r="Q67" s="3601"/>
      <c r="R67" s="3422"/>
      <c r="S67" s="3422"/>
      <c r="T67" s="3422"/>
      <c r="U67" s="3422"/>
      <c r="V67" s="3422"/>
      <c r="W67" s="3422"/>
      <c r="X67" s="3422"/>
      <c r="Y67" s="3422"/>
      <c r="Z67" s="3422"/>
      <c r="AA67" s="3422"/>
      <c r="AB67" s="3422"/>
      <c r="AC67" s="3422"/>
    </row>
    <row r="68" spans="1:29" ht="15.75" thickTop="1">
      <c r="A68" s="3493"/>
      <c r="B68" s="3649" t="s">
        <v>530</v>
      </c>
      <c r="C68" s="3650" t="str">
        <f>C69&amp;"（含）"&amp;"-"&amp;D69</f>
        <v>0（含）-1</v>
      </c>
      <c r="D68" s="3650" t="str">
        <f t="shared" ref="D68:L68" si="17">D69&amp;"（含）"&amp;"-"&amp;E69</f>
        <v>1（含）-2</v>
      </c>
      <c r="E68" s="3650" t="str">
        <f t="shared" si="17"/>
        <v>2（含）-3</v>
      </c>
      <c r="F68" s="3650" t="str">
        <f t="shared" si="17"/>
        <v>3（含）-4</v>
      </c>
      <c r="G68" s="3650" t="str">
        <f t="shared" si="17"/>
        <v>4（含）-5</v>
      </c>
      <c r="H68" s="3650" t="str">
        <f t="shared" si="17"/>
        <v>5（含）-6</v>
      </c>
      <c r="I68" s="3650" t="str">
        <f t="shared" si="17"/>
        <v>6（含）-7</v>
      </c>
      <c r="J68" s="3650" t="str">
        <f t="shared" si="17"/>
        <v>7（含）-</v>
      </c>
      <c r="K68" s="3650" t="str">
        <f t="shared" si="17"/>
        <v>（含）-</v>
      </c>
      <c r="L68" s="3650" t="str">
        <f t="shared" si="17"/>
        <v>（含）-</v>
      </c>
      <c r="M68" s="3496" t="str">
        <f>M69&amp;"（含）"&amp;"-"&amp;P69</f>
        <v>（含）-</v>
      </c>
      <c r="N68" s="3640"/>
      <c r="O68" s="3640"/>
      <c r="P68" s="3745"/>
      <c r="Q68" s="3601"/>
      <c r="R68" s="3422"/>
      <c r="S68" s="3422"/>
      <c r="T68" s="3422"/>
      <c r="U68" s="3422"/>
      <c r="V68" s="3422"/>
      <c r="W68" s="3422"/>
      <c r="X68" s="3422"/>
      <c r="Y68" s="3422"/>
      <c r="Z68" s="3422"/>
      <c r="AA68" s="3422"/>
      <c r="AB68" s="3422"/>
      <c r="AC68" s="3422"/>
    </row>
    <row r="69" spans="1:29" ht="15">
      <c r="A69" s="3493"/>
      <c r="B69" s="3651"/>
      <c r="C69" s="3652">
        <v>0</v>
      </c>
      <c r="D69" s="3652">
        <v>1</v>
      </c>
      <c r="E69" s="3652">
        <v>2</v>
      </c>
      <c r="F69" s="3652">
        <v>3</v>
      </c>
      <c r="G69" s="3652">
        <v>4</v>
      </c>
      <c r="H69" s="3652">
        <v>5</v>
      </c>
      <c r="I69" s="3652">
        <v>6</v>
      </c>
      <c r="J69" s="3652">
        <v>7</v>
      </c>
      <c r="K69" s="3653"/>
      <c r="L69" s="3654"/>
      <c r="M69" s="3655"/>
      <c r="N69" s="3636"/>
      <c r="O69" s="3636"/>
      <c r="P69" s="3745"/>
      <c r="Q69" s="3601"/>
      <c r="R69" s="3422"/>
      <c r="S69" s="3422"/>
      <c r="T69" s="3422"/>
      <c r="U69" s="3422"/>
      <c r="V69" s="3422"/>
      <c r="W69" s="3422"/>
      <c r="X69" s="3422"/>
      <c r="Y69" s="3422"/>
      <c r="Z69" s="3422"/>
      <c r="AA69" s="3422"/>
      <c r="AB69" s="3422"/>
      <c r="AC69" s="3422"/>
    </row>
    <row r="70" spans="1:29" ht="15.75" thickBot="1">
      <c r="A70" s="3493"/>
      <c r="B70" s="3637"/>
      <c r="C70" s="3647">
        <v>100</v>
      </c>
      <c r="D70" s="3647">
        <f t="shared" ref="D70:M70" si="18">C70-$K11</f>
        <v>99.9</v>
      </c>
      <c r="E70" s="3647">
        <f t="shared" si="18"/>
        <v>99.800000000000011</v>
      </c>
      <c r="F70" s="3647">
        <f t="shared" si="18"/>
        <v>99.700000000000017</v>
      </c>
      <c r="G70" s="3647">
        <f t="shared" si="18"/>
        <v>99.600000000000023</v>
      </c>
      <c r="H70" s="3647">
        <f t="shared" si="18"/>
        <v>99.500000000000028</v>
      </c>
      <c r="I70" s="3647">
        <f t="shared" si="18"/>
        <v>99.400000000000034</v>
      </c>
      <c r="J70" s="3647">
        <f t="shared" si="18"/>
        <v>99.30000000000004</v>
      </c>
      <c r="K70" s="3647">
        <f t="shared" si="18"/>
        <v>99.200000000000045</v>
      </c>
      <c r="L70" s="3647">
        <f t="shared" si="18"/>
        <v>99.100000000000051</v>
      </c>
      <c r="M70" s="3648">
        <f t="shared" si="18"/>
        <v>99.000000000000057</v>
      </c>
      <c r="N70" s="3640"/>
      <c r="O70" s="3640"/>
      <c r="P70" s="3745"/>
      <c r="Q70" s="3601"/>
      <c r="R70" s="3422"/>
      <c r="S70" s="3422"/>
      <c r="T70" s="3422"/>
      <c r="U70" s="3422"/>
      <c r="V70" s="3422"/>
      <c r="W70" s="3422"/>
      <c r="X70" s="3422"/>
      <c r="Y70" s="3422"/>
      <c r="Z70" s="3422"/>
      <c r="AA70" s="3422"/>
      <c r="AB70" s="3422"/>
      <c r="AC70" s="3422"/>
    </row>
    <row r="71" spans="1:29" s="3544" customFormat="1" ht="15.75" thickTop="1">
      <c r="A71" s="3656"/>
      <c r="B71" s="3641">
        <f>B12</f>
        <v>111</v>
      </c>
      <c r="C71" s="3657"/>
      <c r="D71" s="3657"/>
      <c r="E71" s="3657"/>
      <c r="F71" s="3657"/>
      <c r="G71" s="3657"/>
      <c r="H71" s="3658"/>
      <c r="I71" s="3658"/>
      <c r="J71" s="3658"/>
      <c r="K71" s="3658"/>
      <c r="L71" s="3659"/>
      <c r="M71" s="3660"/>
      <c r="N71" s="3661"/>
      <c r="O71" s="3661"/>
      <c r="P71" s="3746"/>
      <c r="Q71" s="3662"/>
      <c r="R71" s="3537"/>
      <c r="S71" s="3537"/>
      <c r="T71" s="3537"/>
      <c r="U71" s="3537"/>
      <c r="V71" s="3537"/>
      <c r="W71" s="3537"/>
      <c r="X71" s="3537"/>
      <c r="Y71" s="3537"/>
      <c r="Z71" s="3537"/>
      <c r="AA71" s="3537"/>
      <c r="AB71" s="3537"/>
      <c r="AC71" s="3537"/>
    </row>
    <row r="72" spans="1:29" s="3544" customFormat="1" ht="15.75" thickBot="1">
      <c r="A72" s="3656"/>
      <c r="B72" s="3646"/>
      <c r="C72" s="3663"/>
      <c r="D72" s="3638"/>
      <c r="E72" s="3638"/>
      <c r="F72" s="3638"/>
      <c r="G72" s="3638"/>
      <c r="H72" s="3638"/>
      <c r="I72" s="3638"/>
      <c r="J72" s="3638"/>
      <c r="K72" s="3638"/>
      <c r="L72" s="3638"/>
      <c r="M72" s="3639"/>
      <c r="N72" s="3640"/>
      <c r="O72" s="3640"/>
      <c r="P72" s="3746"/>
      <c r="Q72" s="3662"/>
      <c r="R72" s="3537"/>
      <c r="S72" s="3537"/>
      <c r="T72" s="3537"/>
      <c r="U72" s="3537"/>
      <c r="V72" s="3537"/>
      <c r="W72" s="3537"/>
      <c r="X72" s="3537"/>
      <c r="Y72" s="3537"/>
      <c r="Z72" s="3537"/>
      <c r="AA72" s="3537"/>
      <c r="AB72" s="3537"/>
      <c r="AC72" s="3537"/>
    </row>
    <row r="73" spans="1:29" s="3544" customFormat="1" ht="15.75" thickTop="1">
      <c r="A73" s="3656"/>
      <c r="B73" s="3641">
        <f>B13</f>
        <v>111</v>
      </c>
      <c r="C73" s="3657"/>
      <c r="D73" s="3657"/>
      <c r="E73" s="3657"/>
      <c r="F73" s="3657"/>
      <c r="G73" s="3657"/>
      <c r="H73" s="3658"/>
      <c r="I73" s="3658"/>
      <c r="J73" s="3658"/>
      <c r="K73" s="3658"/>
      <c r="L73" s="3659"/>
      <c r="M73" s="3660"/>
      <c r="N73" s="3661"/>
      <c r="O73" s="3661"/>
      <c r="P73" s="3747"/>
      <c r="Q73" s="3664"/>
      <c r="R73" s="3537"/>
      <c r="S73" s="3537"/>
      <c r="T73" s="3537"/>
      <c r="U73" s="3537"/>
      <c r="V73" s="3537"/>
      <c r="W73" s="3537"/>
      <c r="X73" s="3537"/>
      <c r="Y73" s="3537"/>
      <c r="Z73" s="3537"/>
      <c r="AA73" s="3537"/>
      <c r="AB73" s="3537"/>
      <c r="AC73" s="3537"/>
    </row>
    <row r="74" spans="1:29" s="3544" customFormat="1" ht="15.75" thickBot="1">
      <c r="A74" s="3656"/>
      <c r="B74" s="3646"/>
      <c r="C74" s="3663"/>
      <c r="D74" s="3663"/>
      <c r="E74" s="3663"/>
      <c r="F74" s="3663"/>
      <c r="G74" s="3663"/>
      <c r="H74" s="3665"/>
      <c r="I74" s="3665"/>
      <c r="J74" s="3665"/>
      <c r="K74" s="3665"/>
      <c r="L74" s="3665"/>
      <c r="M74" s="3666"/>
      <c r="N74" s="3661"/>
      <c r="O74" s="3661"/>
      <c r="P74" s="3746"/>
      <c r="Q74" s="3662"/>
      <c r="R74" s="3537"/>
      <c r="S74" s="3537"/>
      <c r="T74" s="3537"/>
      <c r="U74" s="3537"/>
      <c r="V74" s="3537"/>
      <c r="W74" s="3537"/>
      <c r="X74" s="3537"/>
      <c r="Y74" s="3537"/>
      <c r="Z74" s="3537"/>
      <c r="AA74" s="3537"/>
      <c r="AB74" s="3537"/>
      <c r="AC74" s="3537"/>
    </row>
    <row r="75" spans="1:29" s="3544" customFormat="1" ht="15.75" thickTop="1">
      <c r="A75" s="3656"/>
      <c r="B75" s="3649">
        <f>B14</f>
        <v>111</v>
      </c>
      <c r="C75" s="3622"/>
      <c r="D75" s="3622"/>
      <c r="E75" s="3622"/>
      <c r="F75" s="3622"/>
      <c r="G75" s="3622"/>
      <c r="H75" s="3667"/>
      <c r="I75" s="3667"/>
      <c r="J75" s="3667"/>
      <c r="K75" s="3667"/>
      <c r="L75" s="3668"/>
      <c r="M75" s="3669"/>
      <c r="N75" s="3661"/>
      <c r="O75" s="3661"/>
      <c r="P75" s="3748"/>
      <c r="Q75" s="3662"/>
      <c r="R75" s="3537"/>
      <c r="S75" s="3537"/>
      <c r="T75" s="3537"/>
      <c r="U75" s="3537"/>
      <c r="V75" s="3537"/>
      <c r="W75" s="3537"/>
      <c r="X75" s="3537"/>
      <c r="Y75" s="3537"/>
      <c r="Z75" s="3537"/>
      <c r="AA75" s="3537"/>
      <c r="AB75" s="3537"/>
      <c r="AC75" s="3537"/>
    </row>
    <row r="76" spans="1:29" s="3544" customFormat="1" ht="15.75" thickBot="1">
      <c r="A76" s="3671"/>
      <c r="B76" s="3672"/>
      <c r="C76" s="3673"/>
      <c r="D76" s="3673"/>
      <c r="E76" s="3673"/>
      <c r="F76" s="3673"/>
      <c r="G76" s="3673"/>
      <c r="H76" s="3674"/>
      <c r="I76" s="3674"/>
      <c r="J76" s="3674"/>
      <c r="K76" s="3674"/>
      <c r="L76" s="3674"/>
      <c r="M76" s="3675"/>
      <c r="N76" s="3661"/>
      <c r="O76" s="3661"/>
      <c r="P76" s="3746"/>
      <c r="Q76" s="3662"/>
      <c r="R76" s="3537"/>
      <c r="S76" s="3537"/>
      <c r="T76" s="3537"/>
      <c r="U76" s="3537"/>
      <c r="V76" s="3537"/>
      <c r="W76" s="3537"/>
      <c r="X76" s="3537"/>
      <c r="Y76" s="3537"/>
      <c r="Z76" s="3537"/>
      <c r="AA76" s="3537"/>
      <c r="AB76" s="3537"/>
      <c r="AC76" s="3537"/>
    </row>
    <row r="77" spans="1:29">
      <c r="A77" s="3629" t="s">
        <v>531</v>
      </c>
      <c r="B77" s="3630" t="s">
        <v>577</v>
      </c>
      <c r="C77" s="3676" t="s">
        <v>571</v>
      </c>
      <c r="D77" s="3676" t="s">
        <v>572</v>
      </c>
      <c r="E77" s="3676" t="s">
        <v>573</v>
      </c>
      <c r="F77" s="3676" t="s">
        <v>574</v>
      </c>
      <c r="G77" s="3676" t="s">
        <v>575</v>
      </c>
      <c r="H77" s="3631"/>
      <c r="I77" s="3631"/>
      <c r="J77" s="3631"/>
      <c r="K77" s="3677"/>
      <c r="L77" s="3678"/>
      <c r="M77" s="3679"/>
      <c r="N77" s="3636"/>
      <c r="O77" s="3636"/>
      <c r="P77" s="3749"/>
      <c r="Q77" s="3601"/>
      <c r="R77" s="3422"/>
      <c r="S77" s="3422"/>
      <c r="T77" s="3422"/>
      <c r="U77" s="3422"/>
      <c r="V77" s="3422"/>
      <c r="W77" s="3422"/>
      <c r="X77" s="3422"/>
      <c r="Y77" s="3422"/>
      <c r="Z77" s="3422"/>
      <c r="AA77" s="3422"/>
      <c r="AB77" s="3422"/>
      <c r="AC77" s="3422"/>
    </row>
    <row r="78" spans="1:29" ht="15.75" thickBot="1">
      <c r="A78" s="3493"/>
      <c r="B78" s="3646"/>
      <c r="C78" s="3647">
        <v>100</v>
      </c>
      <c r="D78" s="3647">
        <f>C78-$K15</f>
        <v>97</v>
      </c>
      <c r="E78" s="3647">
        <f>D78-$K15</f>
        <v>94</v>
      </c>
      <c r="F78" s="3647">
        <f>E78-$K15</f>
        <v>91</v>
      </c>
      <c r="G78" s="3647">
        <f>F78-$K15</f>
        <v>88</v>
      </c>
      <c r="H78" s="3647"/>
      <c r="I78" s="3647"/>
      <c r="J78" s="3647"/>
      <c r="K78" s="3647"/>
      <c r="L78" s="3647"/>
      <c r="M78" s="3648"/>
      <c r="N78" s="3640"/>
      <c r="O78" s="3640"/>
      <c r="P78" s="3745"/>
      <c r="Q78" s="3601"/>
      <c r="R78" s="3422"/>
      <c r="S78" s="3422"/>
      <c r="T78" s="3422"/>
      <c r="U78" s="3422"/>
      <c r="V78" s="3422"/>
      <c r="W78" s="3422"/>
      <c r="X78" s="3422"/>
      <c r="Y78" s="3422"/>
      <c r="Z78" s="3422"/>
      <c r="AA78" s="3422"/>
      <c r="AB78" s="3422"/>
      <c r="AC78" s="3422"/>
    </row>
    <row r="79" spans="1:29" ht="15.75" thickTop="1">
      <c r="A79" s="3493"/>
      <c r="B79" s="3641" t="s">
        <v>578</v>
      </c>
      <c r="C79" s="3681" t="s">
        <v>571</v>
      </c>
      <c r="D79" s="3681" t="s">
        <v>572</v>
      </c>
      <c r="E79" s="3681" t="s">
        <v>573</v>
      </c>
      <c r="F79" s="3681" t="s">
        <v>574</v>
      </c>
      <c r="G79" s="3681" t="s">
        <v>575</v>
      </c>
      <c r="H79" s="3642"/>
      <c r="I79" s="3642"/>
      <c r="J79" s="3642"/>
      <c r="K79" s="3643"/>
      <c r="L79" s="3644"/>
      <c r="M79" s="3645"/>
      <c r="N79" s="3636"/>
      <c r="O79" s="3636"/>
      <c r="P79" s="3745"/>
      <c r="Q79" s="3601"/>
      <c r="R79" s="3422"/>
      <c r="S79" s="3422"/>
      <c r="T79" s="3422"/>
      <c r="U79" s="3422"/>
      <c r="V79" s="3422"/>
      <c r="W79" s="3422"/>
      <c r="X79" s="3422"/>
      <c r="Y79" s="3422"/>
      <c r="Z79" s="3422"/>
      <c r="AA79" s="3422"/>
      <c r="AB79" s="3422"/>
      <c r="AC79" s="3422"/>
    </row>
    <row r="80" spans="1:29" ht="15.75" thickBot="1">
      <c r="A80" s="3493"/>
      <c r="B80" s="3646"/>
      <c r="C80" s="3647">
        <v>100</v>
      </c>
      <c r="D80" s="3647">
        <f>C80-$K17</f>
        <v>95</v>
      </c>
      <c r="E80" s="3647">
        <f>D80-$K17</f>
        <v>90</v>
      </c>
      <c r="F80" s="3647">
        <f>E80-$K17</f>
        <v>85</v>
      </c>
      <c r="G80" s="3647">
        <f>F80-$K17</f>
        <v>80</v>
      </c>
      <c r="H80" s="3647"/>
      <c r="I80" s="3647"/>
      <c r="J80" s="3647"/>
      <c r="K80" s="3647"/>
      <c r="L80" s="3647"/>
      <c r="M80" s="3648"/>
      <c r="N80" s="3640"/>
      <c r="O80" s="3640"/>
      <c r="P80" s="3745"/>
      <c r="Q80" s="3601"/>
      <c r="R80" s="3422"/>
      <c r="S80" s="3422"/>
      <c r="T80" s="3422"/>
      <c r="U80" s="3422"/>
      <c r="V80" s="3422"/>
      <c r="W80" s="3422"/>
      <c r="X80" s="3422"/>
      <c r="Y80" s="3422"/>
      <c r="Z80" s="3422"/>
      <c r="AA80" s="3422"/>
      <c r="AB80" s="3422"/>
      <c r="AC80" s="3422"/>
    </row>
    <row r="81" spans="1:29" ht="15.75" thickTop="1">
      <c r="A81" s="3493"/>
      <c r="B81" s="3682" t="s">
        <v>2302</v>
      </c>
      <c r="C81" s="3681" t="s">
        <v>571</v>
      </c>
      <c r="D81" s="3681" t="s">
        <v>572</v>
      </c>
      <c r="E81" s="3681" t="s">
        <v>573</v>
      </c>
      <c r="F81" s="3681" t="s">
        <v>574</v>
      </c>
      <c r="G81" s="3681" t="s">
        <v>575</v>
      </c>
      <c r="H81" s="3642"/>
      <c r="I81" s="3642"/>
      <c r="J81" s="3642"/>
      <c r="K81" s="3643"/>
      <c r="L81" s="3644"/>
      <c r="M81" s="3645"/>
      <c r="N81" s="3636"/>
      <c r="O81" s="3636"/>
      <c r="P81" s="3745"/>
      <c r="Q81" s="3601"/>
      <c r="R81" s="3422"/>
      <c r="S81" s="3422"/>
      <c r="T81" s="3422"/>
      <c r="U81" s="3422"/>
      <c r="V81" s="3422"/>
      <c r="W81" s="3422"/>
      <c r="X81" s="3422"/>
      <c r="Y81" s="3422"/>
      <c r="Z81" s="3422"/>
      <c r="AA81" s="3422"/>
      <c r="AB81" s="3422"/>
      <c r="AC81" s="3422"/>
    </row>
    <row r="82" spans="1:29" ht="15.75" thickBot="1">
      <c r="A82" s="3493"/>
      <c r="B82" s="3646"/>
      <c r="C82" s="3647">
        <v>100</v>
      </c>
      <c r="D82" s="3647">
        <f>C82-$K19</f>
        <v>99</v>
      </c>
      <c r="E82" s="3647">
        <f>D82-$K19</f>
        <v>98</v>
      </c>
      <c r="F82" s="3647">
        <f>E82-$K19</f>
        <v>97</v>
      </c>
      <c r="G82" s="3647">
        <f>F82-$K19</f>
        <v>96</v>
      </c>
      <c r="H82" s="3647"/>
      <c r="I82" s="3647"/>
      <c r="J82" s="3647"/>
      <c r="K82" s="3647"/>
      <c r="L82" s="3647"/>
      <c r="M82" s="3648"/>
      <c r="N82" s="3640"/>
      <c r="O82" s="3640"/>
      <c r="P82" s="3745"/>
      <c r="Q82" s="3601"/>
      <c r="R82" s="3422"/>
      <c r="S82" s="3422"/>
      <c r="T82" s="3422"/>
      <c r="U82" s="3422"/>
      <c r="V82" s="3422"/>
      <c r="W82" s="3422"/>
      <c r="X82" s="3422"/>
      <c r="Y82" s="3422"/>
      <c r="Z82" s="3422"/>
      <c r="AA82" s="3422"/>
      <c r="AB82" s="3422"/>
      <c r="AC82" s="3422"/>
    </row>
    <row r="83" spans="1:29" ht="15.75" thickTop="1">
      <c r="A83" s="3493"/>
      <c r="B83" s="3683" t="s">
        <v>3180</v>
      </c>
      <c r="C83" s="3684" t="s">
        <v>1970</v>
      </c>
      <c r="D83" s="3684" t="s">
        <v>1969</v>
      </c>
      <c r="E83" s="3684" t="s">
        <v>1968</v>
      </c>
      <c r="F83" s="3684" t="s">
        <v>1967</v>
      </c>
      <c r="G83" s="3684" t="s">
        <v>1966</v>
      </c>
      <c r="H83" s="3642"/>
      <c r="I83" s="3642"/>
      <c r="J83" s="3642"/>
      <c r="K83" s="3642"/>
      <c r="L83" s="3642"/>
      <c r="M83" s="3685"/>
      <c r="N83" s="3640"/>
      <c r="O83" s="3640"/>
      <c r="P83" s="3745"/>
      <c r="Q83" s="3601"/>
      <c r="R83" s="3422"/>
      <c r="S83" s="3422"/>
      <c r="T83" s="3422"/>
      <c r="U83" s="3422"/>
      <c r="V83" s="3422"/>
      <c r="W83" s="3422"/>
      <c r="X83" s="3422"/>
      <c r="Y83" s="3422"/>
      <c r="Z83" s="3422"/>
      <c r="AA83" s="3422"/>
      <c r="AB83" s="3422"/>
      <c r="AC83" s="3422"/>
    </row>
    <row r="84" spans="1:29" ht="15.75" thickBot="1">
      <c r="A84" s="3493"/>
      <c r="B84" s="3649"/>
      <c r="C84" s="3647">
        <v>100</v>
      </c>
      <c r="D84" s="3647">
        <f>C84-$K21</f>
        <v>99</v>
      </c>
      <c r="E84" s="3647">
        <f>D84-$K21</f>
        <v>98</v>
      </c>
      <c r="F84" s="3647">
        <f>E84-$K21</f>
        <v>97</v>
      </c>
      <c r="G84" s="3647">
        <f>F84-$K21</f>
        <v>96</v>
      </c>
      <c r="H84" s="3686"/>
      <c r="I84" s="3686"/>
      <c r="J84" s="3686"/>
      <c r="K84" s="3686"/>
      <c r="L84" s="3686"/>
      <c r="M84" s="3498"/>
      <c r="N84" s="3640"/>
      <c r="O84" s="3640"/>
      <c r="P84" s="3745"/>
      <c r="Q84" s="3601"/>
      <c r="R84" s="3422"/>
      <c r="S84" s="3422"/>
      <c r="T84" s="3422"/>
      <c r="U84" s="3422"/>
      <c r="V84" s="3422"/>
      <c r="W84" s="3422"/>
      <c r="X84" s="3422"/>
      <c r="Y84" s="3422"/>
      <c r="Z84" s="3422"/>
      <c r="AA84" s="3422"/>
      <c r="AB84" s="3422"/>
      <c r="AC84" s="3422"/>
    </row>
    <row r="85" spans="1:29" ht="15.75" thickTop="1">
      <c r="A85" s="3493"/>
      <c r="B85" s="3641" t="s">
        <v>776</v>
      </c>
      <c r="C85" s="3681" t="s">
        <v>571</v>
      </c>
      <c r="D85" s="3681" t="s">
        <v>572</v>
      </c>
      <c r="E85" s="3681" t="s">
        <v>573</v>
      </c>
      <c r="F85" s="3681" t="s">
        <v>574</v>
      </c>
      <c r="G85" s="3681" t="s">
        <v>575</v>
      </c>
      <c r="H85" s="3642"/>
      <c r="I85" s="3642"/>
      <c r="J85" s="3642"/>
      <c r="K85" s="3643"/>
      <c r="L85" s="3644"/>
      <c r="M85" s="3645"/>
      <c r="N85" s="3636"/>
      <c r="O85" s="3636"/>
      <c r="P85" s="3745"/>
      <c r="Q85" s="3601"/>
      <c r="R85" s="3422"/>
      <c r="S85" s="3422"/>
      <c r="T85" s="3422"/>
      <c r="U85" s="3422"/>
      <c r="V85" s="3422"/>
      <c r="W85" s="3422"/>
      <c r="X85" s="3422"/>
      <c r="Y85" s="3422"/>
      <c r="Z85" s="3422"/>
      <c r="AA85" s="3422"/>
      <c r="AB85" s="3422"/>
      <c r="AC85" s="3422"/>
    </row>
    <row r="86" spans="1:29" ht="15.75" thickBot="1">
      <c r="A86" s="3493"/>
      <c r="B86" s="3646"/>
      <c r="C86" s="3647">
        <v>100</v>
      </c>
      <c r="D86" s="3647">
        <f>C86-$K23</f>
        <v>99</v>
      </c>
      <c r="E86" s="3647">
        <f>D86-$K23</f>
        <v>98</v>
      </c>
      <c r="F86" s="3647">
        <f>E86-$K23</f>
        <v>97</v>
      </c>
      <c r="G86" s="3647">
        <f>F86-$K23</f>
        <v>96</v>
      </c>
      <c r="H86" s="3647"/>
      <c r="I86" s="3647"/>
      <c r="J86" s="3647"/>
      <c r="K86" s="3647"/>
      <c r="L86" s="3647"/>
      <c r="M86" s="3648"/>
      <c r="N86" s="3640"/>
      <c r="O86" s="3640"/>
      <c r="P86" s="3745"/>
      <c r="Q86" s="3601"/>
      <c r="R86" s="3422"/>
      <c r="S86" s="3422"/>
      <c r="T86" s="3422"/>
      <c r="U86" s="3422"/>
      <c r="V86" s="3422"/>
      <c r="W86" s="3422"/>
      <c r="X86" s="3422"/>
      <c r="Y86" s="3422"/>
      <c r="Z86" s="3422"/>
      <c r="AA86" s="3422"/>
      <c r="AB86" s="3422"/>
      <c r="AC86" s="3422"/>
    </row>
    <row r="87" spans="1:29" s="3442" customFormat="1" ht="27.75" thickTop="1">
      <c r="A87" s="3524"/>
      <c r="B87" s="3641" t="s">
        <v>777</v>
      </c>
      <c r="C87" s="3687" t="s">
        <v>3194</v>
      </c>
      <c r="D87" s="3687" t="s">
        <v>3195</v>
      </c>
      <c r="E87" s="3687" t="s">
        <v>3237</v>
      </c>
      <c r="F87" s="3657"/>
      <c r="G87" s="3657"/>
      <c r="H87" s="3657"/>
      <c r="I87" s="3657"/>
      <c r="J87" s="3657"/>
      <c r="K87" s="3657"/>
      <c r="L87" s="3688"/>
      <c r="M87" s="3689"/>
      <c r="N87" s="3625"/>
      <c r="O87" s="3625"/>
      <c r="P87" s="3745"/>
      <c r="Q87" s="3601"/>
      <c r="R87" s="3437"/>
      <c r="S87" s="3437"/>
      <c r="T87" s="3437"/>
      <c r="U87" s="3437"/>
      <c r="V87" s="3437"/>
      <c r="W87" s="3437"/>
      <c r="X87" s="3437"/>
      <c r="Y87" s="3437"/>
      <c r="Z87" s="3437"/>
      <c r="AA87" s="3437"/>
      <c r="AB87" s="3437"/>
      <c r="AC87" s="3437"/>
    </row>
    <row r="88" spans="1:29" s="3442" customFormat="1" ht="15.75" thickBot="1">
      <c r="A88" s="3524"/>
      <c r="B88" s="3646"/>
      <c r="C88" s="3690">
        <v>100</v>
      </c>
      <c r="D88" s="3647">
        <f t="shared" ref="D88:M88" si="19">C88-$K25</f>
        <v>99</v>
      </c>
      <c r="E88" s="3647">
        <f t="shared" si="19"/>
        <v>98</v>
      </c>
      <c r="F88" s="3647">
        <f t="shared" si="19"/>
        <v>97</v>
      </c>
      <c r="G88" s="3647">
        <f t="shared" si="19"/>
        <v>96</v>
      </c>
      <c r="H88" s="3647">
        <f t="shared" si="19"/>
        <v>95</v>
      </c>
      <c r="I88" s="3647">
        <f t="shared" si="19"/>
        <v>94</v>
      </c>
      <c r="J88" s="3647">
        <f t="shared" si="19"/>
        <v>93</v>
      </c>
      <c r="K88" s="3647">
        <f t="shared" si="19"/>
        <v>92</v>
      </c>
      <c r="L88" s="3647">
        <f t="shared" si="19"/>
        <v>91</v>
      </c>
      <c r="M88" s="3647">
        <f t="shared" si="19"/>
        <v>90</v>
      </c>
      <c r="N88" s="3640"/>
      <c r="O88" s="3640"/>
      <c r="P88" s="3745"/>
      <c r="Q88" s="3601"/>
      <c r="R88" s="3437"/>
      <c r="S88" s="3437"/>
      <c r="T88" s="3437"/>
      <c r="U88" s="3437"/>
      <c r="V88" s="3437"/>
      <c r="W88" s="3437"/>
      <c r="X88" s="3437"/>
      <c r="Y88" s="3437"/>
      <c r="Z88" s="3437"/>
      <c r="AA88" s="3437"/>
      <c r="AB88" s="3437"/>
      <c r="AC88" s="3437"/>
    </row>
    <row r="89" spans="1:29" s="3442" customFormat="1" ht="15.75" thickTop="1">
      <c r="A89" s="3524"/>
      <c r="B89" s="3641" t="str">
        <f>B27</f>
        <v>楼层</v>
      </c>
      <c r="C89" s="3687" t="s">
        <v>2246</v>
      </c>
      <c r="D89" s="3687" t="s">
        <v>3214</v>
      </c>
      <c r="E89" s="3687" t="s">
        <v>3215</v>
      </c>
      <c r="F89" s="3750" t="s">
        <v>3216</v>
      </c>
      <c r="G89" s="3657"/>
      <c r="H89" s="3657"/>
      <c r="I89" s="3657"/>
      <c r="J89" s="3657"/>
      <c r="K89" s="3657"/>
      <c r="L89" s="3657"/>
      <c r="M89" s="3689"/>
      <c r="N89" s="3625"/>
      <c r="O89" s="3625"/>
      <c r="P89" s="3745"/>
      <c r="Q89" s="3601"/>
      <c r="R89" s="3437"/>
      <c r="S89" s="3437"/>
      <c r="T89" s="3437"/>
      <c r="U89" s="3437"/>
      <c r="V89" s="3437"/>
      <c r="W89" s="3437"/>
      <c r="X89" s="3437"/>
      <c r="Y89" s="3437"/>
      <c r="Z89" s="3437"/>
      <c r="AA89" s="3437"/>
      <c r="AB89" s="3437"/>
      <c r="AC89" s="3437"/>
    </row>
    <row r="90" spans="1:29" s="3442" customFormat="1" ht="15.75" thickBot="1">
      <c r="A90" s="3524"/>
      <c r="B90" s="3646"/>
      <c r="C90" s="3690">
        <v>100</v>
      </c>
      <c r="D90" s="3647">
        <f>C90-$K27</f>
        <v>99</v>
      </c>
      <c r="E90" s="3647">
        <f t="shared" ref="E90:M90" si="20">D90-$K27</f>
        <v>98</v>
      </c>
      <c r="F90" s="3647">
        <f t="shared" si="20"/>
        <v>97</v>
      </c>
      <c r="G90" s="3647">
        <f t="shared" si="20"/>
        <v>96</v>
      </c>
      <c r="H90" s="3647">
        <f t="shared" si="20"/>
        <v>95</v>
      </c>
      <c r="I90" s="3647">
        <f t="shared" si="20"/>
        <v>94</v>
      </c>
      <c r="J90" s="3647">
        <f t="shared" si="20"/>
        <v>93</v>
      </c>
      <c r="K90" s="3647">
        <f t="shared" si="20"/>
        <v>92</v>
      </c>
      <c r="L90" s="3647">
        <f t="shared" si="20"/>
        <v>91</v>
      </c>
      <c r="M90" s="3647">
        <f t="shared" si="20"/>
        <v>90</v>
      </c>
      <c r="N90" s="3640"/>
      <c r="O90" s="3640"/>
      <c r="P90" s="3745"/>
      <c r="Q90" s="3601"/>
      <c r="R90" s="3437"/>
      <c r="S90" s="3437"/>
      <c r="T90" s="3437"/>
      <c r="U90" s="3437"/>
      <c r="V90" s="3437"/>
      <c r="W90" s="3437"/>
      <c r="X90" s="3437"/>
      <c r="Y90" s="3437"/>
      <c r="Z90" s="3437"/>
      <c r="AA90" s="3437"/>
      <c r="AB90" s="3437"/>
      <c r="AC90" s="3437"/>
    </row>
    <row r="91" spans="1:29" s="3544" customFormat="1" ht="15.75" thickTop="1">
      <c r="A91" s="3656"/>
      <c r="B91" s="3641" t="str">
        <f>B28</f>
        <v>朝向</v>
      </c>
      <c r="C91" s="3657"/>
      <c r="D91" s="3657"/>
      <c r="E91" s="3657"/>
      <c r="F91" s="3657"/>
      <c r="G91" s="3657"/>
      <c r="H91" s="3658"/>
      <c r="I91" s="3658"/>
      <c r="J91" s="3658"/>
      <c r="K91" s="3658"/>
      <c r="L91" s="3659"/>
      <c r="M91" s="3660"/>
      <c r="N91" s="3661"/>
      <c r="O91" s="3661"/>
      <c r="P91" s="3746"/>
      <c r="Q91" s="3662"/>
      <c r="R91" s="3537"/>
      <c r="S91" s="3537"/>
      <c r="T91" s="3537"/>
      <c r="U91" s="3537"/>
      <c r="V91" s="3537"/>
      <c r="W91" s="3537"/>
      <c r="X91" s="3537"/>
      <c r="Y91" s="3537"/>
      <c r="Z91" s="3537"/>
      <c r="AA91" s="3537"/>
      <c r="AB91" s="3537"/>
      <c r="AC91" s="3537"/>
    </row>
    <row r="92" spans="1:29" s="3544" customFormat="1" ht="15.75" thickBot="1">
      <c r="A92" s="3656"/>
      <c r="B92" s="3646"/>
      <c r="C92" s="3690">
        <v>100</v>
      </c>
      <c r="D92" s="3647">
        <f t="shared" ref="D92:M92" si="21">C92-$K28</f>
        <v>100</v>
      </c>
      <c r="E92" s="3647">
        <f t="shared" si="21"/>
        <v>100</v>
      </c>
      <c r="F92" s="3647">
        <f t="shared" si="21"/>
        <v>100</v>
      </c>
      <c r="G92" s="3647">
        <f t="shared" si="21"/>
        <v>100</v>
      </c>
      <c r="H92" s="3647">
        <f t="shared" si="21"/>
        <v>100</v>
      </c>
      <c r="I92" s="3647">
        <f t="shared" si="21"/>
        <v>100</v>
      </c>
      <c r="J92" s="3647">
        <f t="shared" si="21"/>
        <v>100</v>
      </c>
      <c r="K92" s="3647">
        <f t="shared" si="21"/>
        <v>100</v>
      </c>
      <c r="L92" s="3647">
        <f t="shared" si="21"/>
        <v>100</v>
      </c>
      <c r="M92" s="3647">
        <f t="shared" si="21"/>
        <v>100</v>
      </c>
      <c r="N92" s="3661"/>
      <c r="O92" s="3661"/>
      <c r="P92" s="3746"/>
      <c r="Q92" s="3662"/>
      <c r="R92" s="3537"/>
      <c r="S92" s="3537"/>
      <c r="T92" s="3537"/>
      <c r="U92" s="3537"/>
      <c r="V92" s="3537"/>
      <c r="W92" s="3537"/>
      <c r="X92" s="3537"/>
      <c r="Y92" s="3537"/>
      <c r="Z92" s="3537"/>
      <c r="AA92" s="3537"/>
      <c r="AB92" s="3537"/>
      <c r="AC92" s="3537"/>
    </row>
    <row r="93" spans="1:29" ht="15.75" thickTop="1">
      <c r="A93" s="3493"/>
      <c r="B93" s="3641">
        <f>B29</f>
        <v>111</v>
      </c>
      <c r="C93" s="3657"/>
      <c r="D93" s="3657"/>
      <c r="E93" s="3657"/>
      <c r="F93" s="3657"/>
      <c r="G93" s="3657"/>
      <c r="H93" s="3657"/>
      <c r="I93" s="3657"/>
      <c r="J93" s="3657"/>
      <c r="K93" s="3657"/>
      <c r="L93" s="3688"/>
      <c r="M93" s="3689"/>
      <c r="N93" s="3636"/>
      <c r="O93" s="3636"/>
      <c r="P93" s="3745"/>
      <c r="Q93" s="3601"/>
      <c r="R93" s="3422"/>
      <c r="S93" s="3422"/>
      <c r="T93" s="3422"/>
      <c r="U93" s="3422"/>
      <c r="V93" s="3422"/>
      <c r="W93" s="3422"/>
      <c r="X93" s="3422"/>
      <c r="Y93" s="3422"/>
      <c r="Z93" s="3422"/>
      <c r="AA93" s="3422"/>
      <c r="AB93" s="3422"/>
      <c r="AC93" s="3422"/>
    </row>
    <row r="94" spans="1:29" ht="15.75" thickBot="1">
      <c r="A94" s="3493"/>
      <c r="B94" s="3646"/>
      <c r="C94" s="3663"/>
      <c r="D94" s="3638"/>
      <c r="E94" s="3638"/>
      <c r="F94" s="3638"/>
      <c r="G94" s="3638"/>
      <c r="H94" s="3638"/>
      <c r="I94" s="3638"/>
      <c r="J94" s="3638"/>
      <c r="K94" s="3638"/>
      <c r="L94" s="3638"/>
      <c r="M94" s="3639"/>
      <c r="N94" s="3640"/>
      <c r="O94" s="3640"/>
      <c r="P94" s="3745"/>
      <c r="Q94" s="3601"/>
      <c r="R94" s="3422"/>
      <c r="S94" s="3422"/>
      <c r="T94" s="3422"/>
      <c r="U94" s="3422"/>
      <c r="V94" s="3422"/>
      <c r="W94" s="3422"/>
      <c r="X94" s="3422"/>
      <c r="Y94" s="3422"/>
      <c r="Z94" s="3422"/>
      <c r="AA94" s="3422"/>
      <c r="AB94" s="3422"/>
      <c r="AC94" s="3422"/>
    </row>
    <row r="95" spans="1:29" ht="15.75" thickTop="1">
      <c r="A95" s="3493"/>
      <c r="B95" s="3641">
        <f>B30</f>
        <v>111</v>
      </c>
      <c r="C95" s="3657"/>
      <c r="D95" s="3657"/>
      <c r="E95" s="3657"/>
      <c r="F95" s="3657"/>
      <c r="G95" s="3692"/>
      <c r="H95" s="3692"/>
      <c r="I95" s="3692"/>
      <c r="J95" s="3692"/>
      <c r="K95" s="3693"/>
      <c r="L95" s="3694"/>
      <c r="M95" s="3695"/>
      <c r="N95" s="3636"/>
      <c r="O95" s="3636"/>
      <c r="P95" s="3745"/>
      <c r="Q95" s="3601"/>
      <c r="R95" s="3422"/>
      <c r="S95" s="3422"/>
      <c r="T95" s="3422"/>
      <c r="U95" s="3422"/>
      <c r="V95" s="3422"/>
      <c r="W95" s="3422"/>
      <c r="X95" s="3422"/>
      <c r="Y95" s="3422"/>
      <c r="Z95" s="3422"/>
      <c r="AA95" s="3422"/>
      <c r="AB95" s="3422"/>
      <c r="AC95" s="3422"/>
    </row>
    <row r="96" spans="1:29" ht="15.75" thickBot="1">
      <c r="A96" s="3493"/>
      <c r="B96" s="3646"/>
      <c r="C96" s="3663"/>
      <c r="D96" s="3663"/>
      <c r="E96" s="3663"/>
      <c r="F96" s="3663"/>
      <c r="G96" s="3638"/>
      <c r="H96" s="3638"/>
      <c r="I96" s="3638"/>
      <c r="J96" s="3638"/>
      <c r="K96" s="3638"/>
      <c r="L96" s="3638"/>
      <c r="M96" s="3639"/>
      <c r="N96" s="3640"/>
      <c r="O96" s="3640"/>
      <c r="P96" s="3745"/>
      <c r="Q96" s="3601"/>
      <c r="R96" s="3422"/>
      <c r="S96" s="3422"/>
      <c r="T96" s="3422"/>
      <c r="U96" s="3422"/>
      <c r="V96" s="3422"/>
      <c r="W96" s="3422"/>
      <c r="X96" s="3422"/>
      <c r="Y96" s="3422"/>
      <c r="Z96" s="3422"/>
      <c r="AA96" s="3422"/>
      <c r="AB96" s="3422"/>
      <c r="AC96" s="3422"/>
    </row>
    <row r="97" spans="1:29" ht="15.75" thickTop="1">
      <c r="A97" s="3493"/>
      <c r="B97" s="3641">
        <f>B31</f>
        <v>111</v>
      </c>
      <c r="C97" s="3657"/>
      <c r="D97" s="3657"/>
      <c r="E97" s="3657"/>
      <c r="F97" s="3657"/>
      <c r="G97" s="3692"/>
      <c r="H97" s="3692"/>
      <c r="I97" s="3692"/>
      <c r="J97" s="3692"/>
      <c r="K97" s="3693"/>
      <c r="L97" s="3694"/>
      <c r="M97" s="3695"/>
      <c r="N97" s="3636"/>
      <c r="O97" s="3636"/>
      <c r="P97" s="3745"/>
      <c r="Q97" s="3601"/>
      <c r="R97" s="3422"/>
      <c r="S97" s="3422"/>
      <c r="T97" s="3422"/>
      <c r="U97" s="3422"/>
      <c r="V97" s="3422"/>
      <c r="W97" s="3422"/>
      <c r="X97" s="3422"/>
      <c r="Y97" s="3422"/>
      <c r="Z97" s="3422"/>
      <c r="AA97" s="3422"/>
      <c r="AB97" s="3422"/>
      <c r="AC97" s="3422"/>
    </row>
    <row r="98" spans="1:29" ht="15.75" thickBot="1">
      <c r="A98" s="3493"/>
      <c r="B98" s="3646"/>
      <c r="C98" s="3663"/>
      <c r="D98" s="3638"/>
      <c r="E98" s="3638"/>
      <c r="F98" s="3638"/>
      <c r="G98" s="3638"/>
      <c r="H98" s="3638"/>
      <c r="I98" s="3638"/>
      <c r="J98" s="3638"/>
      <c r="K98" s="3638"/>
      <c r="L98" s="3638"/>
      <c r="M98" s="3639"/>
      <c r="N98" s="3640"/>
      <c r="O98" s="3640"/>
      <c r="P98" s="3745"/>
      <c r="Q98" s="3601"/>
      <c r="R98" s="3422"/>
      <c r="S98" s="3422"/>
      <c r="T98" s="3422"/>
      <c r="U98" s="3422"/>
      <c r="V98" s="3422"/>
      <c r="W98" s="3422"/>
      <c r="X98" s="3422"/>
      <c r="Y98" s="3422"/>
      <c r="Z98" s="3422"/>
      <c r="AA98" s="3422"/>
      <c r="AB98" s="3422"/>
      <c r="AC98" s="3422"/>
    </row>
    <row r="99" spans="1:29" ht="15.75" thickTop="1">
      <c r="A99" s="3493"/>
      <c r="B99" s="3649">
        <f>B32</f>
        <v>111</v>
      </c>
      <c r="C99" s="3622"/>
      <c r="D99" s="3622"/>
      <c r="E99" s="3622"/>
      <c r="F99" s="3622"/>
      <c r="G99" s="3696"/>
      <c r="H99" s="3696"/>
      <c r="I99" s="3696"/>
      <c r="J99" s="3696"/>
      <c r="K99" s="3697"/>
      <c r="L99" s="3698"/>
      <c r="M99" s="3699"/>
      <c r="N99" s="3636"/>
      <c r="O99" s="3636"/>
      <c r="P99" s="3745"/>
      <c r="Q99" s="3601"/>
      <c r="R99" s="3422"/>
      <c r="S99" s="3422"/>
      <c r="T99" s="3422"/>
      <c r="U99" s="3422"/>
      <c r="V99" s="3422"/>
      <c r="W99" s="3422"/>
      <c r="X99" s="3422"/>
      <c r="Y99" s="3422"/>
      <c r="Z99" s="3422"/>
      <c r="AA99" s="3422"/>
      <c r="AB99" s="3422"/>
      <c r="AC99" s="3422"/>
    </row>
    <row r="100" spans="1:29" ht="15.75" thickBot="1">
      <c r="A100" s="3529"/>
      <c r="B100" s="3672"/>
      <c r="C100" s="3673"/>
      <c r="D100" s="3673"/>
      <c r="E100" s="3673"/>
      <c r="F100" s="3673"/>
      <c r="G100" s="3700"/>
      <c r="H100" s="3700"/>
      <c r="I100" s="3700"/>
      <c r="J100" s="3700"/>
      <c r="K100" s="3700"/>
      <c r="L100" s="3700"/>
      <c r="M100" s="3701"/>
      <c r="N100" s="3640"/>
      <c r="O100" s="3640"/>
      <c r="P100" s="3745"/>
      <c r="Q100" s="3601"/>
      <c r="R100" s="3422"/>
      <c r="S100" s="3422"/>
      <c r="T100" s="3422"/>
      <c r="U100" s="3422"/>
      <c r="V100" s="3422"/>
      <c r="W100" s="3422"/>
      <c r="X100" s="3422"/>
      <c r="Y100" s="3422"/>
      <c r="Z100" s="3422"/>
      <c r="AA100" s="3422"/>
      <c r="AB100" s="3422"/>
      <c r="AC100" s="3422"/>
    </row>
    <row r="101" spans="1:29">
      <c r="A101" s="3629" t="s">
        <v>543</v>
      </c>
      <c r="B101" s="3630" t="s">
        <v>739</v>
      </c>
      <c r="C101" s="3632"/>
      <c r="D101" s="3632"/>
      <c r="E101" s="3632"/>
      <c r="F101" s="3632"/>
      <c r="G101" s="3632"/>
      <c r="H101" s="3632"/>
      <c r="I101" s="3632"/>
      <c r="J101" s="3632"/>
      <c r="K101" s="3633"/>
      <c r="L101" s="3634"/>
      <c r="M101" s="3635"/>
      <c r="N101" s="3636"/>
      <c r="O101" s="3636"/>
      <c r="P101" s="3745"/>
      <c r="Q101" s="3601"/>
      <c r="R101" s="3422"/>
      <c r="S101" s="3422"/>
      <c r="T101" s="3422"/>
      <c r="U101" s="3422"/>
      <c r="V101" s="3422"/>
      <c r="W101" s="3422"/>
      <c r="X101" s="3422"/>
      <c r="Y101" s="3422"/>
      <c r="Z101" s="3422"/>
      <c r="AA101" s="3422"/>
      <c r="AB101" s="3422"/>
      <c r="AC101" s="3422"/>
    </row>
    <row r="102" spans="1:29" ht="15.75" thickBot="1">
      <c r="A102" s="3493"/>
      <c r="B102" s="3646"/>
      <c r="C102" s="3647">
        <v>100</v>
      </c>
      <c r="D102" s="3647">
        <f t="shared" ref="D102:M102" si="22">C102-$K33</f>
        <v>100</v>
      </c>
      <c r="E102" s="3647">
        <f t="shared" si="22"/>
        <v>100</v>
      </c>
      <c r="F102" s="3647">
        <f t="shared" si="22"/>
        <v>100</v>
      </c>
      <c r="G102" s="3647">
        <f t="shared" si="22"/>
        <v>100</v>
      </c>
      <c r="H102" s="3647">
        <f t="shared" si="22"/>
        <v>100</v>
      </c>
      <c r="I102" s="3647">
        <f t="shared" si="22"/>
        <v>100</v>
      </c>
      <c r="J102" s="3647">
        <f t="shared" si="22"/>
        <v>100</v>
      </c>
      <c r="K102" s="3647">
        <f t="shared" si="22"/>
        <v>100</v>
      </c>
      <c r="L102" s="3647">
        <f t="shared" si="22"/>
        <v>100</v>
      </c>
      <c r="M102" s="3648">
        <f t="shared" si="22"/>
        <v>100</v>
      </c>
      <c r="N102" s="3640"/>
      <c r="O102" s="3640"/>
      <c r="P102" s="3745"/>
      <c r="Q102" s="3601"/>
      <c r="R102" s="3422"/>
      <c r="S102" s="3422"/>
      <c r="T102" s="3422"/>
      <c r="U102" s="3422"/>
      <c r="V102" s="3422"/>
      <c r="W102" s="3422"/>
      <c r="X102" s="3422"/>
      <c r="Y102" s="3422"/>
      <c r="Z102" s="3422"/>
      <c r="AA102" s="3422"/>
      <c r="AB102" s="3422"/>
      <c r="AC102" s="3422"/>
    </row>
    <row r="103" spans="1:29" ht="29.25" thickTop="1">
      <c r="A103" s="3493"/>
      <c r="B103" s="3641" t="s">
        <v>740</v>
      </c>
      <c r="C103" s="3681" t="str">
        <f>C104&amp;"(含)"&amp;"-"&amp;D104</f>
        <v>0(含)-500</v>
      </c>
      <c r="D103" s="3681" t="str">
        <f t="shared" ref="D103:L103" si="23">D104&amp;"(含)"&amp;"-"&amp;E104</f>
        <v>500(含)-5000</v>
      </c>
      <c r="E103" s="3681" t="str">
        <f t="shared" si="23"/>
        <v>5000(含)-10000</v>
      </c>
      <c r="F103" s="3681" t="str">
        <f t="shared" si="23"/>
        <v>10000(含)-50000</v>
      </c>
      <c r="G103" s="3681" t="str">
        <f t="shared" si="23"/>
        <v>50000(含)-100000</v>
      </c>
      <c r="H103" s="3681" t="str">
        <f t="shared" si="23"/>
        <v>100000(含)-</v>
      </c>
      <c r="I103" s="3681" t="str">
        <f t="shared" si="23"/>
        <v>(含)-</v>
      </c>
      <c r="J103" s="3681" t="str">
        <f t="shared" si="23"/>
        <v>(含)-</v>
      </c>
      <c r="K103" s="3681" t="str">
        <f t="shared" si="23"/>
        <v>(含)-</v>
      </c>
      <c r="L103" s="3681" t="str">
        <f t="shared" si="23"/>
        <v>(含)-</v>
      </c>
      <c r="M103" s="3703" t="str">
        <f>M104&amp;"(含)"&amp;"-"&amp;P104</f>
        <v>(含)-</v>
      </c>
      <c r="N103" s="3625"/>
      <c r="O103" s="3625"/>
      <c r="P103" s="3745"/>
      <c r="Q103" s="3601"/>
      <c r="R103" s="3422"/>
      <c r="S103" s="3422"/>
      <c r="T103" s="3422"/>
      <c r="U103" s="3422"/>
      <c r="V103" s="3422"/>
      <c r="W103" s="3422"/>
      <c r="X103" s="3422"/>
      <c r="Y103" s="3422"/>
      <c r="Z103" s="3422"/>
      <c r="AA103" s="3422"/>
      <c r="AB103" s="3422"/>
      <c r="AC103" s="3422"/>
    </row>
    <row r="104" spans="1:29" s="3544" customFormat="1">
      <c r="A104" s="3535"/>
      <c r="B104" s="3704"/>
      <c r="C104" s="3705">
        <v>0</v>
      </c>
      <c r="D104" s="3705">
        <v>500</v>
      </c>
      <c r="E104" s="3705">
        <v>5000</v>
      </c>
      <c r="F104" s="3705">
        <v>10000</v>
      </c>
      <c r="G104" s="3705">
        <v>50000</v>
      </c>
      <c r="H104" s="3705">
        <v>100000</v>
      </c>
      <c r="I104" s="3705"/>
      <c r="J104" s="3706"/>
      <c r="K104" s="3706"/>
      <c r="L104" s="3707"/>
      <c r="M104" s="3708"/>
      <c r="N104" s="3661"/>
      <c r="O104" s="3661"/>
      <c r="P104" s="3746"/>
      <c r="Q104" s="3662"/>
      <c r="R104" s="3537"/>
      <c r="S104" s="3537"/>
      <c r="T104" s="3537"/>
      <c r="U104" s="3537"/>
      <c r="V104" s="3537"/>
      <c r="W104" s="3537"/>
      <c r="X104" s="3537"/>
      <c r="Y104" s="3537"/>
      <c r="Z104" s="3537"/>
      <c r="AA104" s="3537"/>
      <c r="AB104" s="3537"/>
      <c r="AC104" s="3537"/>
    </row>
    <row r="105" spans="1:29" s="3544" customFormat="1" ht="15.75" thickBot="1">
      <c r="A105" s="3656"/>
      <c r="B105" s="3646"/>
      <c r="C105" s="3663">
        <v>100</v>
      </c>
      <c r="D105" s="3638">
        <v>101</v>
      </c>
      <c r="E105" s="3638">
        <v>100</v>
      </c>
      <c r="F105" s="3638">
        <v>99</v>
      </c>
      <c r="G105" s="3638">
        <v>98</v>
      </c>
      <c r="H105" s="3638">
        <v>97</v>
      </c>
      <c r="I105" s="3638">
        <v>96</v>
      </c>
      <c r="J105" s="3638"/>
      <c r="K105" s="3638"/>
      <c r="L105" s="3638"/>
      <c r="M105" s="3639"/>
      <c r="N105" s="3640"/>
      <c r="O105" s="3640"/>
      <c r="P105" s="3746"/>
      <c r="Q105" s="3662"/>
      <c r="R105" s="3537"/>
      <c r="S105" s="3537"/>
      <c r="T105" s="3537"/>
      <c r="U105" s="3537"/>
      <c r="V105" s="3537"/>
      <c r="W105" s="3537"/>
      <c r="X105" s="3537"/>
      <c r="Y105" s="3537"/>
      <c r="Z105" s="3537"/>
      <c r="AA105" s="3537"/>
      <c r="AB105" s="3537"/>
      <c r="AC105" s="3537"/>
    </row>
    <row r="106" spans="1:29" ht="15" thickTop="1">
      <c r="A106" s="3545"/>
      <c r="B106" s="3641" t="s">
        <v>741</v>
      </c>
      <c r="C106" s="3657"/>
      <c r="D106" s="3657"/>
      <c r="E106" s="3692"/>
      <c r="F106" s="3692"/>
      <c r="G106" s="3692"/>
      <c r="H106" s="3692"/>
      <c r="I106" s="3692"/>
      <c r="J106" s="3692"/>
      <c r="K106" s="3693"/>
      <c r="L106" s="3694"/>
      <c r="M106" s="3695"/>
      <c r="N106" s="3636"/>
      <c r="O106" s="3636"/>
      <c r="P106" s="3745"/>
      <c r="Q106" s="3601"/>
      <c r="R106" s="3422"/>
      <c r="S106" s="3422"/>
      <c r="T106" s="3422"/>
      <c r="U106" s="3422"/>
      <c r="V106" s="3422"/>
      <c r="W106" s="3422"/>
      <c r="X106" s="3422"/>
      <c r="Y106" s="3422"/>
      <c r="Z106" s="3422"/>
      <c r="AA106" s="3422"/>
      <c r="AB106" s="3422"/>
      <c r="AC106" s="3422"/>
    </row>
    <row r="107" spans="1:29" ht="15.75" thickBot="1">
      <c r="A107" s="3493"/>
      <c r="B107" s="3646"/>
      <c r="C107" s="3647">
        <v>100</v>
      </c>
      <c r="D107" s="3647">
        <f t="shared" ref="D107:M107" si="24">C107-$K35</f>
        <v>100</v>
      </c>
      <c r="E107" s="3647">
        <f t="shared" si="24"/>
        <v>100</v>
      </c>
      <c r="F107" s="3647">
        <f t="shared" si="24"/>
        <v>100</v>
      </c>
      <c r="G107" s="3647">
        <f t="shared" si="24"/>
        <v>100</v>
      </c>
      <c r="H107" s="3647">
        <f t="shared" si="24"/>
        <v>100</v>
      </c>
      <c r="I107" s="3647">
        <f t="shared" si="24"/>
        <v>100</v>
      </c>
      <c r="J107" s="3647">
        <f t="shared" si="24"/>
        <v>100</v>
      </c>
      <c r="K107" s="3647">
        <f t="shared" si="24"/>
        <v>100</v>
      </c>
      <c r="L107" s="3647">
        <f t="shared" si="24"/>
        <v>100</v>
      </c>
      <c r="M107" s="3648">
        <f t="shared" si="24"/>
        <v>100</v>
      </c>
      <c r="N107" s="3640"/>
      <c r="O107" s="3640"/>
      <c r="P107" s="3745"/>
      <c r="Q107" s="3601"/>
      <c r="R107" s="3422"/>
      <c r="S107" s="3422"/>
      <c r="T107" s="3422"/>
      <c r="U107" s="3422"/>
      <c r="V107" s="3422"/>
      <c r="W107" s="3422"/>
      <c r="X107" s="3422"/>
      <c r="Y107" s="3422"/>
      <c r="Z107" s="3422"/>
      <c r="AA107" s="3422"/>
      <c r="AB107" s="3422"/>
      <c r="AC107" s="3422"/>
    </row>
    <row r="108" spans="1:29" ht="15" thickTop="1">
      <c r="A108" s="3545"/>
      <c r="B108" s="3641" t="s">
        <v>743</v>
      </c>
      <c r="C108" s="3657"/>
      <c r="D108" s="3657"/>
      <c r="E108" s="3657"/>
      <c r="F108" s="3692"/>
      <c r="G108" s="3692"/>
      <c r="H108" s="3692"/>
      <c r="I108" s="3692"/>
      <c r="J108" s="3692"/>
      <c r="K108" s="3693"/>
      <c r="L108" s="3694"/>
      <c r="M108" s="3695"/>
      <c r="N108" s="3636"/>
      <c r="O108" s="3636"/>
      <c r="P108" s="3745"/>
      <c r="Q108" s="3601"/>
      <c r="R108" s="3422"/>
      <c r="S108" s="3422"/>
      <c r="T108" s="3422"/>
      <c r="U108" s="3422"/>
      <c r="V108" s="3422"/>
      <c r="W108" s="3422"/>
      <c r="X108" s="3422"/>
      <c r="Y108" s="3422"/>
      <c r="Z108" s="3422"/>
      <c r="AA108" s="3422"/>
      <c r="AB108" s="3422"/>
      <c r="AC108" s="3422"/>
    </row>
    <row r="109" spans="1:29" ht="15.75" thickBot="1">
      <c r="A109" s="3493"/>
      <c r="B109" s="3646"/>
      <c r="C109" s="3647">
        <v>100</v>
      </c>
      <c r="D109" s="3647">
        <f t="shared" ref="D109:M109" si="25">C109-$K36</f>
        <v>100</v>
      </c>
      <c r="E109" s="3647">
        <f t="shared" si="25"/>
        <v>100</v>
      </c>
      <c r="F109" s="3647">
        <f t="shared" si="25"/>
        <v>100</v>
      </c>
      <c r="G109" s="3647">
        <f t="shared" si="25"/>
        <v>100</v>
      </c>
      <c r="H109" s="3647">
        <f t="shared" si="25"/>
        <v>100</v>
      </c>
      <c r="I109" s="3647">
        <f t="shared" si="25"/>
        <v>100</v>
      </c>
      <c r="J109" s="3647">
        <f t="shared" si="25"/>
        <v>100</v>
      </c>
      <c r="K109" s="3647">
        <f t="shared" si="25"/>
        <v>100</v>
      </c>
      <c r="L109" s="3647">
        <f t="shared" si="25"/>
        <v>100</v>
      </c>
      <c r="M109" s="3648">
        <f t="shared" si="25"/>
        <v>100</v>
      </c>
      <c r="N109" s="3640"/>
      <c r="O109" s="3640"/>
      <c r="P109" s="3745"/>
      <c r="Q109" s="3601"/>
      <c r="R109" s="3422"/>
      <c r="S109" s="3422"/>
      <c r="T109" s="3422"/>
      <c r="U109" s="3422"/>
      <c r="V109" s="3422"/>
      <c r="W109" s="3422"/>
      <c r="X109" s="3422"/>
      <c r="Y109" s="3422"/>
      <c r="Z109" s="3422"/>
      <c r="AA109" s="3422"/>
      <c r="AB109" s="3422"/>
      <c r="AC109" s="3422"/>
    </row>
    <row r="110" spans="1:29" ht="15" thickTop="1">
      <c r="A110" s="3545"/>
      <c r="B110" s="3641" t="s">
        <v>744</v>
      </c>
      <c r="C110" s="3681" t="str">
        <f>C111&amp;"(含)"&amp;"-"&amp;D111</f>
        <v>0.5(含)-0.6</v>
      </c>
      <c r="D110" s="3681" t="str">
        <f>D111&amp;"(含)"&amp;"-"&amp;E111</f>
        <v>0.6(含)-0.7</v>
      </c>
      <c r="E110" s="3681" t="str">
        <f>E111&amp;"(含)"&amp;"-"&amp;F111</f>
        <v>0.7(含)-0.8</v>
      </c>
      <c r="F110" s="3681" t="str">
        <f>F111&amp;"(含)"&amp;"-"&amp;G111</f>
        <v>0.8(含)-0.9</v>
      </c>
      <c r="G110" s="3681" t="str">
        <f>G111&amp;"(含)"&amp;"-"&amp;ROUND(H111,0)</f>
        <v>0.9(含)-1</v>
      </c>
      <c r="H110" s="3681"/>
      <c r="I110" s="3692"/>
      <c r="J110" s="3692"/>
      <c r="K110" s="3693"/>
      <c r="L110" s="3694"/>
      <c r="M110" s="3695"/>
      <c r="N110" s="3636"/>
      <c r="O110" s="3636"/>
      <c r="P110" s="3745"/>
      <c r="Q110" s="3601"/>
      <c r="R110" s="3422"/>
      <c r="S110" s="3422"/>
      <c r="T110" s="3422"/>
      <c r="U110" s="3422"/>
      <c r="V110" s="3422"/>
      <c r="W110" s="3422"/>
      <c r="X110" s="3422"/>
      <c r="Y110" s="3422"/>
      <c r="Z110" s="3422"/>
      <c r="AA110" s="3422"/>
      <c r="AB110" s="3422"/>
      <c r="AC110" s="3422"/>
    </row>
    <row r="111" spans="1:29">
      <c r="A111" s="3545"/>
      <c r="B111" s="3649"/>
      <c r="C111" s="3453">
        <v>0.5</v>
      </c>
      <c r="D111" s="3453">
        <v>0.6</v>
      </c>
      <c r="E111" s="3453">
        <v>0.7</v>
      </c>
      <c r="F111" s="3453">
        <v>0.8</v>
      </c>
      <c r="G111" s="3453">
        <v>0.9</v>
      </c>
      <c r="H111" s="3453">
        <v>1.0001</v>
      </c>
      <c r="I111" s="3709"/>
      <c r="J111" s="3709"/>
      <c r="K111" s="3710"/>
      <c r="L111" s="3711"/>
      <c r="M111" s="3712"/>
      <c r="N111" s="3636"/>
      <c r="O111" s="3636"/>
      <c r="P111" s="3745"/>
      <c r="Q111" s="3601"/>
      <c r="R111" s="3422"/>
      <c r="S111" s="3422"/>
      <c r="T111" s="3422"/>
      <c r="U111" s="3422"/>
      <c r="V111" s="3422"/>
      <c r="W111" s="3422"/>
      <c r="X111" s="3422"/>
      <c r="Y111" s="3422"/>
      <c r="Z111" s="3422"/>
      <c r="AA111" s="3422"/>
      <c r="AB111" s="3422"/>
      <c r="AC111" s="3422"/>
    </row>
    <row r="112" spans="1:29" ht="15.75" thickBot="1">
      <c r="A112" s="3493"/>
      <c r="B112" s="3646"/>
      <c r="C112" s="3690">
        <v>100</v>
      </c>
      <c r="D112" s="3647">
        <f>C112+$K37</f>
        <v>102</v>
      </c>
      <c r="E112" s="3647">
        <f t="shared" ref="E112:M112" si="26">D112+$K37</f>
        <v>104</v>
      </c>
      <c r="F112" s="3647">
        <f t="shared" si="26"/>
        <v>106</v>
      </c>
      <c r="G112" s="3647">
        <f t="shared" si="26"/>
        <v>108</v>
      </c>
      <c r="H112" s="3647">
        <f t="shared" si="26"/>
        <v>110</v>
      </c>
      <c r="I112" s="3647">
        <f t="shared" si="26"/>
        <v>112</v>
      </c>
      <c r="J112" s="3647">
        <f t="shared" si="26"/>
        <v>114</v>
      </c>
      <c r="K112" s="3647">
        <f t="shared" si="26"/>
        <v>116</v>
      </c>
      <c r="L112" s="3647">
        <f t="shared" si="26"/>
        <v>118</v>
      </c>
      <c r="M112" s="3647">
        <f t="shared" si="26"/>
        <v>120</v>
      </c>
      <c r="N112" s="3640"/>
      <c r="O112" s="3640"/>
      <c r="P112" s="3745"/>
      <c r="Q112" s="3601"/>
      <c r="R112" s="3422"/>
      <c r="S112" s="3422"/>
      <c r="T112" s="3422"/>
      <c r="U112" s="3422"/>
      <c r="V112" s="3422"/>
      <c r="W112" s="3422"/>
      <c r="X112" s="3422"/>
      <c r="Y112" s="3422"/>
      <c r="Z112" s="3422"/>
      <c r="AA112" s="3422"/>
      <c r="AB112" s="3422"/>
      <c r="AC112" s="3422"/>
    </row>
    <row r="113" spans="1:29" s="3544" customFormat="1" ht="15" thickTop="1">
      <c r="A113" s="3535"/>
      <c r="B113" s="3641" t="s">
        <v>778</v>
      </c>
      <c r="C113" s="3657"/>
      <c r="D113" s="3657"/>
      <c r="E113" s="3657"/>
      <c r="F113" s="3657"/>
      <c r="G113" s="3657"/>
      <c r="H113" s="3692"/>
      <c r="I113" s="3692"/>
      <c r="J113" s="3692"/>
      <c r="K113" s="3693"/>
      <c r="L113" s="3694"/>
      <c r="M113" s="3695"/>
      <c r="N113" s="3661"/>
      <c r="O113" s="3661"/>
      <c r="P113" s="3746"/>
      <c r="Q113" s="3662"/>
      <c r="R113" s="3537"/>
      <c r="S113" s="3537"/>
      <c r="T113" s="3537"/>
      <c r="U113" s="3537"/>
      <c r="V113" s="3537"/>
      <c r="W113" s="3537"/>
      <c r="X113" s="3537"/>
      <c r="Y113" s="3537"/>
      <c r="Z113" s="3537"/>
      <c r="AA113" s="3537"/>
      <c r="AB113" s="3537"/>
      <c r="AC113" s="3537"/>
    </row>
    <row r="114" spans="1:29" s="3544" customFormat="1" ht="15.75" thickBot="1">
      <c r="A114" s="3656"/>
      <c r="B114" s="3646"/>
      <c r="C114" s="3647">
        <v>100</v>
      </c>
      <c r="D114" s="3647">
        <f>C114-$K38</f>
        <v>100</v>
      </c>
      <c r="E114" s="3647">
        <f t="shared" ref="E114:M114" si="27">D114-$K38</f>
        <v>100</v>
      </c>
      <c r="F114" s="3647">
        <f t="shared" si="27"/>
        <v>100</v>
      </c>
      <c r="G114" s="3647">
        <f t="shared" si="27"/>
        <v>100</v>
      </c>
      <c r="H114" s="3647">
        <f t="shared" si="27"/>
        <v>100</v>
      </c>
      <c r="I114" s="3647">
        <f t="shared" si="27"/>
        <v>100</v>
      </c>
      <c r="J114" s="3647">
        <f t="shared" si="27"/>
        <v>100</v>
      </c>
      <c r="K114" s="3647">
        <f t="shared" si="27"/>
        <v>100</v>
      </c>
      <c r="L114" s="3647">
        <f t="shared" si="27"/>
        <v>100</v>
      </c>
      <c r="M114" s="3647">
        <f t="shared" si="27"/>
        <v>100</v>
      </c>
      <c r="N114" s="3661"/>
      <c r="O114" s="3661"/>
      <c r="P114" s="3746"/>
      <c r="Q114" s="3662"/>
      <c r="R114" s="3537"/>
      <c r="S114" s="3537"/>
      <c r="T114" s="3537"/>
      <c r="U114" s="3537"/>
      <c r="V114" s="3537"/>
      <c r="W114" s="3537"/>
      <c r="X114" s="3537"/>
      <c r="Y114" s="3537"/>
      <c r="Z114" s="3537"/>
      <c r="AA114" s="3537"/>
      <c r="AB114" s="3537"/>
      <c r="AC114" s="3537"/>
    </row>
    <row r="115" spans="1:29" ht="15" thickTop="1">
      <c r="A115" s="3545"/>
      <c r="B115" s="3641" t="s">
        <v>745</v>
      </c>
      <c r="C115" s="3657"/>
      <c r="D115" s="3657"/>
      <c r="E115" s="3692"/>
      <c r="F115" s="3692"/>
      <c r="G115" s="3692"/>
      <c r="H115" s="3692"/>
      <c r="I115" s="3692"/>
      <c r="J115" s="3692"/>
      <c r="K115" s="3693"/>
      <c r="L115" s="3694"/>
      <c r="M115" s="3695"/>
      <c r="N115" s="3636"/>
      <c r="O115" s="3636"/>
      <c r="P115" s="3745"/>
      <c r="Q115" s="3601"/>
      <c r="R115" s="3422"/>
      <c r="S115" s="3422"/>
      <c r="T115" s="3422"/>
      <c r="U115" s="3422"/>
      <c r="V115" s="3422"/>
      <c r="W115" s="3422"/>
      <c r="X115" s="3422"/>
      <c r="Y115" s="3422"/>
      <c r="Z115" s="3422"/>
      <c r="AA115" s="3422"/>
      <c r="AB115" s="3422"/>
      <c r="AC115" s="3422"/>
    </row>
    <row r="116" spans="1:29" ht="15.75" thickBot="1">
      <c r="A116" s="3493"/>
      <c r="B116" s="3646"/>
      <c r="C116" s="3647">
        <v>100</v>
      </c>
      <c r="D116" s="3647">
        <f t="shared" ref="D116:M116" si="28">C116-$K39</f>
        <v>100</v>
      </c>
      <c r="E116" s="3647">
        <f t="shared" si="28"/>
        <v>100</v>
      </c>
      <c r="F116" s="3647">
        <f t="shared" si="28"/>
        <v>100</v>
      </c>
      <c r="G116" s="3647">
        <f t="shared" si="28"/>
        <v>100</v>
      </c>
      <c r="H116" s="3647">
        <f t="shared" si="28"/>
        <v>100</v>
      </c>
      <c r="I116" s="3647">
        <f t="shared" si="28"/>
        <v>100</v>
      </c>
      <c r="J116" s="3647">
        <f t="shared" si="28"/>
        <v>100</v>
      </c>
      <c r="K116" s="3647">
        <f t="shared" si="28"/>
        <v>100</v>
      </c>
      <c r="L116" s="3647">
        <f t="shared" si="28"/>
        <v>100</v>
      </c>
      <c r="M116" s="3648">
        <f t="shared" si="28"/>
        <v>100</v>
      </c>
      <c r="N116" s="3640"/>
      <c r="O116" s="3640"/>
      <c r="P116" s="3745"/>
      <c r="Q116" s="3601"/>
      <c r="R116" s="3422"/>
      <c r="S116" s="3422"/>
      <c r="T116" s="3422"/>
      <c r="U116" s="3422"/>
      <c r="V116" s="3422"/>
      <c r="W116" s="3422"/>
      <c r="X116" s="3422"/>
      <c r="Y116" s="3422"/>
      <c r="Z116" s="3422"/>
      <c r="AA116" s="3422"/>
      <c r="AB116" s="3422"/>
      <c r="AC116" s="3422"/>
    </row>
    <row r="117" spans="1:29" ht="15" thickTop="1">
      <c r="A117" s="3545"/>
      <c r="B117" s="3682" t="s">
        <v>2535</v>
      </c>
      <c r="C117" s="3657"/>
      <c r="D117" s="3657"/>
      <c r="E117" s="3657"/>
      <c r="F117" s="3657"/>
      <c r="G117" s="3657"/>
      <c r="H117" s="3692"/>
      <c r="I117" s="3692"/>
      <c r="J117" s="3692"/>
      <c r="K117" s="3693"/>
      <c r="L117" s="3694"/>
      <c r="M117" s="3695"/>
      <c r="N117" s="3636"/>
      <c r="O117" s="3636"/>
      <c r="P117" s="3745"/>
      <c r="Q117" s="3601"/>
      <c r="R117" s="3422"/>
      <c r="S117" s="3422"/>
      <c r="T117" s="3422"/>
      <c r="U117" s="3422"/>
      <c r="V117" s="3422"/>
      <c r="W117" s="3422"/>
      <c r="X117" s="3422"/>
      <c r="Y117" s="3422"/>
      <c r="Z117" s="3422"/>
      <c r="AA117" s="3422"/>
      <c r="AB117" s="3422"/>
      <c r="AC117" s="3422"/>
    </row>
    <row r="118" spans="1:29" ht="15.75" thickBot="1">
      <c r="A118" s="3493"/>
      <c r="B118" s="3646"/>
      <c r="C118" s="3647">
        <v>100</v>
      </c>
      <c r="D118" s="3647">
        <f>C118-$K40</f>
        <v>100</v>
      </c>
      <c r="E118" s="3647">
        <f>D118-$K40</f>
        <v>100</v>
      </c>
      <c r="F118" s="3647">
        <f>E118-$K40</f>
        <v>100</v>
      </c>
      <c r="G118" s="3647">
        <f>F118-$K40</f>
        <v>100</v>
      </c>
      <c r="H118" s="3647"/>
      <c r="I118" s="3647"/>
      <c r="J118" s="3647"/>
      <c r="K118" s="3647"/>
      <c r="L118" s="3647"/>
      <c r="M118" s="3648"/>
      <c r="N118" s="3640"/>
      <c r="O118" s="3640"/>
      <c r="P118" s="3745"/>
      <c r="Q118" s="3601"/>
      <c r="R118" s="3422"/>
      <c r="S118" s="3422"/>
      <c r="T118" s="3422"/>
      <c r="U118" s="3422"/>
      <c r="V118" s="3422"/>
      <c r="W118" s="3422"/>
      <c r="X118" s="3422"/>
      <c r="Y118" s="3422"/>
      <c r="Z118" s="3422"/>
      <c r="AA118" s="3422"/>
      <c r="AB118" s="3422"/>
      <c r="AC118" s="3422"/>
    </row>
    <row r="119" spans="1:29" ht="15" thickTop="1">
      <c r="A119" s="3545"/>
      <c r="B119" s="3751" t="s">
        <v>779</v>
      </c>
      <c r="C119" s="3692"/>
      <c r="D119" s="3692"/>
      <c r="E119" s="3692"/>
      <c r="F119" s="3692"/>
      <c r="G119" s="3692"/>
      <c r="H119" s="3692"/>
      <c r="I119" s="3692"/>
      <c r="J119" s="3692"/>
      <c r="K119" s="3692"/>
      <c r="L119" s="3752"/>
      <c r="M119" s="3753"/>
      <c r="N119" s="3640"/>
      <c r="O119" s="3640"/>
      <c r="P119" s="3754"/>
      <c r="Q119" s="3755"/>
      <c r="R119" s="3422"/>
      <c r="S119" s="3422"/>
      <c r="T119" s="3422"/>
      <c r="U119" s="3422"/>
      <c r="V119" s="3422"/>
      <c r="W119" s="3422"/>
      <c r="X119" s="3422"/>
      <c r="Y119" s="3422"/>
      <c r="Z119" s="3422"/>
      <c r="AA119" s="3422"/>
      <c r="AB119" s="3422"/>
      <c r="AC119" s="3422"/>
    </row>
    <row r="120" spans="1:29" ht="15.75" thickBot="1">
      <c r="A120" s="3493"/>
      <c r="B120" s="3646"/>
      <c r="C120" s="3690">
        <v>100</v>
      </c>
      <c r="D120" s="3647">
        <f>C120-$K41</f>
        <v>100</v>
      </c>
      <c r="E120" s="3647">
        <f t="shared" ref="E120:M120" si="29">D120-$K41</f>
        <v>100</v>
      </c>
      <c r="F120" s="3647">
        <f t="shared" si="29"/>
        <v>100</v>
      </c>
      <c r="G120" s="3647">
        <f t="shared" si="29"/>
        <v>100</v>
      </c>
      <c r="H120" s="3647">
        <f t="shared" si="29"/>
        <v>100</v>
      </c>
      <c r="I120" s="3647">
        <f t="shared" si="29"/>
        <v>100</v>
      </c>
      <c r="J120" s="3647">
        <f t="shared" si="29"/>
        <v>100</v>
      </c>
      <c r="K120" s="3647">
        <f t="shared" si="29"/>
        <v>100</v>
      </c>
      <c r="L120" s="3647">
        <f t="shared" si="29"/>
        <v>100</v>
      </c>
      <c r="M120" s="3647">
        <f t="shared" si="29"/>
        <v>100</v>
      </c>
      <c r="N120" s="3640"/>
      <c r="O120" s="3640"/>
      <c r="P120" s="3745"/>
      <c r="Q120" s="3601"/>
      <c r="R120" s="3422"/>
      <c r="S120" s="3422"/>
      <c r="T120" s="3422"/>
      <c r="U120" s="3422"/>
      <c r="V120" s="3422"/>
      <c r="W120" s="3422"/>
      <c r="X120" s="3422"/>
      <c r="Y120" s="3422"/>
      <c r="Z120" s="3422"/>
      <c r="AA120" s="3422"/>
      <c r="AB120" s="3422"/>
      <c r="AC120" s="3422"/>
    </row>
    <row r="121" spans="1:29" s="3544" customFormat="1" ht="15" thickTop="1">
      <c r="A121" s="3535"/>
      <c r="B121" s="3641" t="s">
        <v>767</v>
      </c>
      <c r="C121" s="3657"/>
      <c r="D121" s="3657"/>
      <c r="E121" s="3657"/>
      <c r="F121" s="3692"/>
      <c r="G121" s="3658"/>
      <c r="H121" s="3658"/>
      <c r="I121" s="3658"/>
      <c r="J121" s="3658"/>
      <c r="K121" s="3658"/>
      <c r="L121" s="3659"/>
      <c r="M121" s="3660"/>
      <c r="N121" s="3661"/>
      <c r="O121" s="3661"/>
      <c r="P121" s="3746"/>
      <c r="Q121" s="3662"/>
      <c r="R121" s="3537"/>
      <c r="S121" s="3537"/>
      <c r="T121" s="3537"/>
      <c r="U121" s="3537"/>
      <c r="V121" s="3537"/>
      <c r="W121" s="3537"/>
      <c r="X121" s="3537"/>
      <c r="Y121" s="3537"/>
      <c r="Z121" s="3537"/>
      <c r="AA121" s="3537"/>
      <c r="AB121" s="3537"/>
      <c r="AC121" s="3537"/>
    </row>
    <row r="122" spans="1:29" s="3544" customFormat="1" ht="15.75" thickBot="1">
      <c r="A122" s="3656"/>
      <c r="B122" s="3637"/>
      <c r="C122" s="3663"/>
      <c r="D122" s="3663"/>
      <c r="E122" s="3663"/>
      <c r="F122" s="3663"/>
      <c r="G122" s="3663"/>
      <c r="H122" s="3663"/>
      <c r="I122" s="3663"/>
      <c r="J122" s="3663"/>
      <c r="K122" s="3663"/>
      <c r="L122" s="3663"/>
      <c r="M122" s="3663"/>
      <c r="N122" s="3661"/>
      <c r="O122" s="3661"/>
      <c r="P122" s="3746"/>
      <c r="Q122" s="3662"/>
      <c r="R122" s="3537"/>
      <c r="S122" s="3537"/>
      <c r="T122" s="3537"/>
      <c r="U122" s="3537"/>
      <c r="V122" s="3537"/>
      <c r="W122" s="3537"/>
      <c r="X122" s="3537"/>
      <c r="Y122" s="3537"/>
      <c r="Z122" s="3537"/>
      <c r="AA122" s="3537"/>
      <c r="AB122" s="3537"/>
      <c r="AC122" s="3537"/>
    </row>
    <row r="123" spans="1:29" ht="15" thickTop="1">
      <c r="A123" s="3545"/>
      <c r="B123" s="3641" t="s">
        <v>747</v>
      </c>
      <c r="C123" s="3657"/>
      <c r="D123" s="3657"/>
      <c r="E123" s="3657"/>
      <c r="F123" s="3692"/>
      <c r="G123" s="3692"/>
      <c r="H123" s="3692"/>
      <c r="I123" s="3692"/>
      <c r="J123" s="3692"/>
      <c r="K123" s="3693"/>
      <c r="L123" s="3694"/>
      <c r="M123" s="3695"/>
      <c r="N123" s="3636"/>
      <c r="O123" s="3636"/>
      <c r="P123" s="3745"/>
      <c r="Q123" s="3601"/>
      <c r="R123" s="3422"/>
      <c r="S123" s="3422"/>
      <c r="T123" s="3422"/>
      <c r="U123" s="3422"/>
      <c r="V123" s="3422"/>
      <c r="W123" s="3422"/>
      <c r="X123" s="3422"/>
      <c r="Y123" s="3422"/>
      <c r="Z123" s="3422"/>
      <c r="AA123" s="3422"/>
      <c r="AB123" s="3422"/>
      <c r="AC123" s="3422"/>
    </row>
    <row r="124" spans="1:29" ht="15.75" thickBot="1">
      <c r="A124" s="3493"/>
      <c r="B124" s="3646"/>
      <c r="C124" s="3647">
        <v>100</v>
      </c>
      <c r="D124" s="3647">
        <f t="shared" ref="D124:M124" si="30">C124-$K43</f>
        <v>100</v>
      </c>
      <c r="E124" s="3647">
        <f t="shared" si="30"/>
        <v>100</v>
      </c>
      <c r="F124" s="3647">
        <f t="shared" si="30"/>
        <v>100</v>
      </c>
      <c r="G124" s="3647">
        <f t="shared" si="30"/>
        <v>100</v>
      </c>
      <c r="H124" s="3647">
        <f t="shared" si="30"/>
        <v>100</v>
      </c>
      <c r="I124" s="3647">
        <f t="shared" si="30"/>
        <v>100</v>
      </c>
      <c r="J124" s="3647">
        <f t="shared" si="30"/>
        <v>100</v>
      </c>
      <c r="K124" s="3647">
        <f t="shared" si="30"/>
        <v>100</v>
      </c>
      <c r="L124" s="3647">
        <f t="shared" si="30"/>
        <v>100</v>
      </c>
      <c r="M124" s="3648">
        <f t="shared" si="30"/>
        <v>100</v>
      </c>
      <c r="N124" s="3640"/>
      <c r="O124" s="3640"/>
      <c r="P124" s="3745"/>
      <c r="Q124" s="3601"/>
      <c r="R124" s="3422"/>
      <c r="S124" s="3422"/>
      <c r="T124" s="3422"/>
      <c r="U124" s="3422"/>
      <c r="V124" s="3422"/>
      <c r="W124" s="3422"/>
      <c r="X124" s="3422"/>
      <c r="Y124" s="3422"/>
      <c r="Z124" s="3422"/>
      <c r="AA124" s="3422"/>
      <c r="AB124" s="3422"/>
      <c r="AC124" s="3422"/>
    </row>
    <row r="125" spans="1:29" ht="27.75" thickTop="1">
      <c r="A125" s="3545"/>
      <c r="B125" s="3641" t="s">
        <v>748</v>
      </c>
      <c r="C125" s="3681" t="s">
        <v>571</v>
      </c>
      <c r="D125" s="3681" t="s">
        <v>572</v>
      </c>
      <c r="E125" s="3681" t="s">
        <v>573</v>
      </c>
      <c r="F125" s="3681" t="s">
        <v>574</v>
      </c>
      <c r="G125" s="3681" t="s">
        <v>575</v>
      </c>
      <c r="H125" s="3642"/>
      <c r="I125" s="3642"/>
      <c r="J125" s="3642"/>
      <c r="K125" s="3643"/>
      <c r="L125" s="3644"/>
      <c r="M125" s="3645"/>
      <c r="N125" s="3636"/>
      <c r="O125" s="3636"/>
      <c r="P125" s="3746"/>
      <c r="Q125" s="3601"/>
      <c r="R125" s="3422"/>
      <c r="S125" s="3422"/>
      <c r="T125" s="3422"/>
      <c r="U125" s="3422"/>
      <c r="V125" s="3422"/>
      <c r="W125" s="3422"/>
      <c r="X125" s="3422"/>
      <c r="Y125" s="3422"/>
      <c r="Z125" s="3422"/>
      <c r="AA125" s="3422"/>
      <c r="AB125" s="3422"/>
      <c r="AC125" s="3422"/>
    </row>
    <row r="126" spans="1:29" ht="15.75" thickBot="1">
      <c r="A126" s="3493"/>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745"/>
      <c r="Q126" s="3601"/>
      <c r="R126" s="3422"/>
      <c r="S126" s="3422"/>
      <c r="T126" s="3422"/>
      <c r="U126" s="3422"/>
      <c r="V126" s="3422"/>
      <c r="W126" s="3422"/>
      <c r="X126" s="3422"/>
      <c r="Y126" s="3422"/>
      <c r="Z126" s="3422"/>
      <c r="AA126" s="3422"/>
      <c r="AB126" s="3422"/>
      <c r="AC126" s="3422"/>
    </row>
    <row r="127" spans="1:29" s="3544" customFormat="1" ht="15" thickTop="1">
      <c r="A127" s="3535"/>
      <c r="B127" s="3641" t="str">
        <f>B45</f>
        <v>距北运河距离</v>
      </c>
      <c r="C127" s="3657" t="s">
        <v>3239</v>
      </c>
      <c r="D127" s="3657" t="s">
        <v>3240</v>
      </c>
      <c r="E127" s="3657"/>
      <c r="F127" s="3657"/>
      <c r="G127" s="3657"/>
      <c r="H127" s="3658"/>
      <c r="I127" s="3658"/>
      <c r="J127" s="3658"/>
      <c r="K127" s="3658"/>
      <c r="L127" s="3659"/>
      <c r="M127" s="3660"/>
      <c r="N127" s="3661"/>
      <c r="O127" s="3661"/>
      <c r="P127" s="3746"/>
      <c r="Q127" s="3662"/>
      <c r="R127" s="3537"/>
      <c r="S127" s="3537"/>
      <c r="T127" s="3537"/>
      <c r="U127" s="3537"/>
      <c r="V127" s="3537"/>
      <c r="W127" s="3537"/>
      <c r="X127" s="3537"/>
      <c r="Y127" s="3537"/>
      <c r="Z127" s="3537"/>
      <c r="AA127" s="3537"/>
      <c r="AB127" s="3537"/>
      <c r="AC127" s="3537"/>
    </row>
    <row r="128" spans="1:29" s="3544" customFormat="1" ht="15.75" thickBot="1">
      <c r="A128" s="3656"/>
      <c r="B128" s="3646"/>
      <c r="C128" s="3663">
        <v>100</v>
      </c>
      <c r="D128" s="3638">
        <v>95</v>
      </c>
      <c r="E128" s="3638"/>
      <c r="F128" s="3638"/>
      <c r="G128" s="3663"/>
      <c r="H128" s="3665"/>
      <c r="I128" s="3665"/>
      <c r="J128" s="3665"/>
      <c r="K128" s="3665"/>
      <c r="L128" s="3665"/>
      <c r="M128" s="3666"/>
      <c r="N128" s="3661"/>
      <c r="O128" s="3661"/>
      <c r="P128" s="3746"/>
      <c r="Q128" s="3662"/>
      <c r="R128" s="3537"/>
      <c r="S128" s="3537"/>
      <c r="T128" s="3537"/>
      <c r="U128" s="3537"/>
      <c r="V128" s="3537"/>
      <c r="W128" s="3537"/>
      <c r="X128" s="3537"/>
      <c r="Y128" s="3537"/>
      <c r="Z128" s="3537"/>
      <c r="AA128" s="3537"/>
      <c r="AB128" s="3537"/>
      <c r="AC128" s="3537"/>
    </row>
    <row r="129" spans="1:29" ht="15" thickTop="1">
      <c r="A129" s="3545"/>
      <c r="B129" s="3641">
        <f>B46</f>
        <v>111</v>
      </c>
      <c r="C129" s="3657"/>
      <c r="D129" s="3657"/>
      <c r="E129" s="3657"/>
      <c r="F129" s="3657"/>
      <c r="G129" s="3692"/>
      <c r="H129" s="3692"/>
      <c r="I129" s="3692"/>
      <c r="J129" s="3692"/>
      <c r="K129" s="3693"/>
      <c r="L129" s="3694"/>
      <c r="M129" s="3695"/>
      <c r="N129" s="3636"/>
      <c r="O129" s="3636"/>
      <c r="P129" s="3745"/>
      <c r="Q129" s="3601"/>
      <c r="R129" s="3422"/>
      <c r="S129" s="3422"/>
      <c r="T129" s="3422"/>
      <c r="U129" s="3422"/>
      <c r="V129" s="3422"/>
      <c r="W129" s="3422"/>
      <c r="X129" s="3422"/>
      <c r="Y129" s="3422"/>
      <c r="Z129" s="3422"/>
      <c r="AA129" s="3422"/>
      <c r="AB129" s="3422"/>
      <c r="AC129" s="3422"/>
    </row>
    <row r="130" spans="1:29" ht="15.75" thickBot="1">
      <c r="A130" s="3493"/>
      <c r="B130" s="3646"/>
      <c r="C130" s="3663"/>
      <c r="D130" s="3663"/>
      <c r="E130" s="3663"/>
      <c r="F130" s="3663"/>
      <c r="G130" s="3638"/>
      <c r="H130" s="3638"/>
      <c r="I130" s="3638"/>
      <c r="J130" s="3638"/>
      <c r="K130" s="3638"/>
      <c r="L130" s="3638"/>
      <c r="M130" s="3639"/>
      <c r="N130" s="3640"/>
      <c r="O130" s="3640"/>
      <c r="P130" s="3745"/>
      <c r="Q130" s="3601"/>
      <c r="R130" s="3422"/>
      <c r="S130" s="3422"/>
      <c r="T130" s="3422"/>
      <c r="U130" s="3422"/>
      <c r="V130" s="3422"/>
      <c r="W130" s="3422"/>
      <c r="X130" s="3422"/>
      <c r="Y130" s="3422"/>
      <c r="Z130" s="3422"/>
      <c r="AA130" s="3422"/>
      <c r="AB130" s="3422"/>
      <c r="AC130" s="3422"/>
    </row>
    <row r="131" spans="1:29" ht="15" thickTop="1">
      <c r="A131" s="3545"/>
      <c r="B131" s="3649">
        <f>B47</f>
        <v>111</v>
      </c>
      <c r="C131" s="3622"/>
      <c r="D131" s="3622"/>
      <c r="E131" s="3622"/>
      <c r="F131" s="3622"/>
      <c r="G131" s="3696"/>
      <c r="H131" s="3696"/>
      <c r="I131" s="3696"/>
      <c r="J131" s="3696"/>
      <c r="K131" s="3622"/>
      <c r="L131" s="3623"/>
      <c r="M131" s="3699"/>
      <c r="N131" s="3636"/>
      <c r="O131" s="3636"/>
      <c r="P131" s="3745"/>
      <c r="Q131" s="3601"/>
      <c r="R131" s="3422"/>
      <c r="S131" s="3422"/>
      <c r="T131" s="3422"/>
      <c r="U131" s="3422"/>
      <c r="V131" s="3422"/>
      <c r="W131" s="3422"/>
      <c r="X131" s="3422"/>
      <c r="Y131" s="3422"/>
      <c r="Z131" s="3422"/>
      <c r="AA131" s="3422"/>
      <c r="AB131" s="3422"/>
      <c r="AC131" s="3422"/>
    </row>
    <row r="132" spans="1:29" ht="15.75" thickBot="1">
      <c r="A132" s="3529"/>
      <c r="B132" s="3672"/>
      <c r="C132" s="3673"/>
      <c r="D132" s="3673"/>
      <c r="E132" s="3673"/>
      <c r="F132" s="3673"/>
      <c r="G132" s="3700"/>
      <c r="H132" s="3700"/>
      <c r="I132" s="3700"/>
      <c r="J132" s="3700"/>
      <c r="K132" s="3700"/>
      <c r="L132" s="3700"/>
      <c r="M132" s="3701"/>
      <c r="N132" s="3640"/>
      <c r="O132" s="3640"/>
      <c r="P132" s="3745"/>
      <c r="Q132" s="3601"/>
      <c r="R132" s="3422"/>
      <c r="S132" s="3422"/>
      <c r="T132" s="3422"/>
      <c r="U132" s="3422"/>
      <c r="V132" s="3422"/>
      <c r="W132" s="3422"/>
      <c r="X132" s="3422"/>
      <c r="Y132" s="3422"/>
      <c r="Z132" s="3422"/>
      <c r="AA132" s="3422"/>
      <c r="AB132" s="3422"/>
      <c r="AC132" s="3422"/>
    </row>
    <row r="133" spans="1:29">
      <c r="A133" s="3714"/>
      <c r="B133" s="3714"/>
      <c r="C133" s="3714"/>
      <c r="D133" s="3714"/>
      <c r="E133" s="3714"/>
      <c r="F133" s="3714"/>
      <c r="G133" s="3714"/>
      <c r="H133" s="3714"/>
      <c r="I133" s="3714"/>
      <c r="J133" s="3714"/>
      <c r="K133" s="3715"/>
      <c r="L133" s="3716"/>
      <c r="M133" s="3714"/>
      <c r="N133" s="3714"/>
      <c r="O133" s="3714"/>
      <c r="P133" s="3756"/>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56"/>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56"/>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56"/>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56"/>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56"/>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56"/>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56"/>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56"/>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56"/>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56"/>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56"/>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56"/>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56"/>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56"/>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56"/>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56"/>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56"/>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56"/>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56"/>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56"/>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56"/>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56"/>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56"/>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56"/>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56"/>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56"/>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56"/>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56"/>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56"/>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56"/>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56"/>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56"/>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56"/>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56"/>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56"/>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56"/>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56"/>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56"/>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56"/>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56"/>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56"/>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56"/>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56"/>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56"/>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56"/>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56"/>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56"/>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56"/>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56"/>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56"/>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56"/>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56"/>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56"/>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56"/>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56"/>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56"/>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56"/>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56"/>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56"/>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56"/>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56"/>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56"/>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56"/>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56"/>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56"/>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56"/>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56"/>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56"/>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56"/>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56"/>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56"/>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56"/>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56"/>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56"/>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56"/>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56"/>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56"/>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56"/>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56"/>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56"/>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56"/>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56"/>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56"/>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56"/>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56"/>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56"/>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56"/>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56"/>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56"/>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56"/>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56"/>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56"/>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56"/>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56"/>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56"/>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56"/>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56"/>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56"/>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56"/>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56"/>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56"/>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56"/>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56"/>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56"/>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56"/>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56"/>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56"/>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56"/>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56"/>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56"/>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56"/>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56"/>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56"/>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56"/>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56"/>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56"/>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56"/>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56"/>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56"/>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56"/>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56"/>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56"/>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56"/>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56"/>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56"/>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56"/>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56"/>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56"/>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56"/>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56"/>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56"/>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56"/>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56"/>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56"/>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56"/>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56"/>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56"/>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56"/>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56"/>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56"/>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56"/>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56"/>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56"/>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56"/>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56"/>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56"/>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56"/>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56"/>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56"/>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56"/>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56"/>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56"/>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56"/>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56"/>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56"/>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56"/>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56"/>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56"/>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56"/>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56"/>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56"/>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56"/>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56"/>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56"/>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56"/>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56"/>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56"/>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56"/>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56"/>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56"/>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56"/>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56"/>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56"/>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56"/>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56"/>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56"/>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56"/>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56"/>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56"/>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56"/>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56"/>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56"/>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56"/>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56"/>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56"/>
      <c r="Q318" s="3714"/>
      <c r="R318" s="3714"/>
      <c r="S318" s="3714"/>
      <c r="T318" s="3714"/>
      <c r="U318" s="3714"/>
      <c r="V318" s="3714"/>
      <c r="W318" s="3714"/>
      <c r="X318" s="3714"/>
      <c r="Y318" s="3714"/>
      <c r="Z318" s="3714"/>
      <c r="AA318" s="3714"/>
      <c r="AB318" s="3714"/>
      <c r="AC318" s="3714"/>
    </row>
    <row r="319" spans="1:29">
      <c r="A319" s="3714"/>
      <c r="B319" s="3714"/>
      <c r="C319" s="3714"/>
      <c r="D319" s="3714"/>
      <c r="E319" s="3714"/>
      <c r="F319" s="3714"/>
      <c r="G319" s="3714"/>
      <c r="H319" s="3714"/>
      <c r="I319" s="3714"/>
      <c r="J319" s="3714"/>
      <c r="K319" s="3715"/>
      <c r="L319" s="3716"/>
      <c r="M319" s="3714"/>
      <c r="N319" s="3714"/>
      <c r="O319" s="3714"/>
      <c r="P319" s="3756"/>
      <c r="Q319" s="3714"/>
      <c r="R319" s="3714"/>
      <c r="S319" s="3714"/>
      <c r="T319" s="3714"/>
      <c r="U319" s="3714"/>
      <c r="V319" s="3714"/>
      <c r="W319" s="3714"/>
      <c r="X319" s="3714"/>
      <c r="Y319" s="3714"/>
      <c r="Z319" s="3714"/>
      <c r="AA319" s="3714"/>
      <c r="AB319" s="3714"/>
      <c r="AC319" s="3714"/>
    </row>
    <row r="320" spans="1:29">
      <c r="A320" s="3714"/>
      <c r="B320" s="3714"/>
      <c r="C320" s="3714"/>
      <c r="D320" s="3714"/>
      <c r="E320" s="3714"/>
      <c r="F320" s="3714"/>
      <c r="G320" s="3714"/>
      <c r="H320" s="3714"/>
      <c r="I320" s="3714"/>
      <c r="J320" s="3714"/>
      <c r="K320" s="3715"/>
      <c r="L320" s="3716"/>
      <c r="M320" s="3714"/>
      <c r="N320" s="3714"/>
      <c r="O320" s="3714"/>
      <c r="P320" s="3756"/>
      <c r="Q320" s="3714"/>
      <c r="R320" s="3714"/>
      <c r="S320" s="3714"/>
      <c r="T320" s="3714"/>
      <c r="U320" s="3714"/>
      <c r="V320" s="3714"/>
      <c r="W320" s="3714"/>
      <c r="X320" s="3714"/>
      <c r="Y320" s="3714"/>
      <c r="Z320" s="3714"/>
      <c r="AA320" s="3714"/>
      <c r="AB320" s="3714"/>
      <c r="AC320" s="3714"/>
    </row>
    <row r="321" spans="1:29">
      <c r="A321" s="3714"/>
      <c r="B321" s="3714"/>
      <c r="C321" s="3714"/>
      <c r="D321" s="3714"/>
      <c r="E321" s="3714"/>
      <c r="F321" s="3714"/>
      <c r="G321" s="3714"/>
      <c r="H321" s="3714"/>
      <c r="I321" s="3714"/>
      <c r="J321" s="3714"/>
      <c r="K321" s="3715"/>
      <c r="L321" s="3716"/>
      <c r="M321" s="3714"/>
      <c r="N321" s="3714"/>
      <c r="O321" s="3714"/>
      <c r="P321" s="3756"/>
      <c r="Q321" s="3714"/>
      <c r="R321" s="3714"/>
      <c r="S321" s="3714"/>
      <c r="T321" s="3714"/>
      <c r="U321" s="3714"/>
      <c r="V321" s="3714"/>
      <c r="W321" s="3714"/>
      <c r="X321" s="3714"/>
      <c r="Y321" s="3714"/>
      <c r="Z321" s="3714"/>
      <c r="AA321" s="3714"/>
      <c r="AB321" s="3714"/>
      <c r="AC321" s="3714"/>
    </row>
    <row r="322" spans="1:29">
      <c r="A322" s="3714"/>
      <c r="B322" s="3714"/>
      <c r="C322" s="3714"/>
      <c r="D322" s="3714"/>
      <c r="E322" s="3714"/>
      <c r="F322" s="3714"/>
      <c r="G322" s="3714"/>
      <c r="H322" s="3714"/>
      <c r="I322" s="3714"/>
      <c r="J322" s="3714"/>
      <c r="K322" s="3715"/>
      <c r="L322" s="3716"/>
      <c r="M322" s="3714"/>
      <c r="N322" s="3714"/>
      <c r="O322" s="3714"/>
      <c r="P322" s="3756"/>
      <c r="Q322" s="3714"/>
      <c r="R322" s="3714"/>
      <c r="S322" s="3714"/>
      <c r="T322" s="3714"/>
      <c r="U322" s="3714"/>
      <c r="V322" s="3714"/>
      <c r="W322" s="3714"/>
      <c r="X322" s="3714"/>
      <c r="Y322" s="3714"/>
      <c r="Z322" s="3714"/>
      <c r="AA322" s="3714"/>
      <c r="AB322" s="3714"/>
      <c r="AC322" s="3714"/>
    </row>
    <row r="323" spans="1:29">
      <c r="A323" s="3714"/>
      <c r="B323" s="3714"/>
      <c r="C323" s="3714"/>
      <c r="D323" s="3714"/>
      <c r="E323" s="3714"/>
      <c r="F323" s="3714"/>
      <c r="G323" s="3714"/>
      <c r="H323" s="3714"/>
      <c r="I323" s="3714"/>
      <c r="J323" s="3714"/>
      <c r="K323" s="3715"/>
      <c r="L323" s="3716"/>
      <c r="M323" s="3714"/>
      <c r="N323" s="3714"/>
      <c r="O323" s="3714"/>
      <c r="P323" s="3756"/>
      <c r="Q323" s="3714"/>
      <c r="R323" s="3714"/>
      <c r="S323" s="3714"/>
      <c r="T323" s="3714"/>
      <c r="U323" s="3714"/>
      <c r="V323" s="3714"/>
      <c r="W323" s="3714"/>
      <c r="X323" s="3714"/>
      <c r="Y323" s="3714"/>
      <c r="Z323" s="3714"/>
      <c r="AA323" s="3714"/>
      <c r="AB323" s="3714"/>
      <c r="AC323" s="3714"/>
    </row>
    <row r="324" spans="1:29">
      <c r="A324" s="3714"/>
      <c r="B324" s="3714"/>
      <c r="C324" s="3714"/>
      <c r="D324" s="3714"/>
      <c r="E324" s="3714"/>
      <c r="F324" s="3714"/>
      <c r="G324" s="3714"/>
      <c r="H324" s="3714"/>
      <c r="I324" s="3714"/>
      <c r="J324" s="3714"/>
      <c r="K324" s="3715"/>
      <c r="L324" s="3716"/>
      <c r="M324" s="3714"/>
      <c r="N324" s="3714"/>
      <c r="O324" s="3714"/>
      <c r="P324" s="3756"/>
      <c r="Q324" s="3714"/>
      <c r="R324" s="3714"/>
      <c r="S324" s="3714"/>
      <c r="T324" s="3714"/>
      <c r="U324" s="3714"/>
      <c r="V324" s="3714"/>
      <c r="W324" s="3714"/>
      <c r="X324" s="3714"/>
      <c r="Y324" s="3714"/>
      <c r="Z324" s="3714"/>
      <c r="AA324" s="3714"/>
      <c r="AB324" s="3714"/>
      <c r="AC324" s="3714"/>
    </row>
    <row r="325" spans="1:29">
      <c r="A325" s="3714"/>
      <c r="B325" s="3714"/>
      <c r="C325" s="3714"/>
      <c r="D325" s="3714"/>
      <c r="E325" s="3714"/>
      <c r="F325" s="3714"/>
      <c r="G325" s="3714"/>
      <c r="H325" s="3714"/>
      <c r="I325" s="3714"/>
      <c r="J325" s="3714"/>
      <c r="K325" s="3715"/>
      <c r="L325" s="3716"/>
      <c r="M325" s="3714"/>
      <c r="N325" s="3714"/>
      <c r="O325" s="3714"/>
      <c r="P325" s="3756"/>
      <c r="Q325" s="3714"/>
      <c r="R325" s="3714"/>
      <c r="S325" s="3714"/>
      <c r="T325" s="3714"/>
      <c r="U325" s="3714"/>
      <c r="V325" s="3714"/>
      <c r="W325" s="3714"/>
      <c r="X325" s="3714"/>
      <c r="Y325" s="3714"/>
      <c r="Z325" s="3714"/>
      <c r="AA325" s="3714"/>
      <c r="AB325" s="3714"/>
      <c r="AC325" s="3714"/>
    </row>
    <row r="326" spans="1:29">
      <c r="A326" s="3714"/>
      <c r="B326" s="3714"/>
      <c r="C326" s="3714"/>
      <c r="D326" s="3714"/>
      <c r="E326" s="3714"/>
      <c r="F326" s="3714"/>
      <c r="G326" s="3714"/>
      <c r="H326" s="3714"/>
      <c r="I326" s="3714"/>
      <c r="J326" s="3714"/>
      <c r="K326" s="3715"/>
      <c r="L326" s="3716"/>
      <c r="M326" s="3714"/>
      <c r="N326" s="3714"/>
      <c r="O326" s="3714"/>
      <c r="P326" s="3756"/>
      <c r="Q326" s="3714"/>
      <c r="R326" s="3714"/>
      <c r="S326" s="3714"/>
      <c r="T326" s="3714"/>
      <c r="U326" s="3714"/>
      <c r="V326" s="3714"/>
      <c r="W326" s="3714"/>
      <c r="X326" s="3714"/>
      <c r="Y326" s="3714"/>
      <c r="Z326" s="3714"/>
      <c r="AA326" s="3714"/>
      <c r="AB326" s="3714"/>
      <c r="AC326" s="3714"/>
    </row>
    <row r="327" spans="1:29">
      <c r="A327" s="3714"/>
      <c r="B327" s="3714"/>
      <c r="C327" s="3714"/>
      <c r="D327" s="3714"/>
      <c r="E327" s="3714"/>
      <c r="F327" s="3714"/>
      <c r="G327" s="3714"/>
      <c r="H327" s="3714"/>
      <c r="I327" s="3714"/>
      <c r="J327" s="3714"/>
      <c r="K327" s="3715"/>
      <c r="L327" s="3716"/>
      <c r="M327" s="3714"/>
      <c r="N327" s="3714"/>
      <c r="O327" s="3714"/>
      <c r="P327" s="3756"/>
      <c r="Q327" s="3714"/>
      <c r="R327" s="3714"/>
      <c r="S327" s="3714"/>
      <c r="T327" s="3714"/>
      <c r="U327" s="3714"/>
      <c r="V327" s="3714"/>
      <c r="W327" s="3714"/>
      <c r="X327" s="3714"/>
      <c r="Y327" s="3714"/>
      <c r="Z327" s="3714"/>
      <c r="AA327" s="3714"/>
      <c r="AB327" s="3714"/>
      <c r="AC327" s="3714"/>
    </row>
    <row r="328" spans="1:29">
      <c r="A328" s="3714"/>
      <c r="B328" s="3714"/>
      <c r="C328" s="3714"/>
      <c r="D328" s="3714"/>
      <c r="E328" s="3714"/>
      <c r="F328" s="3714"/>
      <c r="G328" s="3714"/>
      <c r="H328" s="3714"/>
      <c r="I328" s="3714"/>
      <c r="J328" s="3714"/>
      <c r="K328" s="3715"/>
      <c r="L328" s="3716"/>
      <c r="M328" s="3714"/>
      <c r="N328" s="3714"/>
      <c r="O328" s="3714"/>
      <c r="P328" s="3756"/>
      <c r="Q328" s="3714"/>
      <c r="R328" s="3714"/>
      <c r="S328" s="3714"/>
      <c r="T328" s="3714"/>
      <c r="U328" s="3714"/>
      <c r="V328" s="3714"/>
      <c r="W328" s="3714"/>
      <c r="X328" s="3714"/>
      <c r="Y328" s="3714"/>
      <c r="Z328" s="3714"/>
      <c r="AA328" s="3714"/>
      <c r="AB328" s="3714"/>
      <c r="AC328" s="3714"/>
    </row>
    <row r="329" spans="1:29">
      <c r="A329" s="3714"/>
      <c r="B329" s="3714"/>
      <c r="C329" s="3714"/>
      <c r="D329" s="3714"/>
      <c r="E329" s="3714"/>
      <c r="F329" s="3714"/>
      <c r="G329" s="3714"/>
      <c r="H329" s="3714"/>
      <c r="I329" s="3714"/>
      <c r="J329" s="3714"/>
      <c r="K329" s="3715"/>
      <c r="L329" s="3716"/>
      <c r="M329" s="3714"/>
      <c r="N329" s="3714"/>
      <c r="O329" s="3714"/>
      <c r="P329" s="3756"/>
      <c r="Q329" s="3714"/>
      <c r="R329" s="3714"/>
      <c r="S329" s="3714"/>
      <c r="T329" s="3714"/>
      <c r="U329" s="3714"/>
      <c r="V329" s="3714"/>
      <c r="W329" s="3714"/>
      <c r="X329" s="3714"/>
      <c r="Y329" s="3714"/>
      <c r="Z329" s="3714"/>
      <c r="AA329" s="3714"/>
      <c r="AB329" s="3714"/>
      <c r="AC329" s="3714"/>
    </row>
    <row r="330" spans="1:29">
      <c r="A330" s="3714"/>
      <c r="B330" s="3714"/>
      <c r="C330" s="3714"/>
      <c r="D330" s="3714"/>
      <c r="E330" s="3714"/>
      <c r="F330" s="3714"/>
      <c r="G330" s="3714"/>
      <c r="H330" s="3714"/>
      <c r="I330" s="3714"/>
      <c r="J330" s="3714"/>
      <c r="K330" s="3715"/>
      <c r="L330" s="3716"/>
      <c r="M330" s="3714"/>
      <c r="N330" s="3714"/>
      <c r="O330" s="3714"/>
      <c r="P330" s="3756"/>
      <c r="Q330" s="3714"/>
      <c r="R330" s="3714"/>
      <c r="S330" s="3714"/>
      <c r="T330" s="3714"/>
      <c r="U330" s="3714"/>
      <c r="V330" s="3714"/>
      <c r="W330" s="3714"/>
      <c r="X330" s="3714"/>
      <c r="Y330" s="3714"/>
      <c r="Z330" s="3714"/>
      <c r="AA330" s="3714"/>
      <c r="AB330" s="3714"/>
      <c r="AC330" s="3714"/>
    </row>
    <row r="331" spans="1:29">
      <c r="A331" s="3714"/>
      <c r="B331" s="3714"/>
      <c r="C331" s="3714"/>
      <c r="D331" s="3714"/>
      <c r="E331" s="3714"/>
      <c r="F331" s="3714"/>
      <c r="G331" s="3714"/>
      <c r="H331" s="3714"/>
      <c r="I331" s="3714"/>
      <c r="J331" s="3714"/>
      <c r="K331" s="3715"/>
      <c r="L331" s="3716"/>
      <c r="M331" s="3714"/>
      <c r="N331" s="3714"/>
      <c r="O331" s="3714"/>
      <c r="P331" s="3756"/>
      <c r="Q331" s="3714"/>
      <c r="R331" s="3714"/>
      <c r="S331" s="3714"/>
      <c r="T331" s="3714"/>
      <c r="U331" s="3714"/>
      <c r="V331" s="3714"/>
      <c r="W331" s="3714"/>
      <c r="X331" s="3714"/>
      <c r="Y331" s="3714"/>
      <c r="Z331" s="3714"/>
      <c r="AA331" s="3714"/>
      <c r="AB331" s="3714"/>
      <c r="AC331" s="3714"/>
    </row>
    <row r="332" spans="1:29">
      <c r="A332" s="3714"/>
      <c r="B332" s="3714"/>
      <c r="C332" s="3714"/>
      <c r="D332" s="3714"/>
      <c r="E332" s="3714"/>
      <c r="F332" s="3714"/>
      <c r="G332" s="3714"/>
      <c r="H332" s="3714"/>
      <c r="I332" s="3714"/>
      <c r="J332" s="3714"/>
      <c r="K332" s="3715"/>
      <c r="L332" s="3716"/>
      <c r="M332" s="3714"/>
      <c r="N332" s="3714"/>
      <c r="O332" s="3714"/>
      <c r="P332" s="3756"/>
      <c r="Q332" s="3714"/>
      <c r="R332" s="3714"/>
      <c r="S332" s="3714"/>
      <c r="T332" s="3714"/>
      <c r="U332" s="3714"/>
      <c r="V332" s="3714"/>
      <c r="W332" s="3714"/>
      <c r="X332" s="3714"/>
      <c r="Y332" s="3714"/>
      <c r="Z332" s="3714"/>
      <c r="AA332" s="3714"/>
      <c r="AB332" s="3714"/>
      <c r="AC332" s="3714"/>
    </row>
    <row r="333" spans="1:29">
      <c r="A333" s="3714"/>
      <c r="B333" s="3714"/>
      <c r="C333" s="3714"/>
      <c r="D333" s="3714"/>
      <c r="E333" s="3714"/>
      <c r="F333" s="3714"/>
      <c r="G333" s="3714"/>
      <c r="H333" s="3714"/>
      <c r="I333" s="3714"/>
      <c r="J333" s="3714"/>
      <c r="K333" s="3715"/>
      <c r="L333" s="3716"/>
      <c r="M333" s="3714"/>
      <c r="N333" s="3714"/>
      <c r="O333" s="3714"/>
      <c r="P333" s="3756"/>
      <c r="Q333" s="3714"/>
      <c r="R333" s="3714"/>
      <c r="S333" s="3714"/>
      <c r="T333" s="3714"/>
      <c r="U333" s="3714"/>
      <c r="V333" s="3714"/>
      <c r="W333" s="3714"/>
      <c r="X333" s="3714"/>
      <c r="Y333" s="3714"/>
      <c r="Z333" s="3714"/>
      <c r="AA333" s="3714"/>
      <c r="AB333" s="3714"/>
      <c r="AC333" s="3714"/>
    </row>
    <row r="334" spans="1:29">
      <c r="A334" s="3714"/>
      <c r="B334" s="3714"/>
      <c r="C334" s="3714"/>
      <c r="D334" s="3714"/>
      <c r="E334" s="3714"/>
      <c r="F334" s="3714"/>
      <c r="G334" s="3714"/>
      <c r="H334" s="3714"/>
      <c r="I334" s="3714"/>
      <c r="J334" s="3714"/>
      <c r="K334" s="3715"/>
      <c r="L334" s="3716"/>
      <c r="M334" s="3714"/>
      <c r="N334" s="3714"/>
      <c r="O334" s="3714"/>
      <c r="P334" s="3756"/>
      <c r="Q334" s="3714"/>
      <c r="R334" s="3714"/>
      <c r="S334" s="3714"/>
      <c r="T334" s="3714"/>
      <c r="U334" s="3714"/>
      <c r="V334" s="3714"/>
      <c r="W334" s="3714"/>
      <c r="X334" s="3714"/>
      <c r="Y334" s="3714"/>
      <c r="Z334" s="3714"/>
      <c r="AA334" s="3714"/>
      <c r="AB334" s="3714"/>
      <c r="AC334" s="3714"/>
    </row>
    <row r="335" spans="1:29">
      <c r="A335" s="3714"/>
      <c r="B335" s="3714"/>
      <c r="C335" s="3714"/>
      <c r="D335" s="3714"/>
      <c r="E335" s="3714"/>
      <c r="F335" s="3714"/>
      <c r="G335" s="3714"/>
      <c r="H335" s="3714"/>
      <c r="I335" s="3714"/>
      <c r="J335" s="3714"/>
      <c r="K335" s="3715"/>
      <c r="L335" s="3716"/>
      <c r="M335" s="3714"/>
      <c r="N335" s="3714"/>
      <c r="O335" s="3714"/>
      <c r="P335" s="3756"/>
      <c r="Q335" s="3714"/>
      <c r="R335" s="3714"/>
      <c r="S335" s="3714"/>
      <c r="T335" s="3714"/>
      <c r="U335" s="3714"/>
      <c r="V335" s="3714"/>
      <c r="W335" s="3714"/>
      <c r="X335" s="3714"/>
      <c r="Y335" s="3714"/>
      <c r="Z335" s="3714"/>
      <c r="AA335" s="3714"/>
      <c r="AB335" s="3714"/>
      <c r="AC335" s="3714"/>
    </row>
    <row r="336" spans="1:29">
      <c r="A336" s="3714"/>
      <c r="B336" s="3714"/>
      <c r="C336" s="3714"/>
      <c r="D336" s="3714"/>
      <c r="E336" s="3714"/>
      <c r="F336" s="3714"/>
      <c r="G336" s="3714"/>
      <c r="H336" s="3714"/>
      <c r="I336" s="3714"/>
      <c r="J336" s="3714"/>
      <c r="K336" s="3715"/>
      <c r="L336" s="3716"/>
      <c r="M336" s="3714"/>
      <c r="N336" s="3714"/>
      <c r="O336" s="3714"/>
      <c r="P336" s="3756"/>
      <c r="Q336" s="3714"/>
      <c r="R336" s="3714"/>
      <c r="S336" s="3714"/>
      <c r="T336" s="3714"/>
      <c r="U336" s="3714"/>
      <c r="V336" s="3714"/>
      <c r="W336" s="3714"/>
      <c r="X336" s="3714"/>
      <c r="Y336" s="3714"/>
      <c r="Z336" s="3714"/>
      <c r="AA336" s="3714"/>
      <c r="AB336" s="3714"/>
      <c r="AC336" s="3714"/>
    </row>
    <row r="337" spans="1:29">
      <c r="A337" s="3714"/>
      <c r="B337" s="3714"/>
      <c r="C337" s="3714"/>
      <c r="D337" s="3714"/>
      <c r="E337" s="3714"/>
      <c r="F337" s="3714"/>
      <c r="G337" s="3714"/>
      <c r="H337" s="3714"/>
      <c r="I337" s="3714"/>
      <c r="J337" s="3714"/>
      <c r="K337" s="3715"/>
      <c r="L337" s="3716"/>
      <c r="M337" s="3714"/>
      <c r="N337" s="3714"/>
      <c r="O337" s="3714"/>
      <c r="P337" s="3756"/>
      <c r="Q337" s="3714"/>
      <c r="R337" s="3714"/>
      <c r="S337" s="3714"/>
      <c r="T337" s="3714"/>
      <c r="U337" s="3714"/>
      <c r="V337" s="3714"/>
      <c r="W337" s="3714"/>
      <c r="X337" s="3714"/>
      <c r="Y337" s="3714"/>
      <c r="Z337" s="3714"/>
      <c r="AA337" s="3714"/>
      <c r="AB337" s="3714"/>
      <c r="AC337" s="3714"/>
    </row>
    <row r="338" spans="1:29">
      <c r="A338" s="3714"/>
      <c r="B338" s="3714"/>
      <c r="C338" s="3714"/>
      <c r="D338" s="3714"/>
      <c r="E338" s="3714"/>
      <c r="F338" s="3714"/>
      <c r="G338" s="3714"/>
      <c r="H338" s="3714"/>
      <c r="I338" s="3714"/>
      <c r="J338" s="3714"/>
      <c r="K338" s="3715"/>
      <c r="L338" s="3716"/>
      <c r="M338" s="3714"/>
      <c r="N338" s="3714"/>
      <c r="O338" s="3714"/>
      <c r="P338" s="3756"/>
      <c r="Q338" s="3714"/>
      <c r="R338" s="3714"/>
      <c r="S338" s="3714"/>
      <c r="T338" s="3714"/>
      <c r="U338" s="3714"/>
      <c r="V338" s="3714"/>
      <c r="W338" s="3714"/>
      <c r="X338" s="3714"/>
      <c r="Y338" s="3714"/>
      <c r="Z338" s="3714"/>
      <c r="AA338" s="3714"/>
      <c r="AB338" s="3714"/>
      <c r="AC338" s="3714"/>
    </row>
    <row r="339" spans="1:29">
      <c r="A339" s="3714"/>
      <c r="B339" s="3714"/>
      <c r="C339" s="3714"/>
      <c r="D339" s="3714"/>
      <c r="E339" s="3714"/>
      <c r="F339" s="3714"/>
      <c r="G339" s="3714"/>
      <c r="H339" s="3714"/>
      <c r="I339" s="3714"/>
      <c r="J339" s="3714"/>
      <c r="K339" s="3715"/>
      <c r="L339" s="3716"/>
      <c r="M339" s="3714"/>
      <c r="N339" s="3714"/>
      <c r="O339" s="3714"/>
      <c r="P339" s="3756"/>
      <c r="Q339" s="3714"/>
      <c r="R339" s="3714"/>
      <c r="S339" s="3714"/>
      <c r="T339" s="3714"/>
      <c r="U339" s="3714"/>
      <c r="V339" s="3714"/>
      <c r="W339" s="3714"/>
      <c r="X339" s="3714"/>
      <c r="Y339" s="3714"/>
      <c r="Z339" s="3714"/>
      <c r="AA339" s="3714"/>
      <c r="AB339" s="3714"/>
      <c r="AC339" s="3714"/>
    </row>
    <row r="340" spans="1:29">
      <c r="A340" s="3714"/>
      <c r="B340" s="3714"/>
      <c r="C340" s="3714"/>
      <c r="D340" s="3714"/>
      <c r="E340" s="3714"/>
      <c r="F340" s="3714"/>
      <c r="G340" s="3714"/>
      <c r="H340" s="3714"/>
      <c r="I340" s="3714"/>
      <c r="J340" s="3714"/>
      <c r="K340" s="3715"/>
      <c r="L340" s="3716"/>
      <c r="M340" s="3714"/>
      <c r="N340" s="3714"/>
      <c r="O340" s="3714"/>
      <c r="P340" s="3756"/>
      <c r="Q340" s="3714"/>
      <c r="R340" s="3714"/>
      <c r="S340" s="3714"/>
      <c r="T340" s="3714"/>
      <c r="U340" s="3714"/>
      <c r="V340" s="3714"/>
      <c r="W340" s="3714"/>
      <c r="X340" s="3714"/>
      <c r="Y340" s="3714"/>
      <c r="Z340" s="3714"/>
      <c r="AA340" s="3714"/>
      <c r="AB340" s="3714"/>
      <c r="AC340" s="3714"/>
    </row>
    <row r="341" spans="1:29">
      <c r="A341" s="3714"/>
      <c r="B341" s="3714"/>
      <c r="C341" s="3714"/>
      <c r="D341" s="3714"/>
      <c r="E341" s="3714"/>
      <c r="F341" s="3714"/>
      <c r="G341" s="3714"/>
      <c r="H341" s="3714"/>
      <c r="I341" s="3714"/>
      <c r="J341" s="3714"/>
      <c r="K341" s="3715"/>
      <c r="L341" s="3716"/>
      <c r="M341" s="3714"/>
      <c r="N341" s="3714"/>
      <c r="O341" s="3714"/>
      <c r="P341" s="3756"/>
      <c r="Q341" s="3714"/>
      <c r="R341" s="3714"/>
      <c r="S341" s="3714"/>
      <c r="T341" s="3714"/>
      <c r="U341" s="3714"/>
      <c r="V341" s="3714"/>
      <c r="W341" s="3714"/>
      <c r="X341" s="3714"/>
      <c r="Y341" s="3714"/>
      <c r="Z341" s="3714"/>
      <c r="AA341" s="3714"/>
      <c r="AB341" s="3714"/>
      <c r="AC341" s="3714"/>
    </row>
    <row r="342" spans="1:29">
      <c r="A342" s="3714"/>
      <c r="B342" s="3714"/>
      <c r="C342" s="3714"/>
      <c r="D342" s="3714"/>
      <c r="E342" s="3714"/>
      <c r="F342" s="3714"/>
      <c r="G342" s="3714"/>
      <c r="H342" s="3714"/>
      <c r="I342" s="3714"/>
      <c r="J342" s="3714"/>
      <c r="K342" s="3715"/>
      <c r="L342" s="3716"/>
      <c r="M342" s="3714"/>
      <c r="N342" s="3714"/>
      <c r="O342" s="3714"/>
      <c r="P342" s="3756"/>
      <c r="Q342" s="3714"/>
      <c r="R342" s="3714"/>
      <c r="S342" s="3714"/>
      <c r="T342" s="3714"/>
      <c r="U342" s="3714"/>
      <c r="V342" s="3714"/>
      <c r="W342" s="3714"/>
      <c r="X342" s="3714"/>
      <c r="Y342" s="3714"/>
      <c r="Z342" s="3714"/>
      <c r="AA342" s="3714"/>
      <c r="AB342" s="3714"/>
      <c r="AC342" s="3714"/>
    </row>
    <row r="343" spans="1:29">
      <c r="A343" s="3714"/>
      <c r="B343" s="3714"/>
      <c r="C343" s="3714"/>
      <c r="D343" s="3714"/>
      <c r="E343" s="3714"/>
      <c r="F343" s="3714"/>
      <c r="G343" s="3714"/>
      <c r="H343" s="3714"/>
      <c r="I343" s="3714"/>
      <c r="J343" s="3714"/>
      <c r="K343" s="3715"/>
      <c r="L343" s="3716"/>
      <c r="M343" s="3714"/>
      <c r="N343" s="3714"/>
      <c r="O343" s="3714"/>
      <c r="P343" s="3756"/>
      <c r="Q343" s="3714"/>
      <c r="R343" s="3714"/>
      <c r="S343" s="3714"/>
      <c r="T343" s="3714"/>
      <c r="U343" s="3714"/>
      <c r="V343" s="3714"/>
      <c r="W343" s="3714"/>
      <c r="X343" s="3714"/>
      <c r="Y343" s="3714"/>
      <c r="Z343" s="3714"/>
      <c r="AA343" s="3714"/>
      <c r="AB343" s="3714"/>
      <c r="AC343" s="3714"/>
    </row>
    <row r="344" spans="1:29">
      <c r="A344" s="3714"/>
      <c r="B344" s="3714"/>
      <c r="C344" s="3714"/>
      <c r="D344" s="3714"/>
      <c r="E344" s="3714"/>
      <c r="F344" s="3714"/>
      <c r="G344" s="3714"/>
      <c r="H344" s="3714"/>
      <c r="I344" s="3714"/>
      <c r="J344" s="3714"/>
      <c r="K344" s="3715"/>
      <c r="L344" s="3716"/>
      <c r="M344" s="3714"/>
      <c r="N344" s="3714"/>
      <c r="O344" s="3714"/>
      <c r="P344" s="3756"/>
      <c r="Q344" s="3714"/>
      <c r="R344" s="3714"/>
      <c r="S344" s="3714"/>
      <c r="T344" s="3714"/>
      <c r="U344" s="3714"/>
      <c r="V344" s="3714"/>
      <c r="W344" s="3714"/>
      <c r="X344" s="3714"/>
      <c r="Y344" s="3714"/>
      <c r="Z344" s="3714"/>
      <c r="AA344" s="3714"/>
      <c r="AB344" s="3714"/>
      <c r="AC344" s="3714"/>
    </row>
    <row r="345" spans="1:29">
      <c r="A345" s="3714"/>
      <c r="B345" s="3714"/>
      <c r="C345" s="3714"/>
      <c r="D345" s="3714"/>
      <c r="E345" s="3714"/>
      <c r="F345" s="3714"/>
      <c r="G345" s="3714"/>
      <c r="H345" s="3714"/>
      <c r="I345" s="3714"/>
      <c r="J345" s="3714"/>
      <c r="K345" s="3715"/>
      <c r="L345" s="3716"/>
      <c r="M345" s="3714"/>
      <c r="N345" s="3714"/>
      <c r="O345" s="3714"/>
      <c r="P345" s="3756"/>
      <c r="Q345" s="3714"/>
      <c r="R345" s="3714"/>
      <c r="S345" s="3714"/>
      <c r="T345" s="3714"/>
      <c r="U345" s="3714"/>
      <c r="V345" s="3714"/>
      <c r="W345" s="3714"/>
      <c r="X345" s="3714"/>
      <c r="Y345" s="3714"/>
      <c r="Z345" s="3714"/>
      <c r="AA345" s="3714"/>
      <c r="AB345" s="3714"/>
      <c r="AC345" s="3714"/>
    </row>
    <row r="346" spans="1:29">
      <c r="A346" s="3714"/>
      <c r="B346" s="3714"/>
      <c r="C346" s="3714"/>
      <c r="D346" s="3714"/>
      <c r="E346" s="3714"/>
      <c r="F346" s="3714"/>
      <c r="G346" s="3714"/>
      <c r="H346" s="3714"/>
      <c r="I346" s="3714"/>
      <c r="J346" s="3714"/>
      <c r="K346" s="3715"/>
      <c r="L346" s="3716"/>
      <c r="M346" s="3714"/>
      <c r="N346" s="3714"/>
      <c r="O346" s="3714"/>
      <c r="P346" s="3756"/>
      <c r="Q346" s="3714"/>
      <c r="R346" s="3714"/>
      <c r="S346" s="3714"/>
      <c r="T346" s="3714"/>
      <c r="U346" s="3714"/>
      <c r="V346" s="3714"/>
      <c r="W346" s="3714"/>
      <c r="X346" s="3714"/>
      <c r="Y346" s="3714"/>
      <c r="Z346" s="3714"/>
      <c r="AA346" s="3714"/>
      <c r="AB346" s="3714"/>
      <c r="AC346" s="3714"/>
    </row>
    <row r="347" spans="1:29">
      <c r="A347" s="3714"/>
      <c r="B347" s="3714"/>
      <c r="C347" s="3714"/>
      <c r="D347" s="3714"/>
      <c r="E347" s="3714"/>
      <c r="F347" s="3714"/>
      <c r="G347" s="3714"/>
      <c r="H347" s="3714"/>
      <c r="I347" s="3714"/>
      <c r="J347" s="3714"/>
      <c r="K347" s="3715"/>
      <c r="L347" s="3716"/>
      <c r="M347" s="3714"/>
      <c r="N347" s="3714"/>
      <c r="O347" s="3714"/>
      <c r="P347" s="3756"/>
      <c r="Q347" s="3714"/>
      <c r="R347" s="3714"/>
      <c r="S347" s="3714"/>
      <c r="T347" s="3714"/>
      <c r="U347" s="3714"/>
      <c r="V347" s="3714"/>
      <c r="W347" s="3714"/>
      <c r="X347" s="3714"/>
      <c r="Y347" s="3714"/>
      <c r="Z347" s="3714"/>
      <c r="AA347" s="3714"/>
      <c r="AB347" s="3714"/>
      <c r="AC347" s="3714"/>
    </row>
    <row r="348" spans="1:29">
      <c r="A348" s="3714"/>
      <c r="B348" s="3714"/>
      <c r="C348" s="3714"/>
      <c r="D348" s="3714"/>
      <c r="E348" s="3714"/>
      <c r="F348" s="3714"/>
      <c r="G348" s="3714"/>
      <c r="H348" s="3714"/>
      <c r="I348" s="3714"/>
      <c r="J348" s="3714"/>
      <c r="K348" s="3715"/>
      <c r="L348" s="3716"/>
      <c r="M348" s="3714"/>
      <c r="N348" s="3714"/>
      <c r="O348" s="3714"/>
      <c r="P348" s="3756"/>
      <c r="Q348" s="3714"/>
      <c r="R348" s="3714"/>
      <c r="S348" s="3714"/>
      <c r="T348" s="3714"/>
      <c r="U348" s="3714"/>
      <c r="V348" s="3714"/>
      <c r="W348" s="3714"/>
      <c r="X348" s="3714"/>
      <c r="Y348" s="3714"/>
      <c r="Z348" s="3714"/>
      <c r="AA348" s="3714"/>
      <c r="AB348" s="3714"/>
      <c r="AC348" s="3714"/>
    </row>
    <row r="349" spans="1:29">
      <c r="A349" s="3714"/>
      <c r="B349" s="3714"/>
      <c r="C349" s="3714"/>
      <c r="D349" s="3714"/>
      <c r="E349" s="3714"/>
      <c r="F349" s="3714"/>
      <c r="G349" s="3714"/>
      <c r="H349" s="3714"/>
      <c r="I349" s="3714"/>
      <c r="J349" s="3714"/>
      <c r="K349" s="3715"/>
      <c r="L349" s="3716"/>
      <c r="M349" s="3714"/>
      <c r="N349" s="3714"/>
      <c r="O349" s="3714"/>
      <c r="P349" s="3756"/>
      <c r="Q349" s="3714"/>
      <c r="R349" s="3714"/>
      <c r="S349" s="3714"/>
      <c r="T349" s="3714"/>
      <c r="U349" s="3714"/>
      <c r="V349" s="3714"/>
      <c r="W349" s="3714"/>
      <c r="X349" s="3714"/>
      <c r="Y349" s="3714"/>
      <c r="Z349" s="3714"/>
      <c r="AA349" s="3714"/>
      <c r="AB349" s="3714"/>
      <c r="AC349" s="3714"/>
    </row>
    <row r="350" spans="1:29">
      <c r="A350" s="3714"/>
      <c r="B350" s="3714"/>
      <c r="C350" s="3714"/>
      <c r="D350" s="3714"/>
      <c r="E350" s="3714"/>
      <c r="F350" s="3714"/>
      <c r="G350" s="3714"/>
      <c r="H350" s="3714"/>
      <c r="I350" s="3714"/>
      <c r="J350" s="3714"/>
      <c r="K350" s="3715"/>
      <c r="L350" s="3716"/>
      <c r="M350" s="3714"/>
      <c r="N350" s="3714"/>
      <c r="O350" s="3714"/>
      <c r="P350" s="3756"/>
      <c r="Q350" s="3714"/>
      <c r="R350" s="3714"/>
      <c r="S350" s="3714"/>
      <c r="T350" s="3714"/>
      <c r="U350" s="3714"/>
      <c r="V350" s="3714"/>
      <c r="W350" s="3714"/>
      <c r="X350" s="3714"/>
      <c r="Y350" s="3714"/>
      <c r="Z350" s="3714"/>
      <c r="AA350" s="3714"/>
      <c r="AB350" s="3714"/>
      <c r="AC350" s="3714"/>
    </row>
    <row r="351" spans="1:29">
      <c r="A351" s="3714"/>
      <c r="B351" s="3714"/>
      <c r="C351" s="3714"/>
      <c r="D351" s="3714"/>
      <c r="E351" s="3714"/>
      <c r="F351" s="3714"/>
      <c r="G351" s="3714"/>
      <c r="H351" s="3714"/>
      <c r="I351" s="3714"/>
      <c r="J351" s="3714"/>
      <c r="K351" s="3715"/>
      <c r="L351" s="3716"/>
      <c r="M351" s="3714"/>
      <c r="N351" s="3714"/>
      <c r="O351" s="3714"/>
      <c r="P351" s="3756"/>
      <c r="Q351" s="3714"/>
      <c r="R351" s="3714"/>
      <c r="S351" s="3714"/>
      <c r="T351" s="3714"/>
      <c r="U351" s="3714"/>
      <c r="V351" s="3714"/>
      <c r="W351" s="3714"/>
      <c r="X351" s="3714"/>
      <c r="Y351" s="3714"/>
      <c r="Z351" s="3714"/>
      <c r="AA351" s="3714"/>
      <c r="AB351" s="3714"/>
      <c r="AC351" s="3714"/>
    </row>
    <row r="352" spans="1:29">
      <c r="A352" s="3714"/>
      <c r="B352" s="3714"/>
      <c r="C352" s="3714"/>
      <c r="D352" s="3714"/>
      <c r="E352" s="3714"/>
      <c r="F352" s="3714"/>
      <c r="G352" s="3714"/>
      <c r="H352" s="3714"/>
      <c r="I352" s="3714"/>
      <c r="J352" s="3714"/>
      <c r="K352" s="3715"/>
      <c r="L352" s="3716"/>
      <c r="M352" s="3714"/>
      <c r="N352" s="3714"/>
      <c r="O352" s="3714"/>
      <c r="P352" s="3756"/>
      <c r="Q352" s="3714"/>
      <c r="R352" s="3714"/>
      <c r="S352" s="3714"/>
      <c r="T352" s="3714"/>
      <c r="U352" s="3714"/>
      <c r="V352" s="3714"/>
      <c r="W352" s="3714"/>
      <c r="X352" s="3714"/>
      <c r="Y352" s="3714"/>
      <c r="Z352" s="3714"/>
      <c r="AA352" s="3714"/>
      <c r="AB352" s="3714"/>
      <c r="AC352" s="3714"/>
    </row>
    <row r="353" spans="1:29">
      <c r="A353" s="3714"/>
      <c r="B353" s="3714"/>
      <c r="C353" s="3714"/>
      <c r="D353" s="3714"/>
      <c r="E353" s="3714"/>
      <c r="F353" s="3714"/>
      <c r="G353" s="3714"/>
      <c r="H353" s="3714"/>
      <c r="I353" s="3714"/>
      <c r="J353" s="3714"/>
      <c r="K353" s="3715"/>
      <c r="L353" s="3716"/>
      <c r="M353" s="3714"/>
      <c r="N353" s="3714"/>
      <c r="O353" s="3714"/>
      <c r="P353" s="3756"/>
      <c r="Q353" s="3714"/>
      <c r="R353" s="3714"/>
      <c r="S353" s="3714"/>
      <c r="T353" s="3714"/>
      <c r="U353" s="3714"/>
      <c r="V353" s="3714"/>
      <c r="W353" s="3714"/>
      <c r="X353" s="3714"/>
      <c r="Y353" s="3714"/>
      <c r="Z353" s="3714"/>
      <c r="AA353" s="3714"/>
      <c r="AB353" s="3714"/>
      <c r="AC353" s="3714"/>
    </row>
    <row r="354" spans="1:29">
      <c r="A354" s="3714"/>
      <c r="B354" s="3714"/>
      <c r="C354" s="3714"/>
      <c r="D354" s="3714"/>
      <c r="E354" s="3714"/>
      <c r="F354" s="3714"/>
      <c r="G354" s="3714"/>
      <c r="H354" s="3714"/>
      <c r="I354" s="3714"/>
      <c r="J354" s="3714"/>
      <c r="K354" s="3715"/>
      <c r="L354" s="3716"/>
      <c r="M354" s="3714"/>
      <c r="N354" s="3714"/>
      <c r="O354" s="3714"/>
      <c r="P354" s="3756"/>
      <c r="Q354" s="3714"/>
      <c r="R354" s="3714"/>
      <c r="S354" s="3714"/>
      <c r="T354" s="3714"/>
      <c r="U354" s="3714"/>
      <c r="V354" s="3714"/>
      <c r="W354" s="3714"/>
      <c r="X354" s="3714"/>
      <c r="Y354" s="3714"/>
      <c r="Z354" s="3714"/>
      <c r="AA354" s="3714"/>
      <c r="AB354" s="3714"/>
      <c r="AC354" s="3714"/>
    </row>
    <row r="355" spans="1:29">
      <c r="A355" s="3714"/>
      <c r="B355" s="3714"/>
      <c r="C355" s="3714"/>
      <c r="D355" s="3714"/>
      <c r="E355" s="3714"/>
      <c r="F355" s="3714"/>
      <c r="G355" s="3714"/>
      <c r="H355" s="3714"/>
      <c r="I355" s="3714"/>
      <c r="J355" s="3714"/>
      <c r="K355" s="3715"/>
      <c r="L355" s="3716"/>
      <c r="M355" s="3714"/>
      <c r="N355" s="3714"/>
      <c r="O355" s="3714"/>
      <c r="P355" s="3756"/>
      <c r="Q355" s="3714"/>
      <c r="R355" s="3714"/>
      <c r="S355" s="3714"/>
      <c r="T355" s="3714"/>
      <c r="U355" s="3714"/>
      <c r="V355" s="3714"/>
      <c r="W355" s="3714"/>
      <c r="X355" s="3714"/>
      <c r="Y355" s="3714"/>
      <c r="Z355" s="3714"/>
      <c r="AA355" s="3714"/>
      <c r="AB355" s="3714"/>
      <c r="AC355" s="3714"/>
    </row>
    <row r="356" spans="1:29">
      <c r="A356" s="3714"/>
      <c r="B356" s="3714"/>
      <c r="C356" s="3714"/>
      <c r="D356" s="3714"/>
      <c r="E356" s="3714"/>
      <c r="F356" s="3714"/>
      <c r="G356" s="3714"/>
      <c r="H356" s="3714"/>
      <c r="I356" s="3714"/>
      <c r="J356" s="3714"/>
      <c r="K356" s="3715"/>
      <c r="L356" s="3716"/>
      <c r="M356" s="3714"/>
      <c r="N356" s="3714"/>
      <c r="O356" s="3714"/>
      <c r="P356" s="3756"/>
      <c r="Q356" s="3714"/>
      <c r="R356" s="3714"/>
      <c r="S356" s="3714"/>
      <c r="T356" s="3714"/>
      <c r="U356" s="3714"/>
      <c r="V356" s="3714"/>
      <c r="W356" s="3714"/>
      <c r="X356" s="3714"/>
      <c r="Y356" s="3714"/>
      <c r="Z356" s="3714"/>
      <c r="AA356" s="3714"/>
      <c r="AB356" s="3714"/>
      <c r="AC356" s="3714"/>
    </row>
    <row r="357" spans="1:29">
      <c r="A357" s="3714"/>
      <c r="B357" s="3714"/>
      <c r="C357" s="3714"/>
      <c r="D357" s="3714"/>
      <c r="E357" s="3714"/>
      <c r="F357" s="3714"/>
      <c r="G357" s="3714"/>
      <c r="H357" s="3714"/>
      <c r="I357" s="3714"/>
      <c r="J357" s="3714"/>
      <c r="K357" s="3715"/>
      <c r="L357" s="3716"/>
      <c r="M357" s="3714"/>
      <c r="N357" s="3714"/>
      <c r="O357" s="3714"/>
      <c r="P357" s="3756"/>
      <c r="Q357" s="3714"/>
      <c r="R357" s="3714"/>
      <c r="S357" s="3714"/>
      <c r="T357" s="3714"/>
      <c r="U357" s="3714"/>
      <c r="V357" s="3714"/>
      <c r="W357" s="3714"/>
      <c r="X357" s="3714"/>
      <c r="Y357" s="3714"/>
      <c r="Z357" s="3714"/>
      <c r="AA357" s="3714"/>
      <c r="AB357" s="3714"/>
      <c r="AC357" s="3714"/>
    </row>
    <row r="358" spans="1:29">
      <c r="A358" s="3714"/>
      <c r="B358" s="3714"/>
      <c r="C358" s="3714"/>
      <c r="D358" s="3714"/>
      <c r="E358" s="3714"/>
      <c r="F358" s="3714"/>
      <c r="G358" s="3714"/>
      <c r="H358" s="3714"/>
      <c r="I358" s="3714"/>
      <c r="J358" s="3714"/>
      <c r="K358" s="3715"/>
      <c r="L358" s="3716"/>
      <c r="M358" s="3714"/>
      <c r="N358" s="3714"/>
      <c r="O358" s="3714"/>
      <c r="P358" s="3756"/>
      <c r="Q358" s="3714"/>
      <c r="R358" s="3714"/>
      <c r="S358" s="3714"/>
      <c r="T358" s="3714"/>
      <c r="U358" s="3714"/>
      <c r="V358" s="3714"/>
      <c r="W358" s="3714"/>
      <c r="X358" s="3714"/>
      <c r="Y358" s="3714"/>
      <c r="Z358" s="3714"/>
      <c r="AA358" s="3714"/>
      <c r="AB358" s="3714"/>
      <c r="AC358" s="3714"/>
    </row>
    <row r="359" spans="1:29">
      <c r="A359" s="3714"/>
      <c r="B359" s="3714"/>
      <c r="C359" s="3714"/>
      <c r="D359" s="3714"/>
      <c r="E359" s="3714"/>
      <c r="F359" s="3714"/>
      <c r="G359" s="3714"/>
      <c r="H359" s="3714"/>
      <c r="I359" s="3714"/>
      <c r="J359" s="3714"/>
      <c r="K359" s="3715"/>
      <c r="L359" s="3716"/>
      <c r="M359" s="3714"/>
      <c r="N359" s="3714"/>
      <c r="O359" s="3714"/>
      <c r="P359" s="3756"/>
      <c r="Q359" s="3714"/>
      <c r="R359" s="3714"/>
      <c r="S359" s="3714"/>
      <c r="T359" s="3714"/>
      <c r="U359" s="3714"/>
      <c r="V359" s="3714"/>
      <c r="W359" s="3714"/>
      <c r="X359" s="3714"/>
      <c r="Y359" s="3714"/>
      <c r="Z359" s="3714"/>
      <c r="AA359" s="3714"/>
      <c r="AB359" s="3714"/>
      <c r="AC359" s="3714"/>
    </row>
    <row r="360" spans="1:29">
      <c r="A360" s="3714"/>
      <c r="B360" s="3714"/>
      <c r="C360" s="3714"/>
      <c r="D360" s="3714"/>
      <c r="E360" s="3714"/>
      <c r="F360" s="3714"/>
      <c r="G360" s="3714"/>
      <c r="H360" s="3714"/>
      <c r="I360" s="3714"/>
      <c r="J360" s="3714"/>
      <c r="K360" s="3715"/>
      <c r="L360" s="3716"/>
      <c r="M360" s="3714"/>
      <c r="N360" s="3714"/>
      <c r="O360" s="3714"/>
      <c r="P360" s="3756"/>
      <c r="Q360" s="3714"/>
      <c r="R360" s="3714"/>
      <c r="S360" s="3714"/>
      <c r="T360" s="3714"/>
      <c r="U360" s="3714"/>
      <c r="V360" s="3714"/>
      <c r="W360" s="3714"/>
      <c r="X360" s="3714"/>
      <c r="Y360" s="3714"/>
      <c r="Z360" s="3714"/>
      <c r="AA360" s="3714"/>
      <c r="AB360" s="3714"/>
      <c r="AC360" s="3714"/>
    </row>
    <row r="361" spans="1:29">
      <c r="A361" s="3714"/>
      <c r="B361" s="3714"/>
      <c r="C361" s="3714"/>
      <c r="D361" s="3714"/>
      <c r="E361" s="3714"/>
      <c r="F361" s="3714"/>
      <c r="G361" s="3714"/>
      <c r="H361" s="3714"/>
      <c r="I361" s="3714"/>
      <c r="J361" s="3714"/>
      <c r="K361" s="3715"/>
      <c r="L361" s="3716"/>
      <c r="M361" s="3714"/>
      <c r="N361" s="3714"/>
      <c r="O361" s="3714"/>
      <c r="P361" s="3756"/>
      <c r="Q361" s="3714"/>
      <c r="R361" s="3714"/>
      <c r="S361" s="3714"/>
      <c r="T361" s="3714"/>
      <c r="U361" s="3714"/>
      <c r="V361" s="3714"/>
      <c r="W361" s="3714"/>
      <c r="X361" s="3714"/>
      <c r="Y361" s="3714"/>
      <c r="Z361" s="3714"/>
      <c r="AA361" s="3714"/>
      <c r="AB361" s="3714"/>
      <c r="AC361" s="3714"/>
    </row>
    <row r="362" spans="1:29">
      <c r="A362" s="3714"/>
      <c r="B362" s="3714"/>
      <c r="C362" s="3714"/>
      <c r="D362" s="3714"/>
      <c r="E362" s="3714"/>
      <c r="F362" s="3714"/>
      <c r="G362" s="3714"/>
      <c r="H362" s="3714"/>
      <c r="I362" s="3714"/>
      <c r="J362" s="3714"/>
      <c r="K362" s="3715"/>
      <c r="L362" s="3716"/>
      <c r="M362" s="3714"/>
      <c r="N362" s="3714"/>
      <c r="O362" s="3714"/>
      <c r="P362" s="3756"/>
      <c r="Q362" s="3714"/>
      <c r="R362" s="3714"/>
      <c r="S362" s="3714"/>
      <c r="T362" s="3714"/>
      <c r="U362" s="3714"/>
      <c r="V362" s="3714"/>
      <c r="W362" s="3714"/>
      <c r="X362" s="3714"/>
      <c r="Y362" s="3714"/>
      <c r="Z362" s="3714"/>
      <c r="AA362" s="3714"/>
      <c r="AB362" s="3714"/>
      <c r="AC362" s="3714"/>
    </row>
    <row r="363" spans="1:29">
      <c r="A363" s="3714"/>
      <c r="B363" s="3714"/>
      <c r="C363" s="3714"/>
      <c r="D363" s="3714"/>
      <c r="E363" s="3714"/>
      <c r="F363" s="3714"/>
      <c r="G363" s="3714"/>
      <c r="H363" s="3714"/>
      <c r="I363" s="3714"/>
      <c r="J363" s="3714"/>
      <c r="K363" s="3715"/>
      <c r="L363" s="3716"/>
      <c r="M363" s="3714"/>
      <c r="N363" s="3714"/>
      <c r="O363" s="3714"/>
      <c r="P363" s="3756"/>
      <c r="Q363" s="3714"/>
      <c r="R363" s="3714"/>
      <c r="S363" s="3714"/>
      <c r="T363" s="3714"/>
      <c r="U363" s="3714"/>
      <c r="V363" s="3714"/>
      <c r="W363" s="3714"/>
      <c r="X363" s="3714"/>
      <c r="Y363" s="3714"/>
      <c r="Z363" s="3714"/>
      <c r="AA363" s="3714"/>
      <c r="AB363" s="3714"/>
      <c r="AC363" s="3714"/>
    </row>
    <row r="364" spans="1:29">
      <c r="A364" s="3714"/>
      <c r="B364" s="3714"/>
      <c r="C364" s="3714"/>
      <c r="D364" s="3714"/>
      <c r="E364" s="3714"/>
      <c r="F364" s="3714"/>
      <c r="G364" s="3714"/>
      <c r="H364" s="3714"/>
      <c r="I364" s="3714"/>
      <c r="J364" s="3714"/>
      <c r="K364" s="3715"/>
      <c r="L364" s="3716"/>
      <c r="M364" s="3714"/>
      <c r="N364" s="3714"/>
      <c r="O364" s="3714"/>
      <c r="P364" s="3756"/>
      <c r="Q364" s="3714"/>
      <c r="R364" s="3714"/>
      <c r="S364" s="3714"/>
      <c r="T364" s="3714"/>
      <c r="U364" s="3714"/>
      <c r="V364" s="3714"/>
      <c r="W364" s="3714"/>
      <c r="X364" s="3714"/>
      <c r="Y364" s="3714"/>
      <c r="Z364" s="3714"/>
      <c r="AA364" s="3714"/>
      <c r="AB364" s="3714"/>
      <c r="AC364" s="3714"/>
    </row>
    <row r="365" spans="1:29">
      <c r="A365" s="3714"/>
      <c r="B365" s="3714"/>
      <c r="C365" s="3714"/>
      <c r="D365" s="3714"/>
      <c r="E365" s="3714"/>
      <c r="F365" s="3714"/>
      <c r="G365" s="3714"/>
      <c r="H365" s="3714"/>
      <c r="I365" s="3714"/>
      <c r="J365" s="3714"/>
      <c r="K365" s="3715"/>
      <c r="L365" s="3716"/>
      <c r="M365" s="3714"/>
      <c r="N365" s="3714"/>
      <c r="O365" s="3714"/>
      <c r="P365" s="3756"/>
      <c r="Q365" s="3714"/>
      <c r="R365" s="3714"/>
      <c r="S365" s="3714"/>
      <c r="T365" s="3714"/>
      <c r="U365" s="3714"/>
      <c r="V365" s="3714"/>
      <c r="W365" s="3714"/>
      <c r="X365" s="3714"/>
      <c r="Y365" s="3714"/>
      <c r="Z365" s="3714"/>
      <c r="AA365" s="3714"/>
      <c r="AB365" s="3714"/>
      <c r="AC365" s="3714"/>
    </row>
    <row r="366" spans="1:29">
      <c r="A366" s="3714"/>
      <c r="B366" s="3714"/>
      <c r="C366" s="3714"/>
      <c r="D366" s="3714"/>
      <c r="E366" s="3714"/>
      <c r="F366" s="3714"/>
      <c r="G366" s="3714"/>
      <c r="H366" s="3714"/>
      <c r="I366" s="3714"/>
      <c r="J366" s="3714"/>
      <c r="K366" s="3715"/>
      <c r="L366" s="3716"/>
      <c r="M366" s="3714"/>
      <c r="N366" s="3714"/>
      <c r="O366" s="3714"/>
      <c r="P366" s="3756"/>
      <c r="Q366" s="3714"/>
      <c r="R366" s="3714"/>
      <c r="S366" s="3714"/>
      <c r="T366" s="3714"/>
      <c r="U366" s="3714"/>
      <c r="V366" s="3714"/>
      <c r="W366" s="3714"/>
      <c r="X366" s="3714"/>
      <c r="Y366" s="3714"/>
      <c r="Z366" s="3714"/>
      <c r="AA366" s="3714"/>
      <c r="AB366" s="3714"/>
      <c r="AC366" s="3714"/>
    </row>
    <row r="367" spans="1:29">
      <c r="A367" s="3714"/>
      <c r="B367" s="3714"/>
      <c r="C367" s="3714"/>
      <c r="D367" s="3714"/>
      <c r="E367" s="3714"/>
      <c r="F367" s="3714"/>
      <c r="G367" s="3714"/>
      <c r="H367" s="3714"/>
      <c r="I367" s="3714"/>
      <c r="J367" s="3714"/>
      <c r="K367" s="3715"/>
      <c r="L367" s="3716"/>
      <c r="M367" s="3714"/>
      <c r="N367" s="3714"/>
      <c r="O367" s="3714"/>
      <c r="P367" s="3756"/>
      <c r="Q367" s="3714"/>
      <c r="R367" s="3714"/>
      <c r="S367" s="3714"/>
      <c r="T367" s="3714"/>
      <c r="U367" s="3714"/>
      <c r="V367" s="3714"/>
      <c r="W367" s="3714"/>
      <c r="X367" s="3714"/>
      <c r="Y367" s="3714"/>
      <c r="Z367" s="3714"/>
      <c r="AA367" s="3714"/>
      <c r="AB367" s="3714"/>
      <c r="AC367" s="3714"/>
    </row>
    <row r="368" spans="1:29">
      <c r="A368" s="3714"/>
      <c r="B368" s="3714"/>
      <c r="C368" s="3714"/>
      <c r="D368" s="3714"/>
      <c r="E368" s="3714"/>
      <c r="F368" s="3714"/>
      <c r="G368" s="3714"/>
      <c r="H368" s="3714"/>
      <c r="I368" s="3714"/>
      <c r="J368" s="3714"/>
      <c r="K368" s="3715"/>
      <c r="L368" s="3716"/>
      <c r="M368" s="3714"/>
      <c r="N368" s="3714"/>
      <c r="O368" s="3714"/>
      <c r="P368" s="3756"/>
      <c r="Q368" s="3714"/>
      <c r="R368" s="3714"/>
      <c r="S368" s="3714"/>
      <c r="T368" s="3714"/>
      <c r="U368" s="3714"/>
      <c r="V368" s="3714"/>
      <c r="W368" s="3714"/>
      <c r="X368" s="3714"/>
      <c r="Y368" s="3714"/>
      <c r="Z368" s="3714"/>
      <c r="AA368" s="3714"/>
      <c r="AB368" s="3714"/>
      <c r="AC368" s="3714"/>
    </row>
    <row r="369" spans="1:29">
      <c r="A369" s="3714"/>
      <c r="B369" s="3714"/>
      <c r="C369" s="3714"/>
      <c r="D369" s="3714"/>
      <c r="E369" s="3714"/>
      <c r="F369" s="3714"/>
      <c r="G369" s="3714"/>
      <c r="H369" s="3714"/>
      <c r="I369" s="3714"/>
      <c r="J369" s="3714"/>
      <c r="K369" s="3715"/>
      <c r="L369" s="3716"/>
      <c r="M369" s="3714"/>
      <c r="N369" s="3714"/>
      <c r="O369" s="3714"/>
      <c r="P369" s="3756"/>
      <c r="Q369" s="3714"/>
      <c r="R369" s="3714"/>
      <c r="S369" s="3714"/>
      <c r="T369" s="3714"/>
      <c r="U369" s="3714"/>
      <c r="V369" s="3714"/>
      <c r="W369" s="3714"/>
      <c r="X369" s="3714"/>
      <c r="Y369" s="3714"/>
      <c r="Z369" s="3714"/>
      <c r="AA369" s="3714"/>
      <c r="AB369" s="3714"/>
      <c r="AC369" s="3714"/>
    </row>
    <row r="370" spans="1:29">
      <c r="A370" s="3714"/>
      <c r="B370" s="3714"/>
      <c r="C370" s="3714"/>
      <c r="D370" s="3714"/>
      <c r="E370" s="3714"/>
      <c r="F370" s="3714"/>
      <c r="G370" s="3714"/>
      <c r="H370" s="3714"/>
      <c r="I370" s="3714"/>
      <c r="J370" s="3714"/>
      <c r="K370" s="3715"/>
      <c r="L370" s="3716"/>
      <c r="M370" s="3714"/>
      <c r="N370" s="3714"/>
      <c r="O370" s="3714"/>
      <c r="P370" s="3756"/>
      <c r="Q370" s="3714"/>
      <c r="R370" s="3714"/>
      <c r="S370" s="3714"/>
      <c r="T370" s="3714"/>
      <c r="U370" s="3714"/>
      <c r="V370" s="3714"/>
      <c r="W370" s="3714"/>
      <c r="X370" s="3714"/>
      <c r="Y370" s="3714"/>
      <c r="Z370" s="3714"/>
      <c r="AA370" s="3714"/>
      <c r="AB370" s="3714"/>
      <c r="AC370" s="3714"/>
    </row>
    <row r="371" spans="1:29">
      <c r="A371" s="3714"/>
      <c r="B371" s="3714"/>
      <c r="C371" s="3714"/>
      <c r="D371" s="3714"/>
      <c r="E371" s="3714"/>
      <c r="F371" s="3714"/>
      <c r="G371" s="3714"/>
      <c r="H371" s="3714"/>
      <c r="I371" s="3714"/>
      <c r="J371" s="3714"/>
      <c r="K371" s="3715"/>
      <c r="L371" s="3716"/>
      <c r="M371" s="3714"/>
      <c r="N371" s="3714"/>
      <c r="O371" s="3714"/>
      <c r="P371" s="3756"/>
      <c r="Q371" s="3714"/>
      <c r="R371" s="3714"/>
      <c r="S371" s="3714"/>
      <c r="T371" s="3714"/>
      <c r="U371" s="3714"/>
      <c r="V371" s="3714"/>
      <c r="W371" s="3714"/>
      <c r="X371" s="3714"/>
      <c r="Y371" s="3714"/>
      <c r="Z371" s="3714"/>
      <c r="AA371" s="3714"/>
      <c r="AB371" s="3714"/>
      <c r="AC371" s="3714"/>
    </row>
    <row r="372" spans="1:29">
      <c r="A372" s="3714"/>
      <c r="B372" s="3714"/>
      <c r="C372" s="3714"/>
      <c r="D372" s="3714"/>
      <c r="E372" s="3714"/>
      <c r="F372" s="3714"/>
      <c r="G372" s="3714"/>
      <c r="H372" s="3714"/>
      <c r="I372" s="3714"/>
      <c r="J372" s="3714"/>
      <c r="K372" s="3715"/>
      <c r="L372" s="3716"/>
      <c r="M372" s="3714"/>
      <c r="N372" s="3714"/>
      <c r="O372" s="3714"/>
      <c r="P372" s="3756"/>
      <c r="Q372" s="3714"/>
      <c r="R372" s="3714"/>
      <c r="S372" s="3714"/>
      <c r="T372" s="3714"/>
      <c r="U372" s="3714"/>
      <c r="V372" s="3714"/>
      <c r="W372" s="3714"/>
      <c r="X372" s="3714"/>
      <c r="Y372" s="3714"/>
      <c r="Z372" s="3714"/>
      <c r="AA372" s="3714"/>
      <c r="AB372" s="3714"/>
      <c r="AC372" s="3714"/>
    </row>
    <row r="373" spans="1:29">
      <c r="A373" s="3714"/>
      <c r="B373" s="3714"/>
      <c r="C373" s="3714"/>
      <c r="D373" s="3714"/>
      <c r="E373" s="3714"/>
      <c r="F373" s="3714"/>
      <c r="G373" s="3714"/>
      <c r="H373" s="3714"/>
      <c r="I373" s="3714"/>
      <c r="J373" s="3714"/>
      <c r="K373" s="3715"/>
      <c r="L373" s="3716"/>
      <c r="M373" s="3714"/>
      <c r="N373" s="3714"/>
      <c r="O373" s="3714"/>
      <c r="P373" s="3756"/>
      <c r="Q373" s="3714"/>
      <c r="R373" s="3714"/>
      <c r="S373" s="3714"/>
      <c r="T373" s="3714"/>
      <c r="U373" s="3714"/>
      <c r="V373" s="3714"/>
      <c r="W373" s="3714"/>
      <c r="X373" s="3714"/>
      <c r="Y373" s="3714"/>
      <c r="Z373" s="3714"/>
      <c r="AA373" s="3714"/>
      <c r="AB373" s="3714"/>
      <c r="AC373" s="3714"/>
    </row>
    <row r="374" spans="1:29">
      <c r="A374" s="3714"/>
      <c r="B374" s="3714"/>
      <c r="C374" s="3714"/>
      <c r="D374" s="3714"/>
      <c r="E374" s="3714"/>
      <c r="F374" s="3714"/>
      <c r="G374" s="3714"/>
      <c r="H374" s="3714"/>
      <c r="I374" s="3714"/>
      <c r="J374" s="3714"/>
      <c r="K374" s="3715"/>
      <c r="L374" s="3716"/>
      <c r="M374" s="3714"/>
      <c r="N374" s="3714"/>
      <c r="O374" s="3714"/>
      <c r="P374" s="3756"/>
      <c r="Q374" s="3714"/>
      <c r="R374" s="3714"/>
      <c r="S374" s="3714"/>
      <c r="T374" s="3714"/>
      <c r="U374" s="3714"/>
      <c r="V374" s="3714"/>
      <c r="W374" s="3714"/>
      <c r="X374" s="3714"/>
      <c r="Y374" s="3714"/>
      <c r="Z374" s="3714"/>
      <c r="AA374" s="3714"/>
      <c r="AB374" s="3714"/>
      <c r="AC374" s="3714"/>
    </row>
    <row r="375" spans="1:29">
      <c r="A375" s="3714"/>
      <c r="B375" s="3714"/>
      <c r="C375" s="3714"/>
      <c r="D375" s="3714"/>
      <c r="E375" s="3714"/>
      <c r="F375" s="3714"/>
      <c r="G375" s="3714"/>
      <c r="H375" s="3714"/>
      <c r="I375" s="3714"/>
      <c r="J375" s="3714"/>
      <c r="K375" s="3715"/>
      <c r="L375" s="3716"/>
      <c r="M375" s="3714"/>
      <c r="N375" s="3714"/>
      <c r="O375" s="3714"/>
      <c r="P375" s="3756"/>
      <c r="Q375" s="3714"/>
      <c r="R375" s="3714"/>
      <c r="S375" s="3714"/>
      <c r="T375" s="3714"/>
      <c r="U375" s="3714"/>
      <c r="V375" s="3714"/>
      <c r="W375" s="3714"/>
      <c r="X375" s="3714"/>
      <c r="Y375" s="3714"/>
      <c r="Z375" s="3714"/>
      <c r="AA375" s="3714"/>
      <c r="AB375" s="3714"/>
      <c r="AC375" s="3714"/>
    </row>
    <row r="376" spans="1:29">
      <c r="A376" s="3714"/>
      <c r="B376" s="3714"/>
      <c r="C376" s="3714"/>
      <c r="D376" s="3714"/>
      <c r="E376" s="3714"/>
      <c r="F376" s="3714"/>
      <c r="G376" s="3714"/>
      <c r="H376" s="3714"/>
      <c r="I376" s="3714"/>
      <c r="J376" s="3714"/>
      <c r="K376" s="3715"/>
      <c r="L376" s="3716"/>
      <c r="M376" s="3714"/>
      <c r="N376" s="3714"/>
      <c r="O376" s="3714"/>
      <c r="P376" s="3756"/>
      <c r="Q376" s="3714"/>
      <c r="R376" s="3714"/>
      <c r="S376" s="3714"/>
      <c r="T376" s="3714"/>
      <c r="U376" s="3714"/>
      <c r="V376" s="3714"/>
      <c r="W376" s="3714"/>
      <c r="X376" s="3714"/>
      <c r="Y376" s="3714"/>
      <c r="Z376" s="3714"/>
      <c r="AA376" s="3714"/>
      <c r="AB376" s="3714"/>
      <c r="AC376" s="3714"/>
    </row>
    <row r="377" spans="1:29">
      <c r="A377" s="3714"/>
      <c r="B377" s="3714"/>
      <c r="C377" s="3714"/>
      <c r="D377" s="3714"/>
      <c r="E377" s="3714"/>
      <c r="F377" s="3714"/>
      <c r="G377" s="3714"/>
      <c r="H377" s="3714"/>
      <c r="I377" s="3714"/>
      <c r="J377" s="3714"/>
      <c r="K377" s="3715"/>
      <c r="L377" s="3716"/>
      <c r="M377" s="3714"/>
      <c r="N377" s="3714"/>
      <c r="O377" s="3714"/>
      <c r="P377" s="3756"/>
      <c r="Q377" s="3714"/>
      <c r="R377" s="3714"/>
      <c r="S377" s="3714"/>
      <c r="T377" s="3714"/>
      <c r="U377" s="3714"/>
      <c r="V377" s="3714"/>
      <c r="W377" s="3714"/>
      <c r="X377" s="3714"/>
      <c r="Y377" s="3714"/>
      <c r="Z377" s="3714"/>
      <c r="AA377" s="3714"/>
      <c r="AB377" s="3714"/>
      <c r="AC377" s="3714"/>
    </row>
    <row r="378" spans="1:29">
      <c r="A378" s="3714"/>
      <c r="B378" s="3714"/>
      <c r="C378" s="3714"/>
      <c r="D378" s="3714"/>
      <c r="E378" s="3714"/>
      <c r="F378" s="3714"/>
      <c r="G378" s="3714"/>
      <c r="H378" s="3714"/>
      <c r="I378" s="3714"/>
      <c r="J378" s="3714"/>
      <c r="K378" s="3715"/>
      <c r="L378" s="3716"/>
      <c r="M378" s="3714"/>
      <c r="N378" s="3714"/>
      <c r="O378" s="3714"/>
      <c r="P378" s="3756"/>
      <c r="Q378" s="3714"/>
      <c r="R378" s="3714"/>
      <c r="S378" s="3714"/>
      <c r="T378" s="3714"/>
      <c r="U378" s="3714"/>
      <c r="V378" s="3714"/>
      <c r="W378" s="3714"/>
      <c r="X378" s="3714"/>
      <c r="Y378" s="3714"/>
      <c r="Z378" s="3714"/>
      <c r="AA378" s="3714"/>
      <c r="AB378" s="3714"/>
      <c r="AC378" s="3714"/>
    </row>
    <row r="379" spans="1:29">
      <c r="A379" s="3714"/>
      <c r="B379" s="3714"/>
      <c r="C379" s="3714"/>
      <c r="D379" s="3714"/>
      <c r="E379" s="3714"/>
      <c r="F379" s="3714"/>
      <c r="G379" s="3714"/>
      <c r="H379" s="3714"/>
      <c r="I379" s="3714"/>
      <c r="J379" s="3714"/>
      <c r="K379" s="3715"/>
      <c r="L379" s="3716"/>
      <c r="M379" s="3714"/>
      <c r="N379" s="3714"/>
      <c r="O379" s="3714"/>
      <c r="P379" s="3756"/>
      <c r="Q379" s="3714"/>
      <c r="R379" s="3714"/>
      <c r="S379" s="3714"/>
      <c r="T379" s="3714"/>
      <c r="U379" s="3714"/>
      <c r="V379" s="3714"/>
      <c r="W379" s="3714"/>
      <c r="X379" s="3714"/>
      <c r="Y379" s="3714"/>
      <c r="Z379" s="3714"/>
      <c r="AA379" s="3714"/>
      <c r="AB379" s="3714"/>
      <c r="AC379" s="3714"/>
    </row>
    <row r="380" spans="1:29">
      <c r="A380" s="3714"/>
      <c r="B380" s="3714"/>
      <c r="C380" s="3714"/>
      <c r="D380" s="3714"/>
      <c r="E380" s="3714"/>
      <c r="F380" s="3714"/>
      <c r="G380" s="3714"/>
      <c r="H380" s="3714"/>
      <c r="I380" s="3714"/>
      <c r="J380" s="3714"/>
      <c r="K380" s="3715"/>
      <c r="L380" s="3716"/>
      <c r="M380" s="3714"/>
      <c r="N380" s="3714"/>
      <c r="O380" s="3714"/>
      <c r="P380" s="3756"/>
      <c r="Q380" s="3714"/>
      <c r="R380" s="3714"/>
      <c r="S380" s="3714"/>
      <c r="T380" s="3714"/>
      <c r="U380" s="3714"/>
      <c r="V380" s="3714"/>
      <c r="W380" s="3714"/>
      <c r="X380" s="3714"/>
      <c r="Y380" s="3714"/>
      <c r="Z380" s="3714"/>
      <c r="AA380" s="3714"/>
      <c r="AB380" s="3714"/>
      <c r="AC380" s="3714"/>
    </row>
    <row r="381" spans="1:29">
      <c r="A381" s="3714"/>
      <c r="B381" s="3714"/>
      <c r="C381" s="3714"/>
      <c r="D381" s="3714"/>
      <c r="E381" s="3714"/>
      <c r="F381" s="3714"/>
      <c r="G381" s="3714"/>
      <c r="H381" s="3714"/>
      <c r="I381" s="3714"/>
      <c r="J381" s="3714"/>
      <c r="K381" s="3715"/>
      <c r="L381" s="3716"/>
      <c r="M381" s="3714"/>
      <c r="N381" s="3714"/>
      <c r="O381" s="3714"/>
      <c r="P381" s="3756"/>
      <c r="Q381" s="3714"/>
      <c r="R381" s="3714"/>
      <c r="S381" s="3714"/>
      <c r="T381" s="3714"/>
      <c r="U381" s="3714"/>
      <c r="V381" s="3714"/>
      <c r="W381" s="3714"/>
      <c r="X381" s="3714"/>
      <c r="Y381" s="3714"/>
      <c r="Z381" s="3714"/>
      <c r="AA381" s="3714"/>
      <c r="AB381" s="3714"/>
      <c r="AC381" s="3714"/>
    </row>
    <row r="382" spans="1:29">
      <c r="A382" s="3714"/>
      <c r="B382" s="3714"/>
      <c r="C382" s="3714"/>
      <c r="D382" s="3714"/>
      <c r="E382" s="3714"/>
      <c r="F382" s="3714"/>
      <c r="G382" s="3714"/>
      <c r="H382" s="3714"/>
      <c r="I382" s="3714"/>
      <c r="J382" s="3714"/>
      <c r="K382" s="3715"/>
      <c r="L382" s="3716"/>
      <c r="M382" s="3714"/>
      <c r="N382" s="3714"/>
      <c r="O382" s="3714"/>
      <c r="P382" s="3756"/>
      <c r="Q382" s="3714"/>
      <c r="R382" s="3714"/>
      <c r="S382" s="3714"/>
      <c r="T382" s="3714"/>
      <c r="U382" s="3714"/>
      <c r="V382" s="3714"/>
      <c r="W382" s="3714"/>
      <c r="X382" s="3714"/>
      <c r="Y382" s="3714"/>
      <c r="Z382" s="3714"/>
      <c r="AA382" s="3714"/>
      <c r="AB382" s="3714"/>
      <c r="AC382" s="3714"/>
    </row>
    <row r="383" spans="1:29">
      <c r="A383" s="3714"/>
      <c r="B383" s="3714"/>
      <c r="C383" s="3714"/>
      <c r="D383" s="3714"/>
      <c r="E383" s="3714"/>
      <c r="F383" s="3714"/>
      <c r="G383" s="3714"/>
      <c r="H383" s="3714"/>
      <c r="I383" s="3714"/>
      <c r="J383" s="3714"/>
      <c r="K383" s="3715"/>
      <c r="L383" s="3716"/>
      <c r="M383" s="3714"/>
      <c r="N383" s="3714"/>
      <c r="O383" s="3714"/>
      <c r="P383" s="3756"/>
      <c r="Q383" s="3714"/>
      <c r="R383" s="3714"/>
      <c r="S383" s="3714"/>
      <c r="T383" s="3714"/>
      <c r="U383" s="3714"/>
      <c r="V383" s="3714"/>
      <c r="W383" s="3714"/>
      <c r="X383" s="3714"/>
      <c r="Y383" s="3714"/>
      <c r="Z383" s="3714"/>
      <c r="AA383" s="3714"/>
      <c r="AB383" s="3714"/>
      <c r="AC383" s="3714"/>
    </row>
    <row r="384" spans="1:29">
      <c r="A384" s="3714"/>
      <c r="B384" s="3714"/>
      <c r="C384" s="3714"/>
      <c r="D384" s="3714"/>
      <c r="E384" s="3714"/>
      <c r="F384" s="3714"/>
      <c r="G384" s="3714"/>
      <c r="H384" s="3714"/>
      <c r="I384" s="3714"/>
      <c r="J384" s="3714"/>
      <c r="K384" s="3715"/>
      <c r="L384" s="3716"/>
      <c r="M384" s="3714"/>
      <c r="N384" s="3714"/>
      <c r="O384" s="3714"/>
      <c r="P384" s="3756"/>
      <c r="Q384" s="3714"/>
      <c r="R384" s="3714"/>
      <c r="S384" s="3714"/>
      <c r="T384" s="3714"/>
      <c r="U384" s="3714"/>
      <c r="V384" s="3714"/>
      <c r="W384" s="3714"/>
      <c r="X384" s="3714"/>
      <c r="Y384" s="3714"/>
      <c r="Z384" s="3714"/>
      <c r="AA384" s="3714"/>
      <c r="AB384" s="3714"/>
      <c r="AC384" s="3714"/>
    </row>
    <row r="385" spans="1:29">
      <c r="A385" s="3714"/>
      <c r="B385" s="3714"/>
      <c r="C385" s="3714"/>
      <c r="D385" s="3714"/>
      <c r="E385" s="3714"/>
      <c r="F385" s="3714"/>
      <c r="G385" s="3714"/>
      <c r="H385" s="3714"/>
      <c r="I385" s="3714"/>
      <c r="J385" s="3714"/>
      <c r="K385" s="3715"/>
      <c r="L385" s="3716"/>
      <c r="M385" s="3714"/>
      <c r="N385" s="3714"/>
      <c r="O385" s="3714"/>
      <c r="P385" s="3756"/>
      <c r="Q385" s="3714"/>
      <c r="R385" s="3714"/>
      <c r="S385" s="3714"/>
      <c r="T385" s="3714"/>
      <c r="U385" s="3714"/>
      <c r="V385" s="3714"/>
      <c r="W385" s="3714"/>
      <c r="X385" s="3714"/>
      <c r="Y385" s="3714"/>
      <c r="Z385" s="3714"/>
      <c r="AA385" s="3714"/>
      <c r="AB385" s="3714"/>
      <c r="AC385" s="3714"/>
    </row>
    <row r="386" spans="1:29">
      <c r="A386" s="3714"/>
      <c r="B386" s="3714"/>
      <c r="C386" s="3714"/>
      <c r="D386" s="3714"/>
      <c r="E386" s="3714"/>
      <c r="F386" s="3714"/>
      <c r="G386" s="3714"/>
      <c r="H386" s="3714"/>
      <c r="I386" s="3714"/>
      <c r="J386" s="3714"/>
      <c r="K386" s="3715"/>
      <c r="L386" s="3716"/>
      <c r="M386" s="3714"/>
      <c r="N386" s="3714"/>
      <c r="O386" s="3714"/>
      <c r="P386" s="3756"/>
      <c r="Q386" s="3714"/>
      <c r="R386" s="3714"/>
      <c r="S386" s="3714"/>
      <c r="T386" s="3714"/>
      <c r="U386" s="3714"/>
      <c r="V386" s="3714"/>
      <c r="W386" s="3714"/>
      <c r="X386" s="3714"/>
      <c r="Y386" s="3714"/>
      <c r="Z386" s="3714"/>
      <c r="AA386" s="3714"/>
      <c r="AB386" s="3714"/>
      <c r="AC386" s="3714"/>
    </row>
    <row r="387" spans="1:29">
      <c r="A387" s="3714"/>
      <c r="B387" s="3714"/>
      <c r="C387" s="3714"/>
      <c r="D387" s="3714"/>
      <c r="E387" s="3714"/>
      <c r="F387" s="3714"/>
      <c r="G387" s="3714"/>
      <c r="H387" s="3714"/>
      <c r="I387" s="3714"/>
      <c r="J387" s="3714"/>
      <c r="K387" s="3715"/>
      <c r="L387" s="3716"/>
      <c r="M387" s="3714"/>
      <c r="N387" s="3714"/>
      <c r="O387" s="3714"/>
      <c r="P387" s="3756"/>
      <c r="Q387" s="3714"/>
      <c r="R387" s="3714"/>
      <c r="S387" s="3714"/>
      <c r="T387" s="3714"/>
      <c r="U387" s="3714"/>
      <c r="V387" s="3714"/>
      <c r="W387" s="3714"/>
      <c r="X387" s="3714"/>
      <c r="Y387" s="3714"/>
      <c r="Z387" s="3714"/>
      <c r="AA387" s="3714"/>
      <c r="AB387" s="3714"/>
      <c r="AC387" s="3714"/>
    </row>
    <row r="388" spans="1:29">
      <c r="A388" s="3714"/>
      <c r="B388" s="3714"/>
      <c r="C388" s="3714"/>
      <c r="D388" s="3714"/>
      <c r="E388" s="3714"/>
      <c r="F388" s="3714"/>
      <c r="G388" s="3714"/>
      <c r="H388" s="3714"/>
      <c r="I388" s="3714"/>
      <c r="J388" s="3714"/>
      <c r="K388" s="3715"/>
      <c r="L388" s="3716"/>
      <c r="M388" s="3714"/>
      <c r="N388" s="3714"/>
      <c r="O388" s="3714"/>
      <c r="P388" s="3756"/>
      <c r="Q388" s="3714"/>
      <c r="R388" s="3714"/>
      <c r="S388" s="3714"/>
      <c r="T388" s="3714"/>
      <c r="U388" s="3714"/>
      <c r="V388" s="3714"/>
      <c r="W388" s="3714"/>
      <c r="X388" s="3714"/>
      <c r="Y388" s="3714"/>
      <c r="Z388" s="3714"/>
      <c r="AA388" s="3714"/>
      <c r="AB388" s="3714"/>
      <c r="AC388" s="3714"/>
    </row>
    <row r="389" spans="1:29">
      <c r="A389" s="3714"/>
      <c r="B389" s="3714"/>
      <c r="C389" s="3714"/>
      <c r="D389" s="3714"/>
      <c r="E389" s="3714"/>
      <c r="F389" s="3714"/>
      <c r="G389" s="3714"/>
      <c r="H389" s="3714"/>
      <c r="I389" s="3714"/>
      <c r="J389" s="3714"/>
      <c r="K389" s="3715"/>
      <c r="L389" s="3716"/>
      <c r="M389" s="3714"/>
      <c r="N389" s="3714"/>
      <c r="O389" s="3714"/>
      <c r="P389" s="3756"/>
      <c r="Q389" s="3714"/>
      <c r="R389" s="3714"/>
      <c r="S389" s="3714"/>
      <c r="T389" s="3714"/>
      <c r="U389" s="3714"/>
      <c r="V389" s="3714"/>
      <c r="W389" s="3714"/>
      <c r="X389" s="3714"/>
      <c r="Y389" s="3714"/>
      <c r="Z389" s="3714"/>
      <c r="AA389" s="3714"/>
      <c r="AB389" s="3714"/>
      <c r="AC389" s="3714"/>
    </row>
    <row r="390" spans="1:29">
      <c r="A390" s="3714"/>
      <c r="B390" s="3714"/>
      <c r="C390" s="3714"/>
      <c r="D390" s="3714"/>
      <c r="E390" s="3714"/>
      <c r="F390" s="3714"/>
      <c r="G390" s="3714"/>
      <c r="H390" s="3714"/>
      <c r="I390" s="3714"/>
      <c r="J390" s="3714"/>
      <c r="K390" s="3715"/>
      <c r="L390" s="3716"/>
      <c r="M390" s="3714"/>
      <c r="N390" s="3714"/>
      <c r="O390" s="3714"/>
      <c r="P390" s="3756"/>
      <c r="Q390" s="3714"/>
      <c r="R390" s="3714"/>
      <c r="S390" s="3714"/>
      <c r="T390" s="3714"/>
      <c r="U390" s="3714"/>
      <c r="V390" s="3714"/>
      <c r="W390" s="3714"/>
      <c r="X390" s="3714"/>
      <c r="Y390" s="3714"/>
      <c r="Z390" s="3714"/>
      <c r="AA390" s="3714"/>
      <c r="AB390" s="3714"/>
      <c r="AC390" s="3714"/>
    </row>
    <row r="391" spans="1:29">
      <c r="A391" s="3714"/>
      <c r="B391" s="3714"/>
      <c r="C391" s="3714"/>
      <c r="D391" s="3714"/>
      <c r="E391" s="3714"/>
      <c r="F391" s="3714"/>
      <c r="G391" s="3714"/>
      <c r="H391" s="3714"/>
      <c r="I391" s="3714"/>
      <c r="J391" s="3714"/>
      <c r="K391" s="3715"/>
      <c r="L391" s="3716"/>
      <c r="M391" s="3714"/>
      <c r="N391" s="3714"/>
      <c r="O391" s="3714"/>
      <c r="P391" s="3756"/>
      <c r="Q391" s="3714"/>
      <c r="R391" s="3714"/>
      <c r="S391" s="3714"/>
      <c r="T391" s="3714"/>
      <c r="U391" s="3714"/>
      <c r="V391" s="3714"/>
      <c r="W391" s="3714"/>
      <c r="X391" s="3714"/>
      <c r="Y391" s="3714"/>
      <c r="Z391" s="3714"/>
      <c r="AA391" s="3714"/>
      <c r="AB391" s="3714"/>
      <c r="AC391" s="3714"/>
    </row>
    <row r="392" spans="1:29">
      <c r="A392" s="3714"/>
      <c r="B392" s="3714"/>
      <c r="C392" s="3714"/>
      <c r="D392" s="3714"/>
      <c r="E392" s="3714"/>
      <c r="F392" s="3714"/>
      <c r="G392" s="3714"/>
      <c r="H392" s="3714"/>
      <c r="I392" s="3714"/>
      <c r="J392" s="3714"/>
      <c r="K392" s="3715"/>
      <c r="L392" s="3716"/>
      <c r="M392" s="3714"/>
      <c r="N392" s="3714"/>
      <c r="O392" s="3714"/>
      <c r="P392" s="3756"/>
      <c r="Q392" s="3714"/>
      <c r="R392" s="3714"/>
      <c r="S392" s="3714"/>
      <c r="T392" s="3714"/>
      <c r="U392" s="3714"/>
      <c r="V392" s="3714"/>
      <c r="W392" s="3714"/>
      <c r="X392" s="3714"/>
      <c r="Y392" s="3714"/>
      <c r="Z392" s="3714"/>
      <c r="AA392" s="3714"/>
      <c r="AB392" s="3714"/>
      <c r="AC392" s="3714"/>
    </row>
    <row r="393" spans="1:29">
      <c r="A393" s="3714"/>
      <c r="B393" s="3714"/>
      <c r="C393" s="3714"/>
      <c r="D393" s="3714"/>
      <c r="E393" s="3714"/>
      <c r="F393" s="3714"/>
      <c r="G393" s="3714"/>
      <c r="H393" s="3714"/>
      <c r="I393" s="3714"/>
      <c r="J393" s="3714"/>
      <c r="K393" s="3715"/>
      <c r="L393" s="3716"/>
      <c r="M393" s="3714"/>
      <c r="N393" s="3714"/>
      <c r="O393" s="3714"/>
      <c r="P393" s="3756"/>
      <c r="Q393" s="3714"/>
      <c r="R393" s="3714"/>
      <c r="S393" s="3714"/>
      <c r="T393" s="3714"/>
      <c r="U393" s="3714"/>
      <c r="V393" s="3714"/>
      <c r="W393" s="3714"/>
      <c r="X393" s="3714"/>
      <c r="Y393" s="3714"/>
      <c r="Z393" s="3714"/>
      <c r="AA393" s="3714"/>
      <c r="AB393" s="3714"/>
      <c r="AC393" s="3714"/>
    </row>
    <row r="394" spans="1:29">
      <c r="A394" s="3714"/>
      <c r="B394" s="3714"/>
      <c r="C394" s="3714"/>
      <c r="D394" s="3714"/>
      <c r="E394" s="3714"/>
      <c r="F394" s="3714"/>
      <c r="G394" s="3714"/>
      <c r="H394" s="3714"/>
      <c r="I394" s="3714"/>
      <c r="J394" s="3714"/>
      <c r="K394" s="3715"/>
      <c r="L394" s="3716"/>
      <c r="M394" s="3714"/>
      <c r="N394" s="3714"/>
      <c r="O394" s="3714"/>
      <c r="P394" s="3756"/>
      <c r="Q394" s="3714"/>
      <c r="R394" s="3714"/>
      <c r="S394" s="3714"/>
      <c r="T394" s="3714"/>
      <c r="U394" s="3714"/>
      <c r="V394" s="3714"/>
      <c r="W394" s="3714"/>
      <c r="X394" s="3714"/>
      <c r="Y394" s="3714"/>
      <c r="Z394" s="3714"/>
      <c r="AA394" s="3714"/>
      <c r="AB394" s="3714"/>
      <c r="AC394" s="3714"/>
    </row>
    <row r="395" spans="1:29">
      <c r="A395" s="3714"/>
      <c r="B395" s="3714"/>
      <c r="C395" s="3714"/>
      <c r="D395" s="3714"/>
      <c r="E395" s="3714"/>
      <c r="F395" s="3714"/>
      <c r="G395" s="3714"/>
      <c r="H395" s="3714"/>
      <c r="I395" s="3714"/>
      <c r="J395" s="3714"/>
      <c r="K395" s="3715"/>
      <c r="L395" s="3716"/>
      <c r="M395" s="3714"/>
      <c r="N395" s="3714"/>
      <c r="O395" s="3714"/>
      <c r="P395" s="3756"/>
      <c r="Q395" s="3714"/>
      <c r="R395" s="3714"/>
      <c r="S395" s="3714"/>
      <c r="T395" s="3714"/>
      <c r="U395" s="3714"/>
      <c r="V395" s="3714"/>
      <c r="W395" s="3714"/>
      <c r="X395" s="3714"/>
      <c r="Y395" s="3714"/>
      <c r="Z395" s="3714"/>
      <c r="AA395" s="3714"/>
      <c r="AB395" s="3714"/>
      <c r="AC395" s="3714"/>
    </row>
    <row r="396" spans="1:29">
      <c r="A396" s="3714"/>
      <c r="B396" s="3714"/>
      <c r="C396" s="3714"/>
      <c r="D396" s="3714"/>
      <c r="E396" s="3714"/>
      <c r="F396" s="3714"/>
      <c r="G396" s="3714"/>
      <c r="H396" s="3714"/>
      <c r="I396" s="3714"/>
      <c r="J396" s="3714"/>
      <c r="K396" s="3715"/>
      <c r="L396" s="3716"/>
      <c r="M396" s="3714"/>
      <c r="N396" s="3714"/>
      <c r="O396" s="3714"/>
      <c r="P396" s="3756"/>
      <c r="Q396" s="3714"/>
      <c r="R396" s="3714"/>
      <c r="S396" s="3714"/>
      <c r="T396" s="3714"/>
      <c r="U396" s="3714"/>
      <c r="V396" s="3714"/>
      <c r="W396" s="3714"/>
      <c r="X396" s="3714"/>
      <c r="Y396" s="3714"/>
      <c r="Z396" s="3714"/>
      <c r="AA396" s="3714"/>
      <c r="AB396" s="3714"/>
      <c r="AC396" s="3714"/>
    </row>
    <row r="397" spans="1:29">
      <c r="A397" s="3714"/>
      <c r="B397" s="3714"/>
      <c r="C397" s="3714"/>
      <c r="D397" s="3714"/>
      <c r="E397" s="3714"/>
      <c r="F397" s="3714"/>
      <c r="G397" s="3714"/>
      <c r="H397" s="3714"/>
      <c r="I397" s="3714"/>
      <c r="J397" s="3714"/>
      <c r="K397" s="3715"/>
      <c r="L397" s="3716"/>
      <c r="M397" s="3714"/>
      <c r="N397" s="3714"/>
      <c r="O397" s="3714"/>
      <c r="P397" s="3756"/>
      <c r="Q397" s="3714"/>
      <c r="R397" s="3714"/>
      <c r="S397" s="3714"/>
      <c r="T397" s="3714"/>
      <c r="U397" s="3714"/>
      <c r="V397" s="3714"/>
      <c r="W397" s="3714"/>
      <c r="X397" s="3714"/>
      <c r="Y397" s="3714"/>
      <c r="Z397" s="3714"/>
      <c r="AA397" s="3714"/>
      <c r="AB397" s="3714"/>
      <c r="AC397" s="3714"/>
    </row>
    <row r="398" spans="1:29">
      <c r="A398" s="3714"/>
      <c r="B398" s="3714"/>
      <c r="C398" s="3714"/>
      <c r="D398" s="3714"/>
      <c r="E398" s="3714"/>
      <c r="F398" s="3714"/>
      <c r="G398" s="3714"/>
      <c r="H398" s="3714"/>
      <c r="I398" s="3714"/>
      <c r="J398" s="3714"/>
      <c r="K398" s="3715"/>
      <c r="L398" s="3716"/>
      <c r="M398" s="3714"/>
      <c r="N398" s="3714"/>
      <c r="O398" s="3714"/>
      <c r="P398" s="3756"/>
      <c r="Q398" s="3714"/>
      <c r="R398" s="3714"/>
      <c r="S398" s="3714"/>
      <c r="T398" s="3714"/>
      <c r="U398" s="3714"/>
      <c r="V398" s="3714"/>
      <c r="W398" s="3714"/>
      <c r="X398" s="3714"/>
      <c r="Y398" s="3714"/>
      <c r="Z398" s="3714"/>
      <c r="AA398" s="3714"/>
      <c r="AB398" s="3714"/>
      <c r="AC398" s="3714"/>
    </row>
    <row r="399" spans="1:29">
      <c r="A399" s="3714"/>
      <c r="B399" s="3714"/>
      <c r="C399" s="3714"/>
      <c r="D399" s="3714"/>
      <c r="E399" s="3714"/>
      <c r="F399" s="3714"/>
      <c r="G399" s="3714"/>
      <c r="H399" s="3714"/>
      <c r="I399" s="3714"/>
      <c r="J399" s="3714"/>
      <c r="K399" s="3715"/>
      <c r="L399" s="3716"/>
      <c r="M399" s="3714"/>
      <c r="N399" s="3714"/>
      <c r="O399" s="3714"/>
      <c r="P399" s="3756"/>
      <c r="Q399" s="3714"/>
      <c r="R399" s="3714"/>
      <c r="S399" s="3714"/>
      <c r="T399" s="3714"/>
      <c r="U399" s="3714"/>
      <c r="V399" s="3714"/>
      <c r="W399" s="3714"/>
      <c r="X399" s="3714"/>
      <c r="Y399" s="3714"/>
      <c r="Z399" s="3714"/>
      <c r="AA399" s="3714"/>
      <c r="AB399" s="3714"/>
      <c r="AC399" s="3714"/>
    </row>
    <row r="400" spans="1:29">
      <c r="A400" s="3714"/>
      <c r="B400" s="3714"/>
      <c r="C400" s="3714"/>
      <c r="D400" s="3714"/>
      <c r="E400" s="3714"/>
      <c r="F400" s="3714"/>
      <c r="G400" s="3714"/>
      <c r="H400" s="3714"/>
      <c r="I400" s="3714"/>
      <c r="J400" s="3714"/>
      <c r="K400" s="3715"/>
      <c r="L400" s="3716"/>
      <c r="M400" s="3714"/>
      <c r="N400" s="3714"/>
      <c r="O400" s="3714"/>
      <c r="P400" s="3756"/>
      <c r="Q400" s="3714"/>
      <c r="R400" s="3714"/>
      <c r="S400" s="3714"/>
      <c r="T400" s="3714"/>
      <c r="U400" s="3714"/>
      <c r="V400" s="3714"/>
      <c r="W400" s="3714"/>
      <c r="X400" s="3714"/>
      <c r="Y400" s="3714"/>
      <c r="Z400" s="3714"/>
      <c r="AA400" s="3714"/>
      <c r="AB400" s="3714"/>
      <c r="AC400" s="3714"/>
    </row>
    <row r="401" spans="1:29">
      <c r="A401" s="3714"/>
      <c r="B401" s="3714"/>
      <c r="C401" s="3714"/>
      <c r="D401" s="3714"/>
      <c r="E401" s="3714"/>
      <c r="F401" s="3714"/>
      <c r="G401" s="3714"/>
      <c r="H401" s="3714"/>
      <c r="I401" s="3714"/>
      <c r="J401" s="3714"/>
      <c r="K401" s="3715"/>
      <c r="L401" s="3716"/>
      <c r="M401" s="3714"/>
      <c r="N401" s="3714"/>
      <c r="O401" s="3714"/>
      <c r="P401" s="3756"/>
      <c r="Q401" s="3714"/>
      <c r="R401" s="3714"/>
      <c r="S401" s="3714"/>
      <c r="T401" s="3714"/>
      <c r="U401" s="3714"/>
      <c r="V401" s="3714"/>
      <c r="W401" s="3714"/>
      <c r="X401" s="3714"/>
      <c r="Y401" s="3714"/>
      <c r="Z401" s="3714"/>
      <c r="AA401" s="3714"/>
      <c r="AB401" s="3714"/>
      <c r="AC401" s="3714"/>
    </row>
    <row r="402" spans="1:29">
      <c r="A402" s="3714"/>
      <c r="B402" s="3714"/>
      <c r="C402" s="3714"/>
      <c r="D402" s="3714"/>
      <c r="E402" s="3714"/>
      <c r="F402" s="3714"/>
      <c r="G402" s="3714"/>
      <c r="H402" s="3714"/>
      <c r="I402" s="3714"/>
      <c r="J402" s="3714"/>
      <c r="K402" s="3715"/>
      <c r="L402" s="3716"/>
      <c r="M402" s="3714"/>
      <c r="N402" s="3714"/>
      <c r="O402" s="3714"/>
      <c r="P402" s="3756"/>
      <c r="Q402" s="3714"/>
      <c r="R402" s="3714"/>
      <c r="S402" s="3714"/>
      <c r="T402" s="3714"/>
      <c r="U402" s="3714"/>
      <c r="V402" s="3714"/>
      <c r="W402" s="3714"/>
      <c r="X402" s="3714"/>
      <c r="Y402" s="3714"/>
      <c r="Z402" s="3714"/>
      <c r="AA402" s="3714"/>
      <c r="AB402" s="3714"/>
      <c r="AC402" s="3714"/>
    </row>
    <row r="403" spans="1:29">
      <c r="A403" s="3714"/>
      <c r="B403" s="3714"/>
      <c r="C403" s="3714"/>
      <c r="D403" s="3714"/>
      <c r="E403" s="3714"/>
      <c r="F403" s="3714"/>
      <c r="G403" s="3714"/>
      <c r="H403" s="3714"/>
      <c r="I403" s="3714"/>
      <c r="J403" s="3714"/>
      <c r="K403" s="3715"/>
      <c r="L403" s="3716"/>
      <c r="M403" s="3714"/>
      <c r="N403" s="3714"/>
      <c r="O403" s="3714"/>
      <c r="P403" s="3756"/>
      <c r="Q403" s="3714"/>
      <c r="R403" s="3714"/>
      <c r="S403" s="3714"/>
      <c r="T403" s="3714"/>
      <c r="U403" s="3714"/>
      <c r="V403" s="3714"/>
      <c r="W403" s="3714"/>
      <c r="X403" s="3714"/>
      <c r="Y403" s="3714"/>
      <c r="Z403" s="3714"/>
      <c r="AA403" s="3714"/>
      <c r="AB403" s="3714"/>
      <c r="AC403" s="3714"/>
    </row>
    <row r="404" spans="1:29">
      <c r="A404" s="3714"/>
      <c r="B404" s="3714"/>
      <c r="C404" s="3714"/>
      <c r="D404" s="3714"/>
      <c r="E404" s="3714"/>
      <c r="F404" s="3714"/>
      <c r="G404" s="3714"/>
      <c r="H404" s="3714"/>
      <c r="I404" s="3714"/>
      <c r="J404" s="3714"/>
      <c r="K404" s="3715"/>
      <c r="L404" s="3716"/>
      <c r="M404" s="3714"/>
      <c r="N404" s="3714"/>
      <c r="O404" s="3714"/>
      <c r="P404" s="3756"/>
      <c r="Q404" s="3714"/>
      <c r="R404" s="3714"/>
      <c r="S404" s="3714"/>
      <c r="T404" s="3714"/>
      <c r="U404" s="3714"/>
      <c r="V404" s="3714"/>
      <c r="W404" s="3714"/>
      <c r="X404" s="3714"/>
      <c r="Y404" s="3714"/>
      <c r="Z404" s="3714"/>
      <c r="AA404" s="3714"/>
      <c r="AB404" s="3714"/>
      <c r="AC404" s="3714"/>
    </row>
    <row r="405" spans="1:29">
      <c r="A405" s="3714"/>
      <c r="B405" s="3714"/>
      <c r="C405" s="3714"/>
      <c r="D405" s="3714"/>
      <c r="E405" s="3714"/>
      <c r="F405" s="3714"/>
      <c r="G405" s="3714"/>
      <c r="H405" s="3714"/>
      <c r="I405" s="3714"/>
      <c r="J405" s="3714"/>
      <c r="K405" s="3715"/>
      <c r="L405" s="3716"/>
      <c r="M405" s="3714"/>
      <c r="N405" s="3714"/>
      <c r="O405" s="3714"/>
      <c r="P405" s="3756"/>
      <c r="Q405" s="3714"/>
      <c r="R405" s="3714"/>
      <c r="S405" s="3714"/>
      <c r="T405" s="3714"/>
      <c r="U405" s="3714"/>
      <c r="V405" s="3714"/>
      <c r="W405" s="3714"/>
      <c r="X405" s="3714"/>
      <c r="Y405" s="3714"/>
      <c r="Z405" s="3714"/>
      <c r="AA405" s="3714"/>
      <c r="AB405" s="3714"/>
      <c r="AC405" s="3714"/>
    </row>
    <row r="406" spans="1:29">
      <c r="A406" s="3714"/>
      <c r="B406" s="3714"/>
      <c r="C406" s="3714"/>
      <c r="D406" s="3714"/>
      <c r="E406" s="3714"/>
      <c r="F406" s="3714"/>
      <c r="G406" s="3714"/>
      <c r="H406" s="3714"/>
      <c r="I406" s="3714"/>
      <c r="J406" s="3714"/>
      <c r="K406" s="3715"/>
      <c r="L406" s="3716"/>
      <c r="M406" s="3714"/>
      <c r="N406" s="3714"/>
      <c r="O406" s="3714"/>
      <c r="P406" s="3756"/>
      <c r="Q406" s="3714"/>
      <c r="R406" s="3714"/>
      <c r="S406" s="3714"/>
      <c r="T406" s="3714"/>
      <c r="U406" s="3714"/>
      <c r="V406" s="3714"/>
      <c r="W406" s="3714"/>
      <c r="X406" s="3714"/>
      <c r="Y406" s="3714"/>
      <c r="Z406" s="3714"/>
      <c r="AA406" s="3714"/>
      <c r="AB406" s="3714"/>
      <c r="AC406" s="3714"/>
    </row>
    <row r="407" spans="1:29">
      <c r="A407" s="3714"/>
      <c r="B407" s="3714"/>
      <c r="C407" s="3714"/>
      <c r="D407" s="3714"/>
      <c r="E407" s="3714"/>
      <c r="F407" s="3714"/>
      <c r="G407" s="3714"/>
      <c r="H407" s="3714"/>
      <c r="I407" s="3714"/>
      <c r="J407" s="3714"/>
      <c r="K407" s="3715"/>
      <c r="L407" s="3716"/>
      <c r="M407" s="3714"/>
      <c r="N407" s="3714"/>
      <c r="O407" s="3714"/>
      <c r="P407" s="3756"/>
      <c r="Q407" s="3714"/>
      <c r="R407" s="3714"/>
      <c r="S407" s="3714"/>
      <c r="T407" s="3714"/>
      <c r="U407" s="3714"/>
      <c r="V407" s="3714"/>
      <c r="W407" s="3714"/>
      <c r="X407" s="3714"/>
      <c r="Y407" s="3714"/>
      <c r="Z407" s="3714"/>
      <c r="AA407" s="3714"/>
      <c r="AB407" s="3714"/>
      <c r="AC407" s="3714"/>
    </row>
    <row r="408" spans="1:29">
      <c r="A408" s="3714"/>
      <c r="B408" s="3714"/>
      <c r="C408" s="3714"/>
      <c r="D408" s="3714"/>
      <c r="E408" s="3714"/>
      <c r="F408" s="3714"/>
      <c r="G408" s="3714"/>
      <c r="H408" s="3714"/>
      <c r="I408" s="3714"/>
      <c r="J408" s="3714"/>
      <c r="K408" s="3715"/>
      <c r="L408" s="3716"/>
      <c r="M408" s="3714"/>
      <c r="N408" s="3714"/>
      <c r="O408" s="3714"/>
      <c r="P408" s="3756"/>
      <c r="Q408" s="3714"/>
      <c r="R408" s="3714"/>
      <c r="S408" s="3714"/>
      <c r="T408" s="3714"/>
      <c r="U408" s="3714"/>
      <c r="V408" s="3714"/>
      <c r="W408" s="3714"/>
      <c r="X408" s="3714"/>
      <c r="Y408" s="3714"/>
      <c r="Z408" s="3714"/>
      <c r="AA408" s="3714"/>
      <c r="AB408" s="3714"/>
      <c r="AC408" s="3714"/>
    </row>
    <row r="409" spans="1:29">
      <c r="A409" s="3714"/>
      <c r="B409" s="3714"/>
      <c r="C409" s="3714"/>
      <c r="D409" s="3714"/>
      <c r="E409" s="3714"/>
      <c r="F409" s="3714"/>
      <c r="G409" s="3714"/>
      <c r="H409" s="3714"/>
      <c r="I409" s="3714"/>
      <c r="J409" s="3714"/>
      <c r="K409" s="3715"/>
      <c r="L409" s="3716"/>
      <c r="M409" s="3714"/>
      <c r="N409" s="3714"/>
      <c r="O409" s="3714"/>
      <c r="P409" s="3756"/>
      <c r="Q409" s="3714"/>
      <c r="R409" s="3714"/>
      <c r="S409" s="3714"/>
      <c r="T409" s="3714"/>
      <c r="U409" s="3714"/>
      <c r="V409" s="3714"/>
      <c r="W409" s="3714"/>
      <c r="X409" s="3714"/>
      <c r="Y409" s="3714"/>
      <c r="Z409" s="3714"/>
      <c r="AA409" s="3714"/>
      <c r="AB409" s="3714"/>
      <c r="AC409" s="3714"/>
    </row>
    <row r="410" spans="1:29">
      <c r="A410" s="3714"/>
      <c r="B410" s="3714"/>
      <c r="C410" s="3714"/>
      <c r="D410" s="3714"/>
      <c r="E410" s="3714"/>
      <c r="F410" s="3714"/>
      <c r="G410" s="3714"/>
      <c r="H410" s="3714"/>
      <c r="I410" s="3714"/>
      <c r="J410" s="3714"/>
      <c r="K410" s="3715"/>
      <c r="L410" s="3716"/>
      <c r="M410" s="3714"/>
      <c r="N410" s="3714"/>
      <c r="O410" s="3714"/>
      <c r="P410" s="3756"/>
      <c r="Q410" s="3714"/>
      <c r="R410" s="3714"/>
      <c r="S410" s="3714"/>
      <c r="T410" s="3714"/>
      <c r="U410" s="3714"/>
      <c r="V410" s="3714"/>
      <c r="W410" s="3714"/>
      <c r="X410" s="3714"/>
      <c r="Y410" s="3714"/>
      <c r="Z410" s="3714"/>
      <c r="AA410" s="3714"/>
      <c r="AB410" s="3714"/>
      <c r="AC410" s="3714"/>
    </row>
    <row r="411" spans="1:29">
      <c r="A411" s="3714"/>
      <c r="B411" s="3714"/>
      <c r="C411" s="3714"/>
      <c r="D411" s="3714"/>
      <c r="E411" s="3714"/>
      <c r="F411" s="3714"/>
      <c r="G411" s="3714"/>
      <c r="H411" s="3714"/>
      <c r="I411" s="3714"/>
      <c r="J411" s="3714"/>
      <c r="K411" s="3715"/>
      <c r="L411" s="3716"/>
      <c r="M411" s="3714"/>
      <c r="N411" s="3714"/>
      <c r="O411" s="3714"/>
      <c r="P411" s="3756"/>
      <c r="Q411" s="3714"/>
      <c r="R411" s="3714"/>
      <c r="S411" s="3714"/>
      <c r="T411" s="3714"/>
      <c r="U411" s="3714"/>
      <c r="V411" s="3714"/>
      <c r="W411" s="3714"/>
      <c r="X411" s="3714"/>
      <c r="Y411" s="3714"/>
      <c r="Z411" s="3714"/>
      <c r="AA411" s="3714"/>
      <c r="AB411" s="3714"/>
      <c r="AC411" s="3714"/>
    </row>
    <row r="412" spans="1:29">
      <c r="A412" s="3714"/>
      <c r="B412" s="3714"/>
      <c r="C412" s="3714"/>
      <c r="D412" s="3714"/>
      <c r="E412" s="3714"/>
      <c r="F412" s="3714"/>
      <c r="G412" s="3714"/>
      <c r="H412" s="3714"/>
      <c r="I412" s="3714"/>
      <c r="J412" s="3714"/>
      <c r="K412" s="3715"/>
      <c r="L412" s="3716"/>
      <c r="M412" s="3714"/>
      <c r="N412" s="3714"/>
      <c r="O412" s="3714"/>
      <c r="P412" s="3756"/>
      <c r="Q412" s="3714"/>
      <c r="R412" s="3714"/>
      <c r="S412" s="3714"/>
      <c r="T412" s="3714"/>
      <c r="U412" s="3714"/>
      <c r="V412" s="3714"/>
      <c r="W412" s="3714"/>
      <c r="X412" s="3714"/>
      <c r="Y412" s="3714"/>
      <c r="Z412" s="3714"/>
      <c r="AA412" s="3714"/>
      <c r="AB412" s="3714"/>
      <c r="AC412" s="3714"/>
    </row>
    <row r="413" spans="1:29">
      <c r="A413" s="3714"/>
      <c r="B413" s="3714"/>
      <c r="C413" s="3714"/>
      <c r="D413" s="3714"/>
      <c r="E413" s="3714"/>
      <c r="F413" s="3714"/>
      <c r="G413" s="3714"/>
      <c r="H413" s="3714"/>
      <c r="I413" s="3714"/>
      <c r="J413" s="3714"/>
      <c r="K413" s="3715"/>
      <c r="L413" s="3716"/>
      <c r="M413" s="3714"/>
      <c r="N413" s="3714"/>
      <c r="O413" s="3714"/>
      <c r="P413" s="3756"/>
      <c r="Q413" s="3714"/>
      <c r="R413" s="3714"/>
      <c r="S413" s="3714"/>
      <c r="T413" s="3714"/>
      <c r="U413" s="3714"/>
      <c r="V413" s="3714"/>
      <c r="W413" s="3714"/>
      <c r="X413" s="3714"/>
      <c r="Y413" s="3714"/>
      <c r="Z413" s="3714"/>
      <c r="AA413" s="3714"/>
      <c r="AB413" s="3714"/>
      <c r="AC413" s="3714"/>
    </row>
    <row r="414" spans="1:29">
      <c r="A414" s="3714"/>
      <c r="B414" s="3714"/>
      <c r="C414" s="3714"/>
      <c r="D414" s="3714"/>
      <c r="E414" s="3714"/>
      <c r="F414" s="3714"/>
      <c r="G414" s="3714"/>
      <c r="H414" s="3714"/>
      <c r="I414" s="3714"/>
      <c r="J414" s="3714"/>
      <c r="K414" s="3715"/>
      <c r="L414" s="3716"/>
      <c r="M414" s="3714"/>
      <c r="N414" s="3714"/>
      <c r="O414" s="3714"/>
      <c r="P414" s="3756"/>
      <c r="Q414" s="3714"/>
      <c r="R414" s="3714"/>
      <c r="S414" s="3714"/>
      <c r="T414" s="3714"/>
      <c r="U414" s="3714"/>
      <c r="V414" s="3714"/>
      <c r="W414" s="3714"/>
      <c r="X414" s="3714"/>
      <c r="Y414" s="3714"/>
      <c r="Z414" s="3714"/>
      <c r="AA414" s="3714"/>
      <c r="AB414" s="3714"/>
      <c r="AC414" s="3714"/>
    </row>
    <row r="415" spans="1:29">
      <c r="A415" s="3714"/>
      <c r="B415" s="3714"/>
      <c r="C415" s="3714"/>
      <c r="D415" s="3714"/>
      <c r="E415" s="3714"/>
      <c r="F415" s="3714"/>
      <c r="G415" s="3714"/>
      <c r="H415" s="3714"/>
      <c r="I415" s="3714"/>
      <c r="J415" s="3714"/>
      <c r="K415" s="3715"/>
      <c r="L415" s="3716"/>
      <c r="M415" s="3714"/>
      <c r="N415" s="3714"/>
      <c r="O415" s="3714"/>
      <c r="P415" s="3756"/>
      <c r="Q415" s="3714"/>
      <c r="R415" s="3714"/>
      <c r="S415" s="3714"/>
      <c r="T415" s="3714"/>
      <c r="U415" s="3714"/>
      <c r="V415" s="3714"/>
      <c r="W415" s="3714"/>
      <c r="X415" s="3714"/>
      <c r="Y415" s="3714"/>
      <c r="Z415" s="3714"/>
      <c r="AA415" s="3714"/>
      <c r="AB415" s="3714"/>
      <c r="AC415" s="3714"/>
    </row>
    <row r="416" spans="1:29">
      <c r="A416" s="3714"/>
      <c r="B416" s="3714"/>
      <c r="C416" s="3714"/>
      <c r="D416" s="3714"/>
      <c r="E416" s="3714"/>
      <c r="F416" s="3714"/>
      <c r="G416" s="3714"/>
      <c r="H416" s="3714"/>
      <c r="I416" s="3714"/>
      <c r="J416" s="3714"/>
      <c r="K416" s="3715"/>
      <c r="L416" s="3716"/>
      <c r="M416" s="3714"/>
      <c r="N416" s="3714"/>
      <c r="O416" s="3714"/>
      <c r="P416" s="3756"/>
      <c r="Q416" s="3714"/>
      <c r="R416" s="3714"/>
      <c r="S416" s="3714"/>
      <c r="T416" s="3714"/>
      <c r="U416" s="3714"/>
      <c r="V416" s="3714"/>
      <c r="W416" s="3714"/>
      <c r="X416" s="3714"/>
      <c r="Y416" s="3714"/>
      <c r="Z416" s="3714"/>
      <c r="AA416" s="3714"/>
      <c r="AB416" s="3714"/>
      <c r="AC416" s="3714"/>
    </row>
    <row r="417" spans="1:29">
      <c r="A417" s="3714"/>
      <c r="B417" s="3714"/>
      <c r="C417" s="3714"/>
      <c r="D417" s="3714"/>
      <c r="E417" s="3714"/>
      <c r="F417" s="3714"/>
      <c r="G417" s="3714"/>
      <c r="H417" s="3714"/>
      <c r="I417" s="3714"/>
      <c r="J417" s="3714"/>
      <c r="K417" s="3715"/>
      <c r="L417" s="3716"/>
      <c r="M417" s="3714"/>
      <c r="N417" s="3714"/>
      <c r="O417" s="3714"/>
      <c r="P417" s="3756"/>
      <c r="Q417" s="3714"/>
      <c r="R417" s="3714"/>
      <c r="S417" s="3714"/>
      <c r="T417" s="3714"/>
      <c r="U417" s="3714"/>
      <c r="V417" s="3714"/>
      <c r="W417" s="3714"/>
      <c r="X417" s="3714"/>
      <c r="Y417" s="3714"/>
      <c r="Z417" s="3714"/>
      <c r="AA417" s="3714"/>
      <c r="AB417" s="3714"/>
      <c r="AC417" s="3714"/>
    </row>
    <row r="418" spans="1:29">
      <c r="A418" s="3714"/>
      <c r="B418" s="3714"/>
      <c r="C418" s="3714"/>
      <c r="D418" s="3714"/>
      <c r="E418" s="3714"/>
      <c r="F418" s="3714"/>
      <c r="G418" s="3714"/>
      <c r="H418" s="3714"/>
      <c r="I418" s="3714"/>
      <c r="J418" s="3714"/>
      <c r="K418" s="3715"/>
      <c r="L418" s="3716"/>
      <c r="M418" s="3714"/>
      <c r="N418" s="3714"/>
      <c r="O418" s="3714"/>
      <c r="P418" s="3756"/>
      <c r="Q418" s="3714"/>
      <c r="R418" s="3714"/>
      <c r="S418" s="3714"/>
      <c r="T418" s="3714"/>
      <c r="U418" s="3714"/>
      <c r="V418" s="3714"/>
      <c r="W418" s="3714"/>
      <c r="X418" s="3714"/>
      <c r="Y418" s="3714"/>
      <c r="Z418" s="3714"/>
      <c r="AA418" s="3714"/>
      <c r="AB418" s="3714"/>
      <c r="AC418" s="3714"/>
    </row>
    <row r="419" spans="1:29">
      <c r="A419" s="3714"/>
      <c r="B419" s="3714"/>
      <c r="C419" s="3714"/>
      <c r="D419" s="3714"/>
      <c r="E419" s="3714"/>
      <c r="F419" s="3714"/>
      <c r="G419" s="3714"/>
      <c r="H419" s="3714"/>
      <c r="I419" s="3714"/>
      <c r="J419" s="3714"/>
      <c r="K419" s="3715"/>
      <c r="L419" s="3716"/>
      <c r="M419" s="3714"/>
      <c r="N419" s="3714"/>
      <c r="O419" s="3714"/>
      <c r="P419" s="3756"/>
      <c r="Q419" s="3714"/>
      <c r="R419" s="3714"/>
      <c r="S419" s="3714"/>
      <c r="T419" s="3714"/>
      <c r="U419" s="3714"/>
      <c r="V419" s="3714"/>
      <c r="W419" s="3714"/>
      <c r="X419" s="3714"/>
      <c r="Y419" s="3714"/>
      <c r="Z419" s="3714"/>
      <c r="AA419" s="3714"/>
      <c r="AB419" s="3714"/>
      <c r="AC419" s="3714"/>
    </row>
    <row r="420" spans="1:29">
      <c r="A420" s="3714"/>
      <c r="B420" s="3714"/>
      <c r="C420" s="3714"/>
      <c r="D420" s="3714"/>
      <c r="E420" s="3714"/>
      <c r="F420" s="3714"/>
      <c r="G420" s="3714"/>
      <c r="H420" s="3714"/>
      <c r="I420" s="3714"/>
      <c r="J420" s="3714"/>
      <c r="K420" s="3715"/>
      <c r="L420" s="3716"/>
      <c r="M420" s="3714"/>
      <c r="N420" s="3714"/>
      <c r="O420" s="3714"/>
      <c r="P420" s="3756"/>
      <c r="Q420" s="3714"/>
      <c r="R420" s="3714"/>
      <c r="S420" s="3714"/>
      <c r="T420" s="3714"/>
      <c r="U420" s="3714"/>
      <c r="V420" s="3714"/>
      <c r="W420" s="3714"/>
      <c r="X420" s="3714"/>
      <c r="Y420" s="3714"/>
      <c r="Z420" s="3714"/>
      <c r="AA420" s="3714"/>
      <c r="AB420" s="3714"/>
      <c r="AC420" s="3714"/>
    </row>
    <row r="421" spans="1:29">
      <c r="A421" s="3714"/>
      <c r="B421" s="3714"/>
      <c r="C421" s="3714"/>
      <c r="D421" s="3714"/>
      <c r="E421" s="3714"/>
      <c r="F421" s="3714"/>
      <c r="G421" s="3714"/>
      <c r="H421" s="3714"/>
      <c r="I421" s="3714"/>
      <c r="J421" s="3714"/>
      <c r="K421" s="3715"/>
      <c r="L421" s="3716"/>
      <c r="M421" s="3714"/>
      <c r="N421" s="3714"/>
      <c r="O421" s="3714"/>
      <c r="P421" s="3756"/>
      <c r="Q421" s="3714"/>
      <c r="R421" s="3714"/>
      <c r="S421" s="3714"/>
      <c r="T421" s="3714"/>
      <c r="U421" s="3714"/>
      <c r="V421" s="3714"/>
      <c r="W421" s="3714"/>
      <c r="X421" s="3714"/>
      <c r="Y421" s="3714"/>
      <c r="Z421" s="3714"/>
      <c r="AA421" s="3714"/>
      <c r="AB421" s="3714"/>
      <c r="AC421" s="3714"/>
    </row>
    <row r="422" spans="1:29">
      <c r="A422" s="3714"/>
      <c r="B422" s="3714"/>
      <c r="C422" s="3714"/>
      <c r="D422" s="3714"/>
      <c r="E422" s="3714"/>
      <c r="F422" s="3714"/>
      <c r="G422" s="3714"/>
      <c r="H422" s="3714"/>
      <c r="I422" s="3714"/>
      <c r="J422" s="3714"/>
      <c r="K422" s="3715"/>
      <c r="L422" s="3716"/>
      <c r="M422" s="3714"/>
      <c r="N422" s="3714"/>
      <c r="O422" s="3714"/>
      <c r="P422" s="3756"/>
      <c r="Q422" s="3714"/>
      <c r="R422" s="3714"/>
      <c r="S422" s="3714"/>
      <c r="T422" s="3714"/>
      <c r="U422" s="3714"/>
      <c r="V422" s="3714"/>
      <c r="W422" s="3714"/>
      <c r="X422" s="3714"/>
      <c r="Y422" s="3714"/>
      <c r="Z422" s="3714"/>
      <c r="AA422" s="3714"/>
      <c r="AB422" s="3714"/>
      <c r="AC422" s="3714"/>
    </row>
    <row r="423" spans="1:29">
      <c r="A423" s="3714"/>
      <c r="B423" s="3714"/>
      <c r="C423" s="3714"/>
      <c r="D423" s="3714"/>
      <c r="E423" s="3714"/>
      <c r="F423" s="3714"/>
      <c r="G423" s="3714"/>
      <c r="H423" s="3714"/>
      <c r="I423" s="3714"/>
      <c r="J423" s="3714"/>
      <c r="K423" s="3715"/>
      <c r="L423" s="3716"/>
      <c r="M423" s="3714"/>
      <c r="N423" s="3714"/>
      <c r="O423" s="3714"/>
      <c r="P423" s="3756"/>
      <c r="Q423" s="3714"/>
      <c r="R423" s="3714"/>
      <c r="S423" s="3714"/>
      <c r="T423" s="3714"/>
      <c r="U423" s="3714"/>
      <c r="V423" s="3714"/>
      <c r="W423" s="3714"/>
      <c r="X423" s="3714"/>
      <c r="Y423" s="3714"/>
      <c r="Z423" s="3714"/>
      <c r="AA423" s="3714"/>
      <c r="AB423" s="3714"/>
      <c r="AC423" s="3714"/>
    </row>
    <row r="424" spans="1:29">
      <c r="A424" s="3714"/>
      <c r="B424" s="3714"/>
      <c r="C424" s="3714"/>
      <c r="D424" s="3714"/>
      <c r="E424" s="3714"/>
      <c r="F424" s="3714"/>
      <c r="G424" s="3714"/>
      <c r="H424" s="3714"/>
      <c r="I424" s="3714"/>
      <c r="J424" s="3714"/>
      <c r="K424" s="3715"/>
      <c r="L424" s="3716"/>
      <c r="M424" s="3714"/>
      <c r="N424" s="3714"/>
      <c r="O424" s="3714"/>
      <c r="P424" s="3756"/>
      <c r="Q424" s="3714"/>
      <c r="R424" s="3714"/>
      <c r="S424" s="3714"/>
      <c r="T424" s="3714"/>
      <c r="U424" s="3714"/>
      <c r="V424" s="3714"/>
      <c r="W424" s="3714"/>
      <c r="X424" s="3714"/>
      <c r="Y424" s="3714"/>
      <c r="Z424" s="3714"/>
      <c r="AA424" s="3714"/>
      <c r="AB424" s="3714"/>
      <c r="AC424" s="3714"/>
    </row>
    <row r="425" spans="1:29">
      <c r="A425" s="3714"/>
      <c r="B425" s="3714"/>
      <c r="C425" s="3714"/>
      <c r="D425" s="3714"/>
      <c r="E425" s="3714"/>
      <c r="F425" s="3714"/>
      <c r="G425" s="3714"/>
      <c r="H425" s="3714"/>
      <c r="I425" s="3714"/>
      <c r="J425" s="3714"/>
      <c r="K425" s="3715"/>
      <c r="L425" s="3716"/>
      <c r="M425" s="3714"/>
      <c r="N425" s="3714"/>
      <c r="O425" s="3714"/>
      <c r="P425" s="3756"/>
      <c r="Q425" s="3714"/>
      <c r="R425" s="3714"/>
      <c r="S425" s="3714"/>
      <c r="T425" s="3714"/>
      <c r="U425" s="3714"/>
      <c r="V425" s="3714"/>
      <c r="W425" s="3714"/>
      <c r="X425" s="3714"/>
      <c r="Y425" s="3714"/>
      <c r="Z425" s="3714"/>
      <c r="AA425" s="3714"/>
      <c r="AB425" s="3714"/>
      <c r="AC425" s="3714"/>
    </row>
    <row r="426" spans="1:29">
      <c r="A426" s="3714"/>
      <c r="B426" s="3714"/>
      <c r="C426" s="3714"/>
      <c r="D426" s="3714"/>
      <c r="E426" s="3714"/>
      <c r="F426" s="3714"/>
      <c r="G426" s="3714"/>
      <c r="H426" s="3714"/>
      <c r="I426" s="3714"/>
      <c r="J426" s="3714"/>
      <c r="K426" s="3715"/>
      <c r="L426" s="3716"/>
      <c r="M426" s="3714"/>
      <c r="N426" s="3714"/>
      <c r="O426" s="3714"/>
      <c r="P426" s="3756"/>
      <c r="Q426" s="3714"/>
      <c r="R426" s="3714"/>
      <c r="S426" s="3714"/>
      <c r="T426" s="3714"/>
      <c r="U426" s="3714"/>
      <c r="V426" s="3714"/>
      <c r="W426" s="3714"/>
      <c r="X426" s="3714"/>
      <c r="Y426" s="3714"/>
      <c r="Z426" s="3714"/>
      <c r="AA426" s="3714"/>
      <c r="AB426" s="3714"/>
      <c r="AC426" s="3714"/>
    </row>
    <row r="427" spans="1:29">
      <c r="A427" s="3714"/>
      <c r="B427" s="3714"/>
      <c r="C427" s="3714"/>
      <c r="D427" s="3714"/>
      <c r="E427" s="3714"/>
      <c r="F427" s="3714"/>
      <c r="G427" s="3714"/>
      <c r="H427" s="3714"/>
      <c r="I427" s="3714"/>
      <c r="J427" s="3714"/>
      <c r="K427" s="3715"/>
      <c r="L427" s="3716"/>
      <c r="M427" s="3714"/>
      <c r="N427" s="3714"/>
      <c r="O427" s="3714"/>
      <c r="P427" s="3756"/>
      <c r="Q427" s="3714"/>
      <c r="R427" s="3714"/>
      <c r="S427" s="3714"/>
      <c r="T427" s="3714"/>
      <c r="U427" s="3714"/>
      <c r="V427" s="3714"/>
      <c r="W427" s="3714"/>
      <c r="X427" s="3714"/>
      <c r="Y427" s="3714"/>
      <c r="Z427" s="3714"/>
      <c r="AA427" s="3714"/>
      <c r="AB427" s="3714"/>
      <c r="AC427" s="3714"/>
    </row>
    <row r="428" spans="1:29">
      <c r="A428" s="3714"/>
      <c r="B428" s="3714"/>
      <c r="C428" s="3714"/>
      <c r="D428" s="3714"/>
      <c r="E428" s="3714"/>
      <c r="F428" s="3714"/>
      <c r="G428" s="3714"/>
      <c r="H428" s="3714"/>
      <c r="I428" s="3714"/>
      <c r="J428" s="3714"/>
      <c r="K428" s="3715"/>
      <c r="L428" s="3716"/>
      <c r="M428" s="3714"/>
      <c r="N428" s="3714"/>
      <c r="O428" s="3714"/>
      <c r="P428" s="3756"/>
      <c r="Q428" s="3714"/>
      <c r="R428" s="3714"/>
      <c r="S428" s="3714"/>
      <c r="T428" s="3714"/>
      <c r="U428" s="3714"/>
      <c r="V428" s="3714"/>
      <c r="W428" s="3714"/>
      <c r="X428" s="3714"/>
      <c r="Y428" s="3714"/>
      <c r="Z428" s="3714"/>
      <c r="AA428" s="3714"/>
      <c r="AB428" s="3714"/>
      <c r="AC428" s="3714"/>
    </row>
    <row r="429" spans="1:29">
      <c r="A429" s="3714"/>
      <c r="B429" s="3714"/>
      <c r="C429" s="3714"/>
      <c r="D429" s="3714"/>
      <c r="E429" s="3714"/>
      <c r="F429" s="3714"/>
      <c r="G429" s="3714"/>
      <c r="H429" s="3714"/>
      <c r="I429" s="3714"/>
      <c r="J429" s="3714"/>
      <c r="K429" s="3715"/>
      <c r="L429" s="3716"/>
      <c r="M429" s="3714"/>
      <c r="N429" s="3714"/>
      <c r="O429" s="3714"/>
      <c r="P429" s="3756"/>
      <c r="Q429" s="3714"/>
      <c r="R429" s="3714"/>
      <c r="S429" s="3714"/>
      <c r="T429" s="3714"/>
      <c r="U429" s="3714"/>
      <c r="V429" s="3714"/>
      <c r="W429" s="3714"/>
      <c r="X429" s="3714"/>
      <c r="Y429" s="3714"/>
      <c r="Z429" s="3714"/>
      <c r="AA429" s="3714"/>
      <c r="AB429" s="3714"/>
      <c r="AC429" s="3714"/>
    </row>
    <row r="430" spans="1:29">
      <c r="A430" s="3714"/>
      <c r="B430" s="3714"/>
      <c r="C430" s="3714"/>
      <c r="D430" s="3714"/>
      <c r="E430" s="3714"/>
      <c r="F430" s="3714"/>
      <c r="G430" s="3714"/>
      <c r="H430" s="3714"/>
      <c r="I430" s="3714"/>
      <c r="J430" s="3714"/>
      <c r="K430" s="3715"/>
      <c r="L430" s="3716"/>
      <c r="M430" s="3714"/>
      <c r="N430" s="3714"/>
      <c r="O430" s="3714"/>
      <c r="P430" s="3756"/>
      <c r="Q430" s="3714"/>
      <c r="R430" s="3714"/>
      <c r="S430" s="3714"/>
      <c r="T430" s="3714"/>
      <c r="U430" s="3714"/>
      <c r="V430" s="3714"/>
      <c r="W430" s="3714"/>
      <c r="X430" s="3714"/>
      <c r="Y430" s="3714"/>
      <c r="Z430" s="3714"/>
      <c r="AA430" s="3714"/>
      <c r="AB430" s="3714"/>
      <c r="AC430" s="3714"/>
    </row>
    <row r="431" spans="1:29">
      <c r="A431" s="3714"/>
      <c r="B431" s="3714"/>
      <c r="C431" s="3714"/>
      <c r="D431" s="3714"/>
      <c r="E431" s="3714"/>
      <c r="F431" s="3714"/>
      <c r="G431" s="3714"/>
      <c r="H431" s="3714"/>
      <c r="I431" s="3714"/>
      <c r="J431" s="3714"/>
      <c r="K431" s="3715"/>
      <c r="L431" s="3716"/>
      <c r="M431" s="3714"/>
      <c r="N431" s="3714"/>
      <c r="O431" s="3714"/>
      <c r="P431" s="3756"/>
      <c r="Q431" s="3714"/>
      <c r="R431" s="3714"/>
      <c r="S431" s="3714"/>
      <c r="T431" s="3714"/>
      <c r="U431" s="3714"/>
      <c r="V431" s="3714"/>
      <c r="W431" s="3714"/>
      <c r="X431" s="3714"/>
      <c r="Y431" s="3714"/>
      <c r="Z431" s="3714"/>
      <c r="AA431" s="3714"/>
      <c r="AB431" s="3714"/>
      <c r="AC431" s="3714"/>
    </row>
    <row r="432" spans="1:29">
      <c r="A432" s="3714"/>
      <c r="B432" s="3714"/>
      <c r="C432" s="3714"/>
      <c r="D432" s="3714"/>
      <c r="E432" s="3714"/>
      <c r="F432" s="3714"/>
      <c r="G432" s="3714"/>
      <c r="H432" s="3714"/>
      <c r="I432" s="3714"/>
      <c r="J432" s="3714"/>
      <c r="K432" s="3715"/>
      <c r="L432" s="3716"/>
      <c r="M432" s="3714"/>
      <c r="N432" s="3714"/>
      <c r="O432" s="3714"/>
      <c r="P432" s="3756"/>
      <c r="Q432" s="3714"/>
      <c r="R432" s="3714"/>
      <c r="S432" s="3714"/>
      <c r="T432" s="3714"/>
      <c r="U432" s="3714"/>
      <c r="V432" s="3714"/>
      <c r="W432" s="3714"/>
      <c r="X432" s="3714"/>
      <c r="Y432" s="3714"/>
      <c r="Z432" s="3714"/>
      <c r="AA432" s="3714"/>
      <c r="AB432" s="3714"/>
      <c r="AC432" s="3714"/>
    </row>
    <row r="433" spans="1:29">
      <c r="A433" s="3714"/>
      <c r="B433" s="3714"/>
      <c r="C433" s="3714"/>
      <c r="D433" s="3714"/>
      <c r="E433" s="3714"/>
      <c r="F433" s="3714"/>
      <c r="G433" s="3714"/>
      <c r="H433" s="3714"/>
      <c r="I433" s="3714"/>
      <c r="J433" s="3714"/>
      <c r="K433" s="3715"/>
      <c r="L433" s="3716"/>
      <c r="M433" s="3714"/>
      <c r="N433" s="3714"/>
      <c r="O433" s="3714"/>
      <c r="P433" s="3756"/>
      <c r="Q433" s="3714"/>
      <c r="R433" s="3714"/>
      <c r="S433" s="3714"/>
      <c r="T433" s="3714"/>
      <c r="U433" s="3714"/>
      <c r="V433" s="3714"/>
      <c r="W433" s="3714"/>
      <c r="X433" s="3714"/>
      <c r="Y433" s="3714"/>
      <c r="Z433" s="3714"/>
      <c r="AA433" s="3714"/>
      <c r="AB433" s="3714"/>
      <c r="AC433" s="3714"/>
    </row>
    <row r="434" spans="1:29">
      <c r="A434" s="3714"/>
      <c r="B434" s="3714"/>
      <c r="C434" s="3714"/>
      <c r="D434" s="3714"/>
      <c r="E434" s="3714"/>
      <c r="F434" s="3714"/>
      <c r="G434" s="3714"/>
      <c r="H434" s="3714"/>
      <c r="I434" s="3714"/>
      <c r="J434" s="3714"/>
      <c r="K434" s="3715"/>
      <c r="L434" s="3716"/>
      <c r="M434" s="3714"/>
      <c r="N434" s="3714"/>
      <c r="O434" s="3714"/>
      <c r="P434" s="3756"/>
      <c r="Q434" s="3714"/>
      <c r="R434" s="3714"/>
      <c r="S434" s="3714"/>
      <c r="T434" s="3714"/>
      <c r="U434" s="3714"/>
      <c r="V434" s="3714"/>
      <c r="W434" s="3714"/>
      <c r="X434" s="3714"/>
      <c r="Y434" s="3714"/>
      <c r="Z434" s="3714"/>
      <c r="AA434" s="3714"/>
      <c r="AB434" s="3714"/>
      <c r="AC434" s="3714"/>
    </row>
    <row r="435" spans="1:29">
      <c r="A435" s="3714"/>
      <c r="B435" s="3714"/>
      <c r="C435" s="3714"/>
      <c r="D435" s="3714"/>
      <c r="E435" s="3714"/>
      <c r="F435" s="3714"/>
      <c r="G435" s="3714"/>
      <c r="H435" s="3714"/>
      <c r="I435" s="3714"/>
      <c r="J435" s="3714"/>
      <c r="K435" s="3715"/>
      <c r="L435" s="3716"/>
      <c r="M435" s="3714"/>
      <c r="N435" s="3714"/>
      <c r="O435" s="3714"/>
      <c r="P435" s="3756"/>
      <c r="Q435" s="3714"/>
      <c r="R435" s="3714"/>
      <c r="S435" s="3714"/>
      <c r="T435" s="3714"/>
      <c r="U435" s="3714"/>
      <c r="V435" s="3714"/>
      <c r="W435" s="3714"/>
      <c r="X435" s="3714"/>
      <c r="Y435" s="3714"/>
      <c r="Z435" s="3714"/>
      <c r="AA435" s="3714"/>
      <c r="AB435" s="3714"/>
      <c r="AC435" s="3714"/>
    </row>
    <row r="436" spans="1:29">
      <c r="A436" s="3714"/>
      <c r="B436" s="3714"/>
      <c r="C436" s="3714"/>
      <c r="D436" s="3714"/>
      <c r="E436" s="3714"/>
      <c r="F436" s="3714"/>
      <c r="G436" s="3714"/>
      <c r="H436" s="3714"/>
      <c r="I436" s="3714"/>
      <c r="J436" s="3714"/>
      <c r="K436" s="3715"/>
      <c r="L436" s="3716"/>
      <c r="M436" s="3714"/>
      <c r="N436" s="3714"/>
      <c r="O436" s="3714"/>
      <c r="P436" s="3756"/>
      <c r="Q436" s="3714"/>
      <c r="R436" s="3714"/>
      <c r="S436" s="3714"/>
      <c r="T436" s="3714"/>
      <c r="U436" s="3714"/>
      <c r="V436" s="3714"/>
      <c r="W436" s="3714"/>
      <c r="X436" s="3714"/>
      <c r="Y436" s="3714"/>
      <c r="Z436" s="3714"/>
      <c r="AA436" s="3714"/>
      <c r="AB436" s="3714"/>
      <c r="AC436" s="3714"/>
    </row>
    <row r="437" spans="1:29">
      <c r="A437" s="3714"/>
      <c r="B437" s="3714"/>
      <c r="C437" s="3714"/>
      <c r="D437" s="3714"/>
      <c r="E437" s="3714"/>
      <c r="F437" s="3714"/>
      <c r="G437" s="3714"/>
      <c r="H437" s="3714"/>
      <c r="I437" s="3714"/>
      <c r="J437" s="3714"/>
      <c r="K437" s="3715"/>
      <c r="L437" s="3716"/>
      <c r="M437" s="3714"/>
      <c r="N437" s="3714"/>
      <c r="O437" s="3714"/>
      <c r="P437" s="3756"/>
      <c r="Q437" s="3714"/>
      <c r="R437" s="3714"/>
      <c r="S437" s="3714"/>
      <c r="T437" s="3714"/>
      <c r="U437" s="3714"/>
      <c r="V437" s="3714"/>
      <c r="W437" s="3714"/>
      <c r="X437" s="3714"/>
      <c r="Y437" s="3714"/>
      <c r="Z437" s="3714"/>
      <c r="AA437" s="3714"/>
      <c r="AB437" s="3714"/>
      <c r="AC437" s="3714"/>
    </row>
    <row r="438" spans="1:29">
      <c r="A438" s="3714"/>
      <c r="B438" s="3714"/>
      <c r="C438" s="3714"/>
      <c r="D438" s="3714"/>
      <c r="E438" s="3714"/>
      <c r="F438" s="3714"/>
      <c r="G438" s="3714"/>
      <c r="H438" s="3714"/>
      <c r="I438" s="3714"/>
      <c r="J438" s="3714"/>
      <c r="K438" s="3715"/>
      <c r="L438" s="3716"/>
      <c r="M438" s="3714"/>
      <c r="N438" s="3714"/>
      <c r="O438" s="3714"/>
      <c r="P438" s="3756"/>
      <c r="Q438" s="3714"/>
      <c r="R438" s="3714"/>
      <c r="S438" s="3714"/>
      <c r="T438" s="3714"/>
      <c r="U438" s="3714"/>
      <c r="V438" s="3714"/>
      <c r="W438" s="3714"/>
      <c r="X438" s="3714"/>
      <c r="Y438" s="3714"/>
      <c r="Z438" s="3714"/>
      <c r="AA438" s="3714"/>
      <c r="AB438" s="3714"/>
      <c r="AC438" s="3714"/>
    </row>
    <row r="439" spans="1:29">
      <c r="A439" s="3714"/>
      <c r="B439" s="3714"/>
      <c r="C439" s="3714"/>
      <c r="D439" s="3714"/>
      <c r="E439" s="3714"/>
      <c r="F439" s="3714"/>
      <c r="G439" s="3714"/>
      <c r="H439" s="3714"/>
      <c r="I439" s="3714"/>
      <c r="J439" s="3714"/>
      <c r="K439" s="3715"/>
      <c r="L439" s="3716"/>
      <c r="M439" s="3714"/>
      <c r="N439" s="3714"/>
      <c r="O439" s="3714"/>
      <c r="P439" s="3756"/>
      <c r="Q439" s="3714"/>
      <c r="R439" s="3714"/>
      <c r="S439" s="3714"/>
      <c r="T439" s="3714"/>
      <c r="U439" s="3714"/>
      <c r="V439" s="3714"/>
      <c r="W439" s="3714"/>
      <c r="X439" s="3714"/>
      <c r="Y439" s="3714"/>
      <c r="Z439" s="3714"/>
      <c r="AA439" s="3714"/>
      <c r="AB439" s="3714"/>
      <c r="AC439" s="3714"/>
    </row>
    <row r="440" spans="1:29">
      <c r="A440" s="3714"/>
      <c r="B440" s="3714"/>
      <c r="C440" s="3714"/>
      <c r="D440" s="3714"/>
      <c r="E440" s="3714"/>
      <c r="F440" s="3714"/>
      <c r="G440" s="3714"/>
      <c r="H440" s="3714"/>
      <c r="I440" s="3714"/>
      <c r="J440" s="3714"/>
      <c r="K440" s="3715"/>
      <c r="L440" s="3716"/>
      <c r="M440" s="3714"/>
      <c r="N440" s="3714"/>
      <c r="O440" s="3714"/>
      <c r="P440" s="3756"/>
      <c r="Q440" s="3714"/>
      <c r="R440" s="3714"/>
      <c r="S440" s="3714"/>
      <c r="T440" s="3714"/>
      <c r="U440" s="3714"/>
      <c r="V440" s="3714"/>
      <c r="W440" s="3714"/>
      <c r="X440" s="3714"/>
      <c r="Y440" s="3714"/>
      <c r="Z440" s="3714"/>
      <c r="AA440" s="3714"/>
      <c r="AB440" s="3714"/>
      <c r="AC440" s="3714"/>
    </row>
    <row r="441" spans="1:29">
      <c r="A441" s="3714"/>
      <c r="B441" s="3714"/>
      <c r="C441" s="3714"/>
      <c r="D441" s="3714"/>
      <c r="E441" s="3714"/>
      <c r="F441" s="3714"/>
      <c r="G441" s="3714"/>
      <c r="H441" s="3714"/>
      <c r="I441" s="3714"/>
      <c r="J441" s="3714"/>
      <c r="K441" s="3715"/>
      <c r="L441" s="3716"/>
      <c r="M441" s="3714"/>
      <c r="N441" s="3714"/>
      <c r="O441" s="3714"/>
      <c r="P441" s="3756"/>
      <c r="Q441" s="3714"/>
      <c r="R441" s="3714"/>
      <c r="S441" s="3714"/>
      <c r="T441" s="3714"/>
      <c r="U441" s="3714"/>
      <c r="V441" s="3714"/>
      <c r="W441" s="3714"/>
      <c r="X441" s="3714"/>
      <c r="Y441" s="3714"/>
      <c r="Z441" s="3714"/>
      <c r="AA441" s="3714"/>
      <c r="AB441" s="3714"/>
      <c r="AC441" s="3714"/>
    </row>
    <row r="442" spans="1:29">
      <c r="A442" s="3714"/>
      <c r="B442" s="3714"/>
      <c r="C442" s="3714"/>
      <c r="D442" s="3714"/>
      <c r="E442" s="3714"/>
      <c r="F442" s="3714"/>
      <c r="G442" s="3714"/>
      <c r="H442" s="3714"/>
      <c r="I442" s="3714"/>
      <c r="J442" s="3714"/>
      <c r="K442" s="3715"/>
      <c r="L442" s="3716"/>
      <c r="M442" s="3714"/>
      <c r="N442" s="3714"/>
      <c r="O442" s="3714"/>
      <c r="P442" s="3756"/>
      <c r="Q442" s="3714"/>
      <c r="R442" s="3714"/>
      <c r="S442" s="3714"/>
      <c r="T442" s="3714"/>
      <c r="U442" s="3714"/>
      <c r="V442" s="3714"/>
      <c r="W442" s="3714"/>
      <c r="X442" s="3714"/>
      <c r="Y442" s="3714"/>
      <c r="Z442" s="3714"/>
      <c r="AA442" s="3714"/>
      <c r="AB442" s="3714"/>
      <c r="AC442" s="3714"/>
    </row>
    <row r="443" spans="1:29">
      <c r="A443" s="3714"/>
      <c r="B443" s="3714"/>
      <c r="C443" s="3714"/>
      <c r="D443" s="3714"/>
      <c r="E443" s="3714"/>
      <c r="F443" s="3714"/>
      <c r="G443" s="3714"/>
      <c r="H443" s="3714"/>
      <c r="I443" s="3714"/>
      <c r="J443" s="3714"/>
      <c r="K443" s="3715"/>
      <c r="L443" s="3716"/>
      <c r="M443" s="3714"/>
      <c r="N443" s="3714"/>
      <c r="O443" s="3714"/>
      <c r="P443" s="3756"/>
      <c r="Q443" s="3714"/>
      <c r="R443" s="3714"/>
      <c r="S443" s="3714"/>
      <c r="T443" s="3714"/>
      <c r="U443" s="3714"/>
      <c r="V443" s="3714"/>
      <c r="W443" s="3714"/>
      <c r="X443" s="3714"/>
      <c r="Y443" s="3714"/>
      <c r="Z443" s="3714"/>
      <c r="AA443" s="3714"/>
      <c r="AB443" s="3714"/>
      <c r="AC443" s="3714"/>
    </row>
    <row r="444" spans="1:29">
      <c r="A444" s="3714"/>
      <c r="B444" s="3714"/>
      <c r="C444" s="3714"/>
      <c r="D444" s="3714"/>
      <c r="E444" s="3714"/>
      <c r="F444" s="3714"/>
      <c r="G444" s="3714"/>
      <c r="H444" s="3714"/>
      <c r="I444" s="3714"/>
      <c r="J444" s="3714"/>
      <c r="K444" s="3715"/>
      <c r="L444" s="3716"/>
      <c r="M444" s="3714"/>
      <c r="N444" s="3714"/>
      <c r="O444" s="3714"/>
      <c r="P444" s="3756"/>
      <c r="Q444" s="3714"/>
      <c r="R444" s="3714"/>
      <c r="S444" s="3714"/>
      <c r="T444" s="3714"/>
      <c r="U444" s="3714"/>
      <c r="V444" s="3714"/>
      <c r="W444" s="3714"/>
      <c r="X444" s="3714"/>
      <c r="Y444" s="3714"/>
      <c r="Z444" s="3714"/>
      <c r="AA444" s="3714"/>
      <c r="AB444" s="3714"/>
      <c r="AC444" s="3714"/>
    </row>
    <row r="445" spans="1:29">
      <c r="A445" s="3714"/>
      <c r="B445" s="3714"/>
      <c r="C445" s="3714"/>
      <c r="D445" s="3714"/>
      <c r="E445" s="3714"/>
      <c r="F445" s="3714"/>
      <c r="G445" s="3714"/>
      <c r="H445" s="3714"/>
      <c r="I445" s="3714"/>
      <c r="J445" s="3714"/>
      <c r="K445" s="3715"/>
      <c r="L445" s="3716"/>
      <c r="M445" s="3714"/>
      <c r="N445" s="3714"/>
      <c r="O445" s="3714"/>
      <c r="P445" s="3756"/>
      <c r="Q445" s="3714"/>
      <c r="R445" s="3714"/>
      <c r="S445" s="3714"/>
      <c r="T445" s="3714"/>
      <c r="U445" s="3714"/>
      <c r="V445" s="3714"/>
      <c r="W445" s="3714"/>
      <c r="X445" s="3714"/>
      <c r="Y445" s="3714"/>
      <c r="Z445" s="3714"/>
      <c r="AA445" s="3714"/>
      <c r="AB445" s="3714"/>
      <c r="AC445" s="3714"/>
    </row>
    <row r="446" spans="1:29">
      <c r="A446" s="3714"/>
      <c r="B446" s="3714"/>
      <c r="C446" s="3714"/>
      <c r="D446" s="3714"/>
      <c r="E446" s="3714"/>
      <c r="F446" s="3714"/>
      <c r="G446" s="3714"/>
      <c r="H446" s="3714"/>
      <c r="I446" s="3714"/>
      <c r="J446" s="3714"/>
      <c r="K446" s="3715"/>
      <c r="L446" s="3716"/>
      <c r="M446" s="3714"/>
      <c r="N446" s="3714"/>
      <c r="O446" s="3714"/>
      <c r="P446" s="3756"/>
      <c r="Q446" s="3714"/>
      <c r="R446" s="3714"/>
      <c r="S446" s="3714"/>
      <c r="T446" s="3714"/>
      <c r="U446" s="3714"/>
      <c r="V446" s="3714"/>
      <c r="W446" s="3714"/>
      <c r="X446" s="3714"/>
      <c r="Y446" s="3714"/>
      <c r="Z446" s="3714"/>
      <c r="AA446" s="3714"/>
      <c r="AB446" s="3714"/>
      <c r="AC446" s="3714"/>
    </row>
    <row r="447" spans="1:29">
      <c r="A447" s="3714"/>
      <c r="B447" s="3714"/>
      <c r="C447" s="3714"/>
      <c r="D447" s="3714"/>
      <c r="E447" s="3714"/>
      <c r="F447" s="3714"/>
      <c r="G447" s="3714"/>
      <c r="H447" s="3714"/>
      <c r="I447" s="3714"/>
      <c r="J447" s="3714"/>
      <c r="K447" s="3715"/>
      <c r="L447" s="3716"/>
      <c r="M447" s="3714"/>
      <c r="N447" s="3714"/>
      <c r="O447" s="3714"/>
      <c r="P447" s="3756"/>
      <c r="Q447" s="3714"/>
      <c r="R447" s="3714"/>
      <c r="S447" s="3714"/>
      <c r="T447" s="3714"/>
      <c r="U447" s="3714"/>
      <c r="V447" s="3714"/>
      <c r="W447" s="3714"/>
      <c r="X447" s="3714"/>
      <c r="Y447" s="3714"/>
      <c r="Z447" s="3714"/>
      <c r="AA447" s="3714"/>
      <c r="AB447" s="3714"/>
      <c r="AC447" s="3714"/>
    </row>
    <row r="448" spans="1:29">
      <c r="A448" s="3714"/>
      <c r="B448" s="3714"/>
      <c r="C448" s="3714"/>
      <c r="D448" s="3714"/>
      <c r="E448" s="3714"/>
      <c r="F448" s="3714"/>
      <c r="G448" s="3714"/>
      <c r="H448" s="3714"/>
      <c r="I448" s="3714"/>
      <c r="J448" s="3714"/>
      <c r="K448" s="3715"/>
      <c r="L448" s="3716"/>
      <c r="M448" s="3714"/>
      <c r="N448" s="3714"/>
      <c r="O448" s="3714"/>
      <c r="P448" s="3756"/>
      <c r="Q448" s="3714"/>
      <c r="R448" s="3714"/>
      <c r="S448" s="3714"/>
      <c r="T448" s="3714"/>
      <c r="U448" s="3714"/>
      <c r="V448" s="3714"/>
      <c r="W448" s="3714"/>
      <c r="X448" s="3714"/>
      <c r="Y448" s="3714"/>
      <c r="Z448" s="3714"/>
      <c r="AA448" s="3714"/>
      <c r="AB448" s="3714"/>
      <c r="AC448" s="3714"/>
    </row>
    <row r="449" spans="1:29">
      <c r="A449" s="3714"/>
      <c r="B449" s="3714"/>
      <c r="C449" s="3714"/>
      <c r="D449" s="3714"/>
      <c r="E449" s="3714"/>
      <c r="F449" s="3714"/>
      <c r="G449" s="3714"/>
      <c r="H449" s="3714"/>
      <c r="I449" s="3714"/>
      <c r="J449" s="3714"/>
      <c r="K449" s="3715"/>
      <c r="L449" s="3716"/>
      <c r="M449" s="3714"/>
      <c r="N449" s="3714"/>
      <c r="O449" s="3714"/>
      <c r="P449" s="3756"/>
      <c r="Q449" s="3714"/>
      <c r="R449" s="3714"/>
      <c r="S449" s="3714"/>
      <c r="T449" s="3714"/>
      <c r="U449" s="3714"/>
      <c r="V449" s="3714"/>
      <c r="W449" s="3714"/>
      <c r="X449" s="3714"/>
      <c r="Y449" s="3714"/>
      <c r="Z449" s="3714"/>
      <c r="AA449" s="3714"/>
      <c r="AB449" s="3714"/>
      <c r="AC449" s="3714"/>
    </row>
    <row r="450" spans="1:29">
      <c r="A450" s="3714"/>
      <c r="B450" s="3714"/>
      <c r="C450" s="3714"/>
      <c r="D450" s="3714"/>
      <c r="E450" s="3714"/>
      <c r="F450" s="3714"/>
      <c r="G450" s="3714"/>
      <c r="H450" s="3714"/>
      <c r="I450" s="3714"/>
      <c r="J450" s="3714"/>
      <c r="K450" s="3715"/>
      <c r="L450" s="3716"/>
      <c r="M450" s="3714"/>
      <c r="N450" s="3714"/>
      <c r="O450" s="3714"/>
      <c r="P450" s="3756"/>
      <c r="Q450" s="3714"/>
      <c r="R450" s="3714"/>
      <c r="S450" s="3714"/>
      <c r="T450" s="3714"/>
      <c r="U450" s="3714"/>
      <c r="V450" s="3714"/>
      <c r="W450" s="3714"/>
      <c r="X450" s="3714"/>
      <c r="Y450" s="3714"/>
      <c r="Z450" s="3714"/>
      <c r="AA450" s="3714"/>
      <c r="AB450" s="3714"/>
      <c r="AC450" s="3714"/>
    </row>
    <row r="451" spans="1:29">
      <c r="A451" s="3714"/>
      <c r="B451" s="3714"/>
      <c r="C451" s="3714"/>
      <c r="D451" s="3714"/>
      <c r="E451" s="3714"/>
      <c r="F451" s="3714"/>
      <c r="G451" s="3714"/>
      <c r="H451" s="3714"/>
      <c r="I451" s="3714"/>
      <c r="J451" s="3714"/>
      <c r="K451" s="3715"/>
      <c r="L451" s="3716"/>
      <c r="M451" s="3714"/>
      <c r="N451" s="3714"/>
      <c r="O451" s="3714"/>
      <c r="P451" s="3756"/>
      <c r="Q451" s="3714"/>
      <c r="R451" s="3714"/>
      <c r="S451" s="3714"/>
      <c r="T451" s="3714"/>
      <c r="U451" s="3714"/>
      <c r="V451" s="3714"/>
      <c r="W451" s="3714"/>
      <c r="X451" s="3714"/>
      <c r="Y451" s="3714"/>
      <c r="Z451" s="3714"/>
      <c r="AA451" s="3714"/>
      <c r="AB451" s="3714"/>
      <c r="AC451" s="3714"/>
    </row>
    <row r="452" spans="1:29">
      <c r="A452" s="3714"/>
      <c r="B452" s="3714"/>
      <c r="C452" s="3714"/>
      <c r="D452" s="3714"/>
      <c r="E452" s="3714"/>
      <c r="F452" s="3714"/>
      <c r="G452" s="3714"/>
      <c r="H452" s="3714"/>
      <c r="I452" s="3714"/>
      <c r="J452" s="3714"/>
      <c r="K452" s="3715"/>
      <c r="L452" s="3716"/>
      <c r="M452" s="3714"/>
      <c r="N452" s="3714"/>
      <c r="O452" s="3714"/>
      <c r="P452" s="3756"/>
      <c r="Q452" s="3714"/>
      <c r="R452" s="3714"/>
      <c r="S452" s="3714"/>
      <c r="T452" s="3714"/>
      <c r="U452" s="3714"/>
      <c r="V452" s="3714"/>
      <c r="W452" s="3714"/>
      <c r="X452" s="3714"/>
      <c r="Y452" s="3714"/>
      <c r="Z452" s="3714"/>
      <c r="AA452" s="3714"/>
      <c r="AB452" s="3714"/>
      <c r="AC452" s="3714"/>
    </row>
    <row r="453" spans="1:29">
      <c r="A453" s="3714"/>
      <c r="B453" s="3714"/>
      <c r="C453" s="3714"/>
      <c r="D453" s="3714"/>
      <c r="E453" s="3714"/>
      <c r="F453" s="3714"/>
      <c r="G453" s="3714"/>
      <c r="H453" s="3714"/>
      <c r="I453" s="3714"/>
      <c r="J453" s="3714"/>
      <c r="K453" s="3715"/>
      <c r="L453" s="3716"/>
      <c r="M453" s="3714"/>
      <c r="N453" s="3714"/>
      <c r="O453" s="3714"/>
      <c r="P453" s="3756"/>
      <c r="Q453" s="3714"/>
      <c r="R453" s="3714"/>
      <c r="S453" s="3714"/>
      <c r="T453" s="3714"/>
      <c r="U453" s="3714"/>
      <c r="V453" s="3714"/>
      <c r="W453" s="3714"/>
      <c r="X453" s="3714"/>
      <c r="Y453" s="3714"/>
      <c r="Z453" s="3714"/>
      <c r="AA453" s="3714"/>
      <c r="AB453" s="3714"/>
      <c r="AC453" s="3714"/>
    </row>
    <row r="454" spans="1:29">
      <c r="A454" s="3714"/>
      <c r="B454" s="3714"/>
      <c r="C454" s="3714"/>
      <c r="D454" s="3714"/>
      <c r="E454" s="3714"/>
      <c r="F454" s="3714"/>
      <c r="G454" s="3714"/>
      <c r="H454" s="3714"/>
      <c r="I454" s="3714"/>
      <c r="J454" s="3714"/>
      <c r="K454" s="3715"/>
      <c r="L454" s="3716"/>
      <c r="M454" s="3714"/>
      <c r="N454" s="3714"/>
      <c r="O454" s="3714"/>
      <c r="P454" s="3756"/>
      <c r="Q454" s="3714"/>
      <c r="R454" s="3714"/>
      <c r="S454" s="3714"/>
      <c r="T454" s="3714"/>
      <c r="U454" s="3714"/>
      <c r="V454" s="3714"/>
      <c r="W454" s="3714"/>
      <c r="X454" s="3714"/>
      <c r="Y454" s="3714"/>
      <c r="Z454" s="3714"/>
      <c r="AA454" s="3714"/>
      <c r="AB454" s="3714"/>
      <c r="AC454" s="3714"/>
    </row>
    <row r="455" spans="1:29">
      <c r="A455" s="3714"/>
      <c r="B455" s="3714"/>
      <c r="C455" s="3714"/>
      <c r="D455" s="3714"/>
      <c r="E455" s="3714"/>
      <c r="F455" s="3714"/>
      <c r="G455" s="3714"/>
      <c r="H455" s="3714"/>
      <c r="I455" s="3714"/>
      <c r="J455" s="3714"/>
      <c r="K455" s="3715"/>
      <c r="L455" s="3716"/>
      <c r="M455" s="3714"/>
      <c r="N455" s="3714"/>
      <c r="O455" s="3714"/>
      <c r="P455" s="3756"/>
      <c r="Q455" s="3714"/>
      <c r="R455" s="3714"/>
      <c r="S455" s="3714"/>
      <c r="T455" s="3714"/>
      <c r="U455" s="3714"/>
      <c r="V455" s="3714"/>
      <c r="W455" s="3714"/>
      <c r="X455" s="3714"/>
      <c r="Y455" s="3714"/>
      <c r="Z455" s="3714"/>
      <c r="AA455" s="3714"/>
      <c r="AB455" s="3714"/>
      <c r="AC455" s="3714"/>
    </row>
    <row r="456" spans="1:29">
      <c r="A456" s="3714"/>
      <c r="B456" s="3714"/>
      <c r="C456" s="3714"/>
      <c r="D456" s="3714"/>
      <c r="E456" s="3714"/>
      <c r="F456" s="3714"/>
      <c r="G456" s="3714"/>
      <c r="H456" s="3714"/>
      <c r="I456" s="3714"/>
      <c r="J456" s="3714"/>
      <c r="K456" s="3715"/>
      <c r="L456" s="3716"/>
      <c r="M456" s="3714"/>
      <c r="N456" s="3714"/>
      <c r="O456" s="3714"/>
      <c r="P456" s="3756"/>
      <c r="Q456" s="3714"/>
      <c r="R456" s="3714"/>
      <c r="S456" s="3714"/>
      <c r="T456" s="3714"/>
      <c r="U456" s="3714"/>
      <c r="V456" s="3714"/>
      <c r="W456" s="3714"/>
      <c r="X456" s="3714"/>
      <c r="Y456" s="3714"/>
      <c r="Z456" s="3714"/>
      <c r="AA456" s="3714"/>
      <c r="AB456" s="3714"/>
      <c r="AC456" s="3714"/>
    </row>
    <row r="457" spans="1:29">
      <c r="A457" s="3714"/>
      <c r="B457" s="3714"/>
      <c r="C457" s="3714"/>
      <c r="D457" s="3714"/>
      <c r="E457" s="3714"/>
      <c r="F457" s="3714"/>
      <c r="G457" s="3714"/>
      <c r="H457" s="3714"/>
      <c r="I457" s="3714"/>
      <c r="J457" s="3714"/>
      <c r="K457" s="3715"/>
      <c r="L457" s="3716"/>
      <c r="M457" s="3714"/>
      <c r="N457" s="3714"/>
      <c r="O457" s="3714"/>
      <c r="P457" s="3756"/>
      <c r="Q457" s="3714"/>
      <c r="R457" s="3714"/>
      <c r="S457" s="3714"/>
      <c r="T457" s="3714"/>
      <c r="U457" s="3714"/>
      <c r="V457" s="3714"/>
      <c r="W457" s="3714"/>
      <c r="X457" s="3714"/>
      <c r="Y457" s="3714"/>
      <c r="Z457" s="3714"/>
      <c r="AA457" s="3714"/>
      <c r="AB457" s="3714"/>
      <c r="AC457" s="3714"/>
    </row>
    <row r="458" spans="1:29">
      <c r="A458" s="3714"/>
      <c r="B458" s="3714"/>
      <c r="C458" s="3714"/>
      <c r="D458" s="3714"/>
      <c r="E458" s="3714"/>
      <c r="F458" s="3714"/>
      <c r="G458" s="3714"/>
      <c r="H458" s="3714"/>
      <c r="I458" s="3714"/>
      <c r="J458" s="3714"/>
      <c r="K458" s="3715"/>
      <c r="L458" s="3716"/>
      <c r="M458" s="3714"/>
      <c r="N458" s="3714"/>
      <c r="O458" s="3714"/>
      <c r="P458" s="3756"/>
      <c r="Q458" s="3714"/>
      <c r="R458" s="3714"/>
      <c r="S458" s="3714"/>
      <c r="T458" s="3714"/>
      <c r="U458" s="3714"/>
      <c r="V458" s="3714"/>
      <c r="W458" s="3714"/>
      <c r="X458" s="3714"/>
      <c r="Y458" s="3714"/>
      <c r="Z458" s="3714"/>
      <c r="AA458" s="3714"/>
      <c r="AB458" s="3714"/>
      <c r="AC458" s="3714"/>
    </row>
    <row r="459" spans="1:29">
      <c r="A459" s="3714"/>
      <c r="B459" s="3714"/>
      <c r="C459" s="3714"/>
      <c r="D459" s="3714"/>
      <c r="E459" s="3714"/>
      <c r="F459" s="3714"/>
      <c r="G459" s="3714"/>
      <c r="H459" s="3714"/>
      <c r="I459" s="3714"/>
      <c r="J459" s="3714"/>
      <c r="K459" s="3715"/>
      <c r="L459" s="3716"/>
      <c r="M459" s="3714"/>
      <c r="N459" s="3714"/>
      <c r="O459" s="3714"/>
      <c r="P459" s="3756"/>
      <c r="Q459" s="3714"/>
      <c r="R459" s="3714"/>
      <c r="S459" s="3714"/>
      <c r="T459" s="3714"/>
      <c r="U459" s="3714"/>
      <c r="V459" s="3714"/>
      <c r="W459" s="3714"/>
      <c r="X459" s="3714"/>
      <c r="Y459" s="3714"/>
      <c r="Z459" s="3714"/>
      <c r="AA459" s="3714"/>
      <c r="AB459" s="3714"/>
      <c r="AC459" s="3714"/>
    </row>
    <row r="460" spans="1:29">
      <c r="A460" s="3714"/>
      <c r="B460" s="3714"/>
      <c r="C460" s="3714"/>
      <c r="D460" s="3714"/>
      <c r="E460" s="3714"/>
      <c r="F460" s="3714"/>
      <c r="G460" s="3714"/>
      <c r="H460" s="3714"/>
      <c r="I460" s="3714"/>
      <c r="J460" s="3714"/>
      <c r="K460" s="3715"/>
      <c r="L460" s="3716"/>
      <c r="M460" s="3714"/>
      <c r="N460" s="3714"/>
      <c r="O460" s="3714"/>
      <c r="P460" s="3756"/>
      <c r="Q460" s="3714"/>
      <c r="R460" s="3714"/>
      <c r="S460" s="3714"/>
      <c r="T460" s="3714"/>
      <c r="U460" s="3714"/>
      <c r="V460" s="3714"/>
      <c r="W460" s="3714"/>
      <c r="X460" s="3714"/>
      <c r="Y460" s="3714"/>
      <c r="Z460" s="3714"/>
      <c r="AA460" s="3714"/>
      <c r="AB460" s="3714"/>
      <c r="AC460" s="3714"/>
    </row>
    <row r="461" spans="1:29">
      <c r="A461" s="3714"/>
      <c r="B461" s="3714"/>
      <c r="C461" s="3714"/>
      <c r="D461" s="3714"/>
      <c r="E461" s="3714"/>
      <c r="F461" s="3714"/>
      <c r="G461" s="3714"/>
      <c r="H461" s="3714"/>
      <c r="I461" s="3714"/>
      <c r="J461" s="3714"/>
      <c r="K461" s="3715"/>
      <c r="L461" s="3716"/>
      <c r="M461" s="3714"/>
      <c r="N461" s="3714"/>
      <c r="O461" s="3714"/>
      <c r="P461" s="3756"/>
      <c r="Q461" s="3714"/>
      <c r="R461" s="3714"/>
      <c r="S461" s="3714"/>
      <c r="T461" s="3714"/>
      <c r="U461" s="3714"/>
      <c r="V461" s="3714"/>
      <c r="W461" s="3714"/>
      <c r="X461" s="3714"/>
      <c r="Y461" s="3714"/>
      <c r="Z461" s="3714"/>
      <c r="AA461" s="3714"/>
      <c r="AB461" s="3714"/>
      <c r="AC461" s="3714"/>
    </row>
    <row r="462" spans="1:29">
      <c r="A462" s="3714"/>
      <c r="B462" s="3714"/>
      <c r="C462" s="3714"/>
      <c r="D462" s="3714"/>
      <c r="E462" s="3714"/>
      <c r="F462" s="3714"/>
      <c r="G462" s="3714"/>
      <c r="H462" s="3714"/>
      <c r="I462" s="3714"/>
      <c r="J462" s="3714"/>
      <c r="K462" s="3715"/>
      <c r="L462" s="3716"/>
      <c r="M462" s="3714"/>
      <c r="N462" s="3714"/>
      <c r="O462" s="3714"/>
      <c r="P462" s="3756"/>
      <c r="Q462" s="3714"/>
      <c r="R462" s="3714"/>
      <c r="S462" s="3714"/>
      <c r="T462" s="3714"/>
      <c r="U462" s="3714"/>
      <c r="V462" s="3714"/>
      <c r="W462" s="3714"/>
      <c r="X462" s="3714"/>
      <c r="Y462" s="3714"/>
      <c r="Z462" s="3714"/>
      <c r="AA462" s="3714"/>
      <c r="AB462" s="3714"/>
      <c r="AC462" s="3714"/>
    </row>
    <row r="463" spans="1:29">
      <c r="A463" s="3714"/>
      <c r="B463" s="3714"/>
      <c r="C463" s="3714"/>
      <c r="D463" s="3714"/>
      <c r="E463" s="3714"/>
      <c r="F463" s="3714"/>
      <c r="G463" s="3714"/>
      <c r="H463" s="3714"/>
      <c r="I463" s="3714"/>
      <c r="J463" s="3714"/>
      <c r="K463" s="3715"/>
      <c r="L463" s="3716"/>
      <c r="M463" s="3714"/>
      <c r="N463" s="3714"/>
      <c r="O463" s="3714"/>
      <c r="P463" s="3756"/>
      <c r="Q463" s="3714"/>
      <c r="R463" s="3714"/>
      <c r="S463" s="3714"/>
      <c r="T463" s="3714"/>
      <c r="U463" s="3714"/>
      <c r="V463" s="3714"/>
      <c r="W463" s="3714"/>
      <c r="X463" s="3714"/>
      <c r="Y463" s="3714"/>
      <c r="Z463" s="3714"/>
      <c r="AA463" s="3714"/>
      <c r="AB463" s="3714"/>
      <c r="AC463" s="3714"/>
    </row>
    <row r="464" spans="1:29">
      <c r="A464" s="3714"/>
      <c r="B464" s="3714"/>
      <c r="C464" s="3714"/>
      <c r="D464" s="3714"/>
      <c r="E464" s="3714"/>
      <c r="F464" s="3714"/>
      <c r="G464" s="3714"/>
      <c r="H464" s="3714"/>
      <c r="I464" s="3714"/>
      <c r="J464" s="3714"/>
      <c r="K464" s="3715"/>
      <c r="L464" s="3716"/>
      <c r="M464" s="3714"/>
      <c r="N464" s="3714"/>
      <c r="O464" s="3714"/>
      <c r="P464" s="3756"/>
      <c r="Q464" s="3714"/>
      <c r="R464" s="3714"/>
      <c r="S464" s="3714"/>
      <c r="T464" s="3714"/>
      <c r="U464" s="3714"/>
      <c r="V464" s="3714"/>
      <c r="W464" s="3714"/>
      <c r="X464" s="3714"/>
      <c r="Y464" s="3714"/>
      <c r="Z464" s="3714"/>
      <c r="AA464" s="3714"/>
      <c r="AB464" s="3714"/>
      <c r="AC464" s="3714"/>
    </row>
    <row r="465" spans="1:29">
      <c r="A465" s="3714"/>
      <c r="B465" s="3714"/>
      <c r="C465" s="3714"/>
      <c r="D465" s="3714"/>
      <c r="E465" s="3714"/>
      <c r="F465" s="3714"/>
      <c r="G465" s="3714"/>
      <c r="H465" s="3714"/>
      <c r="I465" s="3714"/>
      <c r="J465" s="3714"/>
      <c r="K465" s="3715"/>
      <c r="L465" s="3716"/>
      <c r="M465" s="3714"/>
      <c r="N465" s="3714"/>
      <c r="O465" s="3714"/>
      <c r="P465" s="3756"/>
      <c r="Q465" s="3714"/>
      <c r="R465" s="3714"/>
      <c r="S465" s="3714"/>
      <c r="T465" s="3714"/>
      <c r="U465" s="3714"/>
      <c r="V465" s="3714"/>
      <c r="W465" s="3714"/>
      <c r="X465" s="3714"/>
      <c r="Y465" s="3714"/>
      <c r="Z465" s="3714"/>
      <c r="AA465" s="3714"/>
      <c r="AB465" s="3714"/>
      <c r="AC465" s="3714"/>
    </row>
    <row r="466" spans="1:29">
      <c r="A466" s="3714"/>
      <c r="B466" s="3714"/>
      <c r="C466" s="3714"/>
      <c r="D466" s="3714"/>
      <c r="E466" s="3714"/>
      <c r="F466" s="3714"/>
      <c r="G466" s="3714"/>
      <c r="H466" s="3714"/>
      <c r="I466" s="3714"/>
      <c r="J466" s="3714"/>
      <c r="K466" s="3715"/>
      <c r="L466" s="3716"/>
      <c r="M466" s="3714"/>
      <c r="N466" s="3714"/>
      <c r="O466" s="3714"/>
      <c r="P466" s="3756"/>
      <c r="Q466" s="3714"/>
      <c r="R466" s="3714"/>
      <c r="S466" s="3714"/>
      <c r="T466" s="3714"/>
      <c r="U466" s="3714"/>
      <c r="V466" s="3714"/>
      <c r="W466" s="3714"/>
      <c r="X466" s="3714"/>
      <c r="Y466" s="3714"/>
      <c r="Z466" s="3714"/>
      <c r="AA466" s="3714"/>
      <c r="AB466" s="3714"/>
      <c r="AC466" s="3714"/>
    </row>
    <row r="467" spans="1:29">
      <c r="A467" s="3714"/>
      <c r="B467" s="3714"/>
      <c r="C467" s="3714"/>
      <c r="D467" s="3714"/>
      <c r="E467" s="3714"/>
      <c r="F467" s="3714"/>
      <c r="G467" s="3714"/>
      <c r="H467" s="3714"/>
      <c r="I467" s="3714"/>
      <c r="J467" s="3714"/>
      <c r="K467" s="3715"/>
      <c r="L467" s="3716"/>
      <c r="M467" s="3714"/>
      <c r="N467" s="3714"/>
      <c r="O467" s="3714"/>
      <c r="P467" s="3756"/>
      <c r="Q467" s="3714"/>
      <c r="R467" s="3714"/>
      <c r="S467" s="3714"/>
      <c r="T467" s="3714"/>
      <c r="U467" s="3714"/>
      <c r="V467" s="3714"/>
      <c r="W467" s="3714"/>
      <c r="X467" s="3714"/>
      <c r="Y467" s="3714"/>
      <c r="Z467" s="3714"/>
      <c r="AA467" s="3714"/>
      <c r="AB467" s="3714"/>
      <c r="AC467" s="3714"/>
    </row>
    <row r="468" spans="1:29">
      <c r="A468" s="3714"/>
      <c r="B468" s="3714"/>
      <c r="C468" s="3714"/>
      <c r="D468" s="3714"/>
      <c r="E468" s="3714"/>
      <c r="F468" s="3714"/>
      <c r="G468" s="3714"/>
      <c r="H468" s="3714"/>
      <c r="I468" s="3714"/>
      <c r="J468" s="3714"/>
      <c r="K468" s="3715"/>
      <c r="L468" s="3716"/>
      <c r="M468" s="3714"/>
      <c r="N468" s="3714"/>
      <c r="O468" s="3714"/>
      <c r="P468" s="3756"/>
      <c r="Q468" s="3714"/>
      <c r="R468" s="3714"/>
      <c r="S468" s="3714"/>
      <c r="T468" s="3714"/>
      <c r="U468" s="3714"/>
      <c r="V468" s="3714"/>
      <c r="W468" s="3714"/>
      <c r="X468" s="3714"/>
      <c r="Y468" s="3714"/>
      <c r="Z468" s="3714"/>
      <c r="AA468" s="3714"/>
      <c r="AB468" s="3714"/>
      <c r="AC468" s="3714"/>
    </row>
    <row r="469" spans="1:29">
      <c r="A469" s="3714"/>
      <c r="B469" s="3714"/>
      <c r="C469" s="3714"/>
      <c r="D469" s="3714"/>
      <c r="E469" s="3714"/>
      <c r="F469" s="3714"/>
      <c r="G469" s="3714"/>
      <c r="H469" s="3714"/>
      <c r="I469" s="3714"/>
      <c r="J469" s="3714"/>
      <c r="K469" s="3715"/>
      <c r="L469" s="3716"/>
      <c r="M469" s="3714"/>
      <c r="N469" s="3714"/>
      <c r="O469" s="3714"/>
      <c r="P469" s="3756"/>
      <c r="Q469" s="3714"/>
      <c r="R469" s="3714"/>
      <c r="S469" s="3714"/>
      <c r="T469" s="3714"/>
      <c r="U469" s="3714"/>
      <c r="V469" s="3714"/>
      <c r="W469" s="3714"/>
      <c r="X469" s="3714"/>
      <c r="Y469" s="3714"/>
      <c r="Z469" s="3714"/>
      <c r="AA469" s="3714"/>
      <c r="AB469" s="3714"/>
      <c r="AC469" s="3714"/>
    </row>
    <row r="470" spans="1:29">
      <c r="A470" s="3714"/>
      <c r="B470" s="3714"/>
      <c r="C470" s="3714"/>
      <c r="D470" s="3714"/>
      <c r="E470" s="3714"/>
      <c r="F470" s="3714"/>
      <c r="G470" s="3714"/>
      <c r="H470" s="3714"/>
      <c r="I470" s="3714"/>
      <c r="J470" s="3714"/>
      <c r="K470" s="3715"/>
      <c r="L470" s="3716"/>
      <c r="M470" s="3714"/>
      <c r="N470" s="3714"/>
      <c r="O470" s="3714"/>
      <c r="P470" s="3756"/>
      <c r="Q470" s="3714"/>
      <c r="R470" s="3714"/>
      <c r="S470" s="3714"/>
      <c r="T470" s="3714"/>
      <c r="U470" s="3714"/>
      <c r="V470" s="3714"/>
      <c r="W470" s="3714"/>
      <c r="X470" s="3714"/>
      <c r="Y470" s="3714"/>
      <c r="Z470" s="3714"/>
      <c r="AA470" s="3714"/>
      <c r="AB470" s="3714"/>
      <c r="AC470" s="3714"/>
    </row>
    <row r="471" spans="1:29">
      <c r="A471" s="3714"/>
      <c r="B471" s="3714"/>
      <c r="C471" s="3714"/>
      <c r="D471" s="3714"/>
      <c r="E471" s="3714"/>
      <c r="F471" s="3714"/>
      <c r="G471" s="3714"/>
      <c r="H471" s="3714"/>
      <c r="I471" s="3714"/>
      <c r="J471" s="3714"/>
      <c r="K471" s="3715"/>
      <c r="L471" s="3716"/>
      <c r="M471" s="3714"/>
      <c r="N471" s="3714"/>
      <c r="O471" s="3714"/>
      <c r="P471" s="3756"/>
      <c r="Q471" s="3714"/>
      <c r="R471" s="3714"/>
      <c r="S471" s="3714"/>
      <c r="T471" s="3714"/>
      <c r="U471" s="3714"/>
      <c r="V471" s="3714"/>
      <c r="W471" s="3714"/>
      <c r="X471" s="3714"/>
      <c r="Y471" s="3714"/>
      <c r="Z471" s="3714"/>
      <c r="AA471" s="3714"/>
      <c r="AB471" s="3714"/>
      <c r="AC471" s="3714"/>
    </row>
    <row r="472" spans="1:29">
      <c r="A472" s="3714"/>
      <c r="B472" s="3714"/>
      <c r="C472" s="3714"/>
      <c r="D472" s="3714"/>
      <c r="E472" s="3714"/>
      <c r="F472" s="3714"/>
      <c r="G472" s="3714"/>
      <c r="H472" s="3714"/>
      <c r="I472" s="3714"/>
      <c r="J472" s="3714"/>
      <c r="K472" s="3715"/>
      <c r="L472" s="3716"/>
      <c r="M472" s="3714"/>
      <c r="N472" s="3714"/>
      <c r="O472" s="3714"/>
      <c r="P472" s="3756"/>
      <c r="Q472" s="3714"/>
      <c r="R472" s="3714"/>
      <c r="S472" s="3714"/>
      <c r="T472" s="3714"/>
      <c r="U472" s="3714"/>
      <c r="V472" s="3714"/>
      <c r="W472" s="3714"/>
      <c r="X472" s="3714"/>
      <c r="Y472" s="3714"/>
      <c r="Z472" s="3714"/>
      <c r="AA472" s="3714"/>
      <c r="AB472" s="3714"/>
      <c r="AC472" s="3714"/>
    </row>
    <row r="473" spans="1:29">
      <c r="A473" s="3714"/>
      <c r="B473" s="3714"/>
      <c r="C473" s="3714"/>
      <c r="D473" s="3714"/>
      <c r="E473" s="3714"/>
      <c r="F473" s="3714"/>
      <c r="G473" s="3714"/>
      <c r="H473" s="3714"/>
      <c r="I473" s="3714"/>
      <c r="J473" s="3714"/>
      <c r="K473" s="3715"/>
      <c r="L473" s="3716"/>
      <c r="M473" s="3714"/>
      <c r="N473" s="3714"/>
      <c r="O473" s="3714"/>
      <c r="P473" s="3756"/>
      <c r="Q473" s="3714"/>
      <c r="R473" s="3714"/>
      <c r="S473" s="3714"/>
      <c r="T473" s="3714"/>
      <c r="U473" s="3714"/>
      <c r="V473" s="3714"/>
      <c r="W473" s="3714"/>
      <c r="X473" s="3714"/>
      <c r="Y473" s="3714"/>
      <c r="Z473" s="3714"/>
      <c r="AA473" s="3714"/>
      <c r="AB473" s="3714"/>
      <c r="AC473" s="3714"/>
    </row>
    <row r="474" spans="1:29">
      <c r="A474" s="3714"/>
      <c r="B474" s="3714"/>
      <c r="C474" s="3714"/>
      <c r="D474" s="3714"/>
      <c r="E474" s="3714"/>
      <c r="F474" s="3714"/>
      <c r="G474" s="3714"/>
      <c r="H474" s="3714"/>
      <c r="I474" s="3714"/>
      <c r="J474" s="3714"/>
      <c r="K474" s="3715"/>
      <c r="L474" s="3716"/>
      <c r="M474" s="3714"/>
      <c r="N474" s="3714"/>
      <c r="O474" s="3714"/>
      <c r="P474" s="3756"/>
      <c r="Q474" s="3714"/>
      <c r="R474" s="3714"/>
      <c r="S474" s="3714"/>
      <c r="T474" s="3714"/>
      <c r="U474" s="3714"/>
      <c r="V474" s="3714"/>
      <c r="W474" s="3714"/>
      <c r="X474" s="3714"/>
      <c r="Y474" s="3714"/>
      <c r="Z474" s="3714"/>
      <c r="AA474" s="3714"/>
      <c r="AB474" s="3714"/>
      <c r="AC474" s="3714"/>
    </row>
    <row r="475" spans="1:29">
      <c r="A475" s="3714"/>
      <c r="B475" s="3714"/>
      <c r="C475" s="3714"/>
      <c r="D475" s="3714"/>
      <c r="E475" s="3714"/>
      <c r="F475" s="3714"/>
      <c r="G475" s="3714"/>
      <c r="H475" s="3714"/>
      <c r="I475" s="3714"/>
      <c r="J475" s="3714"/>
      <c r="K475" s="3715"/>
      <c r="L475" s="3716"/>
      <c r="M475" s="3714"/>
      <c r="N475" s="3714"/>
      <c r="O475" s="3714"/>
      <c r="P475" s="3756"/>
      <c r="Q475" s="3714"/>
      <c r="R475" s="3714"/>
      <c r="S475" s="3714"/>
      <c r="T475" s="3714"/>
      <c r="U475" s="3714"/>
      <c r="V475" s="3714"/>
      <c r="W475" s="3714"/>
      <c r="X475" s="3714"/>
      <c r="Y475" s="3714"/>
      <c r="Z475" s="3714"/>
      <c r="AA475" s="3714"/>
      <c r="AB475" s="3714"/>
      <c r="AC475" s="3714"/>
    </row>
    <row r="476" spans="1:29">
      <c r="A476" s="3714"/>
      <c r="B476" s="3714"/>
      <c r="C476" s="3714"/>
      <c r="D476" s="3714"/>
      <c r="E476" s="3714"/>
      <c r="F476" s="3714"/>
      <c r="G476" s="3714"/>
      <c r="H476" s="3714"/>
      <c r="I476" s="3714"/>
      <c r="J476" s="3714"/>
      <c r="K476" s="3715"/>
      <c r="L476" s="3716"/>
      <c r="M476" s="3714"/>
      <c r="N476" s="3714"/>
      <c r="O476" s="3714"/>
      <c r="P476" s="3756"/>
      <c r="Q476" s="3714"/>
      <c r="R476" s="3714"/>
      <c r="S476" s="3714"/>
      <c r="T476" s="3714"/>
      <c r="U476" s="3714"/>
      <c r="V476" s="3714"/>
      <c r="W476" s="3714"/>
      <c r="X476" s="3714"/>
      <c r="Y476" s="3714"/>
      <c r="Z476" s="3714"/>
      <c r="AA476" s="3714"/>
      <c r="AB476" s="3714"/>
      <c r="AC476" s="3714"/>
    </row>
    <row r="477" spans="1:29">
      <c r="A477" s="3714"/>
      <c r="B477" s="3714"/>
      <c r="C477" s="3714"/>
      <c r="D477" s="3714"/>
      <c r="E477" s="3714"/>
      <c r="F477" s="3714"/>
      <c r="G477" s="3714"/>
      <c r="H477" s="3714"/>
      <c r="I477" s="3714"/>
      <c r="J477" s="3714"/>
      <c r="K477" s="3715"/>
      <c r="L477" s="3716"/>
      <c r="M477" s="3714"/>
      <c r="N477" s="3714"/>
      <c r="O477" s="3714"/>
      <c r="P477" s="3756"/>
      <c r="Q477" s="3714"/>
      <c r="R477" s="3714"/>
      <c r="S477" s="3714"/>
      <c r="T477" s="3714"/>
      <c r="U477" s="3714"/>
      <c r="V477" s="3714"/>
      <c r="W477" s="3714"/>
      <c r="X477" s="3714"/>
      <c r="Y477" s="3714"/>
      <c r="Z477" s="3714"/>
      <c r="AA477" s="3714"/>
      <c r="AB477" s="3714"/>
      <c r="AC477" s="3714"/>
    </row>
    <row r="478" spans="1:29">
      <c r="A478" s="3714"/>
      <c r="B478" s="3714"/>
      <c r="C478" s="3714"/>
      <c r="D478" s="3714"/>
      <c r="E478" s="3714"/>
      <c r="F478" s="3714"/>
      <c r="G478" s="3714"/>
      <c r="H478" s="3714"/>
      <c r="I478" s="3714"/>
      <c r="J478" s="3714"/>
      <c r="K478" s="3715"/>
      <c r="L478" s="3716"/>
      <c r="M478" s="3714"/>
      <c r="N478" s="3714"/>
      <c r="O478" s="3714"/>
      <c r="P478" s="3756"/>
      <c r="Q478" s="3714"/>
      <c r="R478" s="3714"/>
      <c r="S478" s="3714"/>
      <c r="T478" s="3714"/>
      <c r="U478" s="3714"/>
      <c r="V478" s="3714"/>
      <c r="W478" s="3714"/>
      <c r="X478" s="3714"/>
      <c r="Y478" s="3714"/>
      <c r="Z478" s="3714"/>
      <c r="AA478" s="3714"/>
      <c r="AB478" s="3714"/>
      <c r="AC478" s="3714"/>
    </row>
    <row r="479" spans="1:29">
      <c r="A479" s="3714"/>
      <c r="B479" s="3714"/>
      <c r="C479" s="3714"/>
      <c r="D479" s="3714"/>
      <c r="E479" s="3714"/>
      <c r="F479" s="3714"/>
      <c r="G479" s="3714"/>
      <c r="H479" s="3714"/>
      <c r="I479" s="3714"/>
      <c r="J479" s="3714"/>
      <c r="K479" s="3715"/>
      <c r="L479" s="3716"/>
      <c r="M479" s="3714"/>
      <c r="N479" s="3714"/>
      <c r="O479" s="3714"/>
      <c r="P479" s="3756"/>
      <c r="Q479" s="3714"/>
      <c r="R479" s="3714"/>
      <c r="S479" s="3714"/>
      <c r="T479" s="3714"/>
      <c r="U479" s="3714"/>
      <c r="V479" s="3714"/>
      <c r="W479" s="3714"/>
      <c r="X479" s="3714"/>
      <c r="Y479" s="3714"/>
      <c r="Z479" s="3714"/>
      <c r="AA479" s="3714"/>
      <c r="AB479" s="3714"/>
      <c r="AC479" s="3714"/>
    </row>
    <row r="480" spans="1:29">
      <c r="A480" s="3714"/>
      <c r="B480" s="3714"/>
      <c r="C480" s="3714"/>
      <c r="D480" s="3714"/>
      <c r="E480" s="3714"/>
      <c r="F480" s="3714"/>
      <c r="G480" s="3714"/>
      <c r="H480" s="3714"/>
      <c r="I480" s="3714"/>
      <c r="J480" s="3714"/>
      <c r="K480" s="3715"/>
      <c r="L480" s="3716"/>
      <c r="M480" s="3714"/>
      <c r="N480" s="3714"/>
      <c r="O480" s="3714"/>
      <c r="P480" s="3756"/>
      <c r="Q480" s="3714"/>
      <c r="R480" s="3714"/>
      <c r="S480" s="3714"/>
      <c r="T480" s="3714"/>
      <c r="U480" s="3714"/>
      <c r="V480" s="3714"/>
      <c r="W480" s="3714"/>
      <c r="X480" s="3714"/>
      <c r="Y480" s="3714"/>
      <c r="Z480" s="3714"/>
      <c r="AA480" s="3714"/>
      <c r="AB480" s="3714"/>
      <c r="AC480" s="3714"/>
    </row>
    <row r="481" spans="1:29">
      <c r="A481" s="3714"/>
      <c r="B481" s="3714"/>
      <c r="C481" s="3714"/>
      <c r="D481" s="3714"/>
      <c r="E481" s="3714"/>
      <c r="F481" s="3714"/>
      <c r="G481" s="3714"/>
      <c r="H481" s="3714"/>
      <c r="I481" s="3714"/>
      <c r="J481" s="3714"/>
      <c r="K481" s="3715"/>
      <c r="L481" s="3716"/>
      <c r="M481" s="3714"/>
      <c r="N481" s="3714"/>
      <c r="O481" s="3714"/>
      <c r="P481" s="3756"/>
      <c r="Q481" s="3714"/>
      <c r="R481" s="3714"/>
      <c r="S481" s="3714"/>
      <c r="T481" s="3714"/>
      <c r="U481" s="3714"/>
      <c r="V481" s="3714"/>
      <c r="W481" s="3714"/>
      <c r="X481" s="3714"/>
      <c r="Y481" s="3714"/>
      <c r="Z481" s="3714"/>
      <c r="AA481" s="3714"/>
      <c r="AB481" s="3714"/>
      <c r="AC481" s="3714"/>
    </row>
    <row r="482" spans="1:29">
      <c r="A482" s="3714"/>
      <c r="B482" s="3714"/>
      <c r="C482" s="3714"/>
      <c r="D482" s="3714"/>
      <c r="E482" s="3714"/>
      <c r="F482" s="3714"/>
      <c r="G482" s="3714"/>
      <c r="H482" s="3714"/>
      <c r="I482" s="3714"/>
      <c r="J482" s="3714"/>
      <c r="K482" s="3715"/>
      <c r="L482" s="3716"/>
      <c r="M482" s="3714"/>
      <c r="N482" s="3714"/>
      <c r="O482" s="3714"/>
      <c r="P482" s="3756"/>
      <c r="Q482" s="3714"/>
      <c r="R482" s="3714"/>
      <c r="S482" s="3714"/>
      <c r="T482" s="3714"/>
      <c r="U482" s="3714"/>
      <c r="V482" s="3714"/>
      <c r="W482" s="3714"/>
      <c r="X482" s="3714"/>
      <c r="Y482" s="3714"/>
      <c r="Z482" s="3714"/>
      <c r="AA482" s="3714"/>
      <c r="AB482" s="3714"/>
      <c r="AC482" s="3714"/>
    </row>
    <row r="483" spans="1:29">
      <c r="A483" s="3714"/>
      <c r="B483" s="3714"/>
      <c r="C483" s="3714"/>
      <c r="D483" s="3714"/>
      <c r="E483" s="3714"/>
      <c r="F483" s="3714"/>
      <c r="G483" s="3714"/>
      <c r="H483" s="3714"/>
      <c r="I483" s="3714"/>
      <c r="J483" s="3714"/>
      <c r="K483" s="3715"/>
      <c r="L483" s="3716"/>
      <c r="M483" s="3714"/>
      <c r="N483" s="3714"/>
      <c r="O483" s="3714"/>
      <c r="P483" s="3756"/>
      <c r="Q483" s="3714"/>
      <c r="R483" s="3714"/>
      <c r="S483" s="3714"/>
      <c r="T483" s="3714"/>
      <c r="U483" s="3714"/>
      <c r="V483" s="3714"/>
      <c r="W483" s="3714"/>
      <c r="X483" s="3714"/>
      <c r="Y483" s="3714"/>
      <c r="Z483" s="3714"/>
      <c r="AA483" s="3714"/>
      <c r="AB483" s="3714"/>
      <c r="AC483" s="3714"/>
    </row>
    <row r="484" spans="1:29">
      <c r="A484" s="3714"/>
      <c r="B484" s="3714"/>
      <c r="C484" s="3714"/>
      <c r="D484" s="3714"/>
      <c r="E484" s="3714"/>
      <c r="F484" s="3714"/>
      <c r="G484" s="3714"/>
      <c r="H484" s="3714"/>
      <c r="I484" s="3714"/>
      <c r="J484" s="3714"/>
      <c r="K484" s="3715"/>
      <c r="L484" s="3716"/>
      <c r="M484" s="3714"/>
      <c r="N484" s="3714"/>
      <c r="O484" s="3714"/>
      <c r="P484" s="3756"/>
      <c r="Q484" s="3714"/>
      <c r="R484" s="3714"/>
      <c r="S484" s="3714"/>
      <c r="T484" s="3714"/>
      <c r="U484" s="3714"/>
      <c r="V484" s="3714"/>
      <c r="W484" s="3714"/>
      <c r="X484" s="3714"/>
      <c r="Y484" s="3714"/>
      <c r="Z484" s="3714"/>
      <c r="AA484" s="3714"/>
      <c r="AB484" s="3714"/>
      <c r="AC484" s="3714"/>
    </row>
    <row r="485" spans="1:29">
      <c r="A485" s="3714"/>
      <c r="B485" s="3714"/>
      <c r="C485" s="3714"/>
      <c r="D485" s="3714"/>
      <c r="E485" s="3714"/>
      <c r="F485" s="3714"/>
      <c r="G485" s="3714"/>
      <c r="H485" s="3714"/>
      <c r="I485" s="3714"/>
      <c r="J485" s="3714"/>
      <c r="K485" s="3715"/>
      <c r="L485" s="3716"/>
      <c r="M485" s="3714"/>
      <c r="N485" s="3714"/>
      <c r="O485" s="3714"/>
      <c r="P485" s="3756"/>
      <c r="Q485" s="3714"/>
      <c r="R485" s="3714"/>
      <c r="S485" s="3714"/>
      <c r="T485" s="3714"/>
      <c r="U485" s="3714"/>
      <c r="V485" s="3714"/>
      <c r="W485" s="3714"/>
      <c r="X485" s="3714"/>
      <c r="Y485" s="3714"/>
      <c r="Z485" s="3714"/>
      <c r="AA485" s="3714"/>
      <c r="AB485" s="3714"/>
      <c r="AC485" s="3714"/>
    </row>
    <row r="486" spans="1:29">
      <c r="A486" s="3714"/>
      <c r="B486" s="3714"/>
      <c r="C486" s="3714"/>
      <c r="D486" s="3714"/>
      <c r="E486" s="3714"/>
      <c r="F486" s="3714"/>
      <c r="G486" s="3714"/>
      <c r="H486" s="3714"/>
      <c r="I486" s="3714"/>
      <c r="J486" s="3714"/>
      <c r="K486" s="3715"/>
      <c r="L486" s="3716"/>
      <c r="M486" s="3714"/>
      <c r="N486" s="3714"/>
      <c r="O486" s="3714"/>
      <c r="P486" s="3756"/>
      <c r="Q486" s="3714"/>
      <c r="R486" s="3714"/>
      <c r="S486" s="3714"/>
      <c r="T486" s="3714"/>
      <c r="U486" s="3714"/>
      <c r="V486" s="3714"/>
      <c r="W486" s="3714"/>
      <c r="X486" s="3714"/>
      <c r="Y486" s="3714"/>
      <c r="Z486" s="3714"/>
      <c r="AA486" s="3714"/>
      <c r="AB486" s="3714"/>
      <c r="AC486" s="3714"/>
    </row>
    <row r="487" spans="1:29">
      <c r="A487" s="3714"/>
      <c r="B487" s="3714"/>
      <c r="C487" s="3714"/>
      <c r="D487" s="3714"/>
      <c r="E487" s="3714"/>
      <c r="F487" s="3714"/>
      <c r="G487" s="3714"/>
      <c r="H487" s="3714"/>
      <c r="I487" s="3714"/>
      <c r="J487" s="3714"/>
      <c r="K487" s="3715"/>
      <c r="L487" s="3716"/>
      <c r="M487" s="3714"/>
      <c r="N487" s="3714"/>
      <c r="O487" s="3714"/>
      <c r="P487" s="3756"/>
      <c r="Q487" s="3714"/>
      <c r="R487" s="3714"/>
      <c r="S487" s="3714"/>
      <c r="T487" s="3714"/>
      <c r="U487" s="3714"/>
      <c r="V487" s="3714"/>
      <c r="W487" s="3714"/>
      <c r="X487" s="3714"/>
      <c r="Y487" s="3714"/>
      <c r="Z487" s="3714"/>
      <c r="AA487" s="3714"/>
      <c r="AB487" s="3714"/>
      <c r="AC487" s="3714"/>
    </row>
    <row r="488" spans="1:29">
      <c r="A488" s="3714"/>
      <c r="B488" s="3714"/>
      <c r="C488" s="3714"/>
      <c r="D488" s="3714"/>
      <c r="E488" s="3714"/>
      <c r="F488" s="3714"/>
      <c r="G488" s="3714"/>
      <c r="H488" s="3714"/>
      <c r="I488" s="3714"/>
      <c r="J488" s="3714"/>
      <c r="K488" s="3715"/>
      <c r="L488" s="3716"/>
      <c r="M488" s="3714"/>
      <c r="N488" s="3714"/>
      <c r="O488" s="3714"/>
      <c r="P488" s="3756"/>
      <c r="Q488" s="3714"/>
      <c r="R488" s="3714"/>
      <c r="S488" s="3714"/>
      <c r="T488" s="3714"/>
      <c r="U488" s="3714"/>
      <c r="V488" s="3714"/>
      <c r="W488" s="3714"/>
      <c r="X488" s="3714"/>
      <c r="Y488" s="3714"/>
      <c r="Z488" s="3714"/>
      <c r="AA488" s="3714"/>
      <c r="AB488" s="3714"/>
      <c r="AC488" s="3714"/>
    </row>
    <row r="489" spans="1:29">
      <c r="A489" s="3714"/>
      <c r="B489" s="3714"/>
      <c r="C489" s="3714"/>
      <c r="D489" s="3714"/>
      <c r="E489" s="3714"/>
      <c r="F489" s="3714"/>
      <c r="G489" s="3714"/>
      <c r="H489" s="3714"/>
      <c r="I489" s="3714"/>
      <c r="J489" s="3714"/>
      <c r="K489" s="3715"/>
      <c r="L489" s="3716"/>
      <c r="M489" s="3714"/>
      <c r="N489" s="3714"/>
      <c r="O489" s="3714"/>
      <c r="P489" s="3756"/>
      <c r="Q489" s="3714"/>
      <c r="R489" s="3714"/>
      <c r="S489" s="3714"/>
      <c r="T489" s="3714"/>
      <c r="U489" s="3714"/>
      <c r="V489" s="3714"/>
      <c r="W489" s="3714"/>
      <c r="X489" s="3714"/>
      <c r="Y489" s="3714"/>
      <c r="Z489" s="3714"/>
      <c r="AA489" s="3714"/>
      <c r="AB489" s="3714"/>
      <c r="AC489" s="3714"/>
    </row>
    <row r="490" spans="1:29">
      <c r="A490" s="3714"/>
      <c r="B490" s="3714"/>
      <c r="C490" s="3714"/>
      <c r="D490" s="3714"/>
      <c r="E490" s="3714"/>
      <c r="F490" s="3714"/>
      <c r="G490" s="3714"/>
      <c r="H490" s="3714"/>
      <c r="I490" s="3714"/>
      <c r="J490" s="3714"/>
      <c r="K490" s="3715"/>
      <c r="L490" s="3716"/>
      <c r="M490" s="3714"/>
      <c r="N490" s="3714"/>
      <c r="O490" s="3714"/>
      <c r="P490" s="3756"/>
      <c r="Q490" s="3714"/>
      <c r="R490" s="3714"/>
      <c r="S490" s="3714"/>
      <c r="T490" s="3714"/>
      <c r="U490" s="3714"/>
      <c r="V490" s="3714"/>
      <c r="W490" s="3714"/>
      <c r="X490" s="3714"/>
      <c r="Y490" s="3714"/>
      <c r="Z490" s="3714"/>
      <c r="AA490" s="3714"/>
      <c r="AB490" s="3714"/>
      <c r="AC490" s="3714"/>
    </row>
    <row r="491" spans="1:29">
      <c r="A491" s="3714"/>
      <c r="B491" s="3714"/>
      <c r="C491" s="3714"/>
      <c r="D491" s="3714"/>
      <c r="E491" s="3714"/>
      <c r="F491" s="3714"/>
      <c r="G491" s="3714"/>
      <c r="H491" s="3714"/>
      <c r="I491" s="3714"/>
      <c r="J491" s="3714"/>
      <c r="K491" s="3715"/>
      <c r="L491" s="3716"/>
      <c r="M491" s="3714"/>
      <c r="N491" s="3714"/>
      <c r="O491" s="3714"/>
      <c r="P491" s="3756"/>
      <c r="Q491" s="3714"/>
      <c r="R491" s="3714"/>
      <c r="S491" s="3714"/>
      <c r="T491" s="3714"/>
      <c r="U491" s="3714"/>
      <c r="V491" s="3714"/>
      <c r="W491" s="3714"/>
      <c r="X491" s="3714"/>
      <c r="Y491" s="3714"/>
      <c r="Z491" s="3714"/>
      <c r="AA491" s="3714"/>
      <c r="AB491" s="3714"/>
      <c r="AC491" s="3714"/>
    </row>
    <row r="492" spans="1:29">
      <c r="A492" s="3714"/>
      <c r="B492" s="3714"/>
      <c r="C492" s="3714"/>
      <c r="D492" s="3714"/>
      <c r="E492" s="3714"/>
      <c r="F492" s="3714"/>
      <c r="G492" s="3714"/>
      <c r="H492" s="3714"/>
      <c r="I492" s="3714"/>
      <c r="J492" s="3714"/>
      <c r="K492" s="3715"/>
      <c r="L492" s="3716"/>
      <c r="M492" s="3714"/>
      <c r="N492" s="3714"/>
      <c r="O492" s="3714"/>
      <c r="P492" s="3756"/>
      <c r="Q492" s="3714"/>
      <c r="R492" s="3714"/>
      <c r="S492" s="3714"/>
      <c r="T492" s="3714"/>
      <c r="U492" s="3714"/>
      <c r="V492" s="3714"/>
      <c r="W492" s="3714"/>
      <c r="X492" s="3714"/>
      <c r="Y492" s="3714"/>
      <c r="Z492" s="3714"/>
      <c r="AA492" s="3714"/>
      <c r="AB492" s="3714"/>
      <c r="AC492" s="3714"/>
    </row>
    <row r="493" spans="1:29">
      <c r="A493" s="3714"/>
      <c r="B493" s="3714"/>
      <c r="C493" s="3714"/>
      <c r="D493" s="3714"/>
      <c r="E493" s="3714"/>
      <c r="F493" s="3714"/>
      <c r="G493" s="3714"/>
      <c r="H493" s="3714"/>
      <c r="I493" s="3714"/>
      <c r="J493" s="3714"/>
      <c r="K493" s="3715"/>
      <c r="L493" s="3716"/>
      <c r="M493" s="3714"/>
      <c r="N493" s="3714"/>
      <c r="O493" s="3714"/>
      <c r="P493" s="3756"/>
      <c r="Q493" s="3714"/>
      <c r="R493" s="3714"/>
      <c r="S493" s="3714"/>
      <c r="T493" s="3714"/>
      <c r="U493" s="3714"/>
      <c r="V493" s="3714"/>
      <c r="W493" s="3714"/>
      <c r="X493" s="3714"/>
      <c r="Y493" s="3714"/>
      <c r="Z493" s="3714"/>
      <c r="AA493" s="3714"/>
      <c r="AB493" s="3714"/>
      <c r="AC493" s="3714"/>
    </row>
    <row r="494" spans="1:29">
      <c r="A494" s="3714"/>
      <c r="B494" s="3714"/>
      <c r="C494" s="3714"/>
      <c r="D494" s="3714"/>
      <c r="E494" s="3714"/>
      <c r="F494" s="3714"/>
      <c r="G494" s="3714"/>
      <c r="H494" s="3714"/>
      <c r="I494" s="3714"/>
      <c r="J494" s="3714"/>
      <c r="K494" s="3715"/>
      <c r="L494" s="3716"/>
      <c r="M494" s="3714"/>
      <c r="N494" s="3714"/>
      <c r="O494" s="3714"/>
      <c r="P494" s="3756"/>
      <c r="Q494" s="3714"/>
      <c r="R494" s="3714"/>
      <c r="S494" s="3714"/>
      <c r="T494" s="3714"/>
      <c r="U494" s="3714"/>
      <c r="V494" s="3714"/>
      <c r="W494" s="3714"/>
      <c r="X494" s="3714"/>
      <c r="Y494" s="3714"/>
      <c r="Z494" s="3714"/>
      <c r="AA494" s="3714"/>
      <c r="AB494" s="3714"/>
      <c r="AC494" s="3714"/>
    </row>
    <row r="495" spans="1:29">
      <c r="A495" s="3714"/>
      <c r="B495" s="3714"/>
      <c r="C495" s="3714"/>
      <c r="D495" s="3714"/>
      <c r="E495" s="3714"/>
      <c r="F495" s="3714"/>
      <c r="G495" s="3714"/>
      <c r="H495" s="3714"/>
      <c r="I495" s="3714"/>
      <c r="J495" s="3714"/>
      <c r="K495" s="3715"/>
      <c r="L495" s="3716"/>
      <c r="M495" s="3714"/>
      <c r="N495" s="3714"/>
      <c r="O495" s="3714"/>
      <c r="P495" s="3756"/>
      <c r="Q495" s="3714"/>
      <c r="R495" s="3714"/>
      <c r="S495" s="3714"/>
      <c r="T495" s="3714"/>
      <c r="U495" s="3714"/>
      <c r="V495" s="3714"/>
      <c r="W495" s="3714"/>
      <c r="X495" s="3714"/>
      <c r="Y495" s="3714"/>
      <c r="Z495" s="3714"/>
      <c r="AA495" s="3714"/>
      <c r="AB495" s="3714"/>
      <c r="AC495" s="3714"/>
    </row>
    <row r="496" spans="1:29">
      <c r="A496" s="3714"/>
      <c r="B496" s="3714"/>
      <c r="C496" s="3714"/>
      <c r="D496" s="3714"/>
      <c r="E496" s="3714"/>
      <c r="F496" s="3714"/>
      <c r="G496" s="3714"/>
      <c r="H496" s="3714"/>
      <c r="I496" s="3714"/>
      <c r="J496" s="3714"/>
      <c r="K496" s="3715"/>
      <c r="L496" s="3716"/>
      <c r="M496" s="3714"/>
      <c r="N496" s="3714"/>
      <c r="O496" s="3714"/>
      <c r="P496" s="3756"/>
      <c r="Q496" s="3714"/>
      <c r="R496" s="3714"/>
      <c r="S496" s="3714"/>
      <c r="T496" s="3714"/>
      <c r="U496" s="3714"/>
      <c r="V496" s="3714"/>
      <c r="W496" s="3714"/>
      <c r="X496" s="3714"/>
      <c r="Y496" s="3714"/>
      <c r="Z496" s="3714"/>
      <c r="AA496" s="3714"/>
      <c r="AB496" s="3714"/>
      <c r="AC496" s="3714"/>
    </row>
    <row r="497" spans="1:29">
      <c r="A497" s="3714"/>
      <c r="B497" s="3714"/>
      <c r="C497" s="3714"/>
      <c r="D497" s="3714"/>
      <c r="E497" s="3714"/>
      <c r="F497" s="3714"/>
      <c r="G497" s="3714"/>
      <c r="H497" s="3714"/>
      <c r="I497" s="3714"/>
      <c r="J497" s="3714"/>
      <c r="K497" s="3715"/>
      <c r="L497" s="3716"/>
      <c r="M497" s="3714"/>
      <c r="N497" s="3714"/>
      <c r="O497" s="3714"/>
      <c r="P497" s="3756"/>
      <c r="Q497" s="3714"/>
      <c r="R497" s="3714"/>
      <c r="S497" s="3714"/>
      <c r="T497" s="3714"/>
      <c r="U497" s="3714"/>
      <c r="V497" s="3714"/>
      <c r="W497" s="3714"/>
      <c r="X497" s="3714"/>
      <c r="Y497" s="3714"/>
      <c r="Z497" s="3714"/>
      <c r="AA497" s="3714"/>
      <c r="AB497" s="3714"/>
      <c r="AC497" s="3714"/>
    </row>
    <row r="498" spans="1:29">
      <c r="A498" s="3714"/>
      <c r="B498" s="3714"/>
      <c r="C498" s="3714"/>
      <c r="D498" s="3714"/>
      <c r="E498" s="3714"/>
      <c r="F498" s="3714"/>
      <c r="G498" s="3714"/>
      <c r="H498" s="3714"/>
      <c r="I498" s="3714"/>
      <c r="J498" s="3714"/>
      <c r="K498" s="3715"/>
      <c r="L498" s="3716"/>
      <c r="M498" s="3714"/>
      <c r="N498" s="3714"/>
      <c r="O498" s="3714"/>
      <c r="P498" s="3756"/>
      <c r="Q498" s="3714"/>
      <c r="R498" s="3714"/>
      <c r="S498" s="3714"/>
      <c r="T498" s="3714"/>
      <c r="U498" s="3714"/>
      <c r="V498" s="3714"/>
      <c r="W498" s="3714"/>
      <c r="X498" s="3714"/>
      <c r="Y498" s="3714"/>
      <c r="Z498" s="3714"/>
      <c r="AA498" s="3714"/>
      <c r="AB498" s="3714"/>
      <c r="AC498" s="3714"/>
    </row>
    <row r="499" spans="1:29">
      <c r="A499" s="3714"/>
      <c r="B499" s="3714"/>
      <c r="C499" s="3714"/>
      <c r="D499" s="3714"/>
      <c r="E499" s="3714"/>
      <c r="F499" s="3714"/>
      <c r="G499" s="3714"/>
      <c r="H499" s="3714"/>
      <c r="I499" s="3714"/>
      <c r="J499" s="3714"/>
      <c r="K499" s="3715"/>
      <c r="L499" s="3716"/>
      <c r="M499" s="3714"/>
      <c r="N499" s="3714"/>
      <c r="O499" s="3714"/>
      <c r="P499" s="3756"/>
      <c r="Q499" s="3714"/>
      <c r="R499" s="3714"/>
      <c r="S499" s="3714"/>
      <c r="T499" s="3714"/>
      <c r="U499" s="3714"/>
      <c r="V499" s="3714"/>
      <c r="W499" s="3714"/>
      <c r="X499" s="3714"/>
      <c r="Y499" s="3714"/>
      <c r="Z499" s="3714"/>
      <c r="AA499" s="3714"/>
      <c r="AB499" s="3714"/>
      <c r="AC499" s="3714"/>
    </row>
    <row r="500" spans="1:29">
      <c r="A500" s="3714"/>
      <c r="B500" s="3714"/>
      <c r="C500" s="3714"/>
      <c r="D500" s="3714"/>
      <c r="E500" s="3714"/>
      <c r="F500" s="3714"/>
      <c r="G500" s="3714"/>
      <c r="H500" s="3714"/>
      <c r="I500" s="3714"/>
      <c r="J500" s="3714"/>
      <c r="K500" s="3715"/>
      <c r="L500" s="3716"/>
      <c r="M500" s="3714"/>
      <c r="N500" s="3714"/>
      <c r="O500" s="3714"/>
      <c r="P500" s="3756"/>
      <c r="Q500" s="3714"/>
      <c r="R500" s="3714"/>
      <c r="S500" s="3714"/>
      <c r="T500" s="3714"/>
      <c r="U500" s="3714"/>
      <c r="V500" s="3714"/>
      <c r="W500" s="3714"/>
      <c r="X500" s="3714"/>
      <c r="Y500" s="3714"/>
      <c r="Z500" s="3714"/>
      <c r="AA500" s="3714"/>
      <c r="AB500" s="3714"/>
      <c r="AC500" s="3714"/>
    </row>
    <row r="501" spans="1:29">
      <c r="A501" s="3714"/>
      <c r="B501" s="3714"/>
      <c r="C501" s="3714"/>
      <c r="D501" s="3714"/>
      <c r="E501" s="3714"/>
      <c r="F501" s="3714"/>
      <c r="G501" s="3714"/>
      <c r="H501" s="3714"/>
      <c r="I501" s="3714"/>
      <c r="J501" s="3714"/>
      <c r="K501" s="3715"/>
      <c r="L501" s="3716"/>
      <c r="M501" s="3714"/>
      <c r="N501" s="3714"/>
      <c r="O501" s="3714"/>
      <c r="P501" s="3756"/>
      <c r="Q501" s="3714"/>
      <c r="R501" s="3714"/>
      <c r="S501" s="3714"/>
      <c r="T501" s="3714"/>
      <c r="U501" s="3714"/>
      <c r="V501" s="3714"/>
      <c r="W501" s="3714"/>
      <c r="X501" s="3714"/>
      <c r="Y501" s="3714"/>
      <c r="Z501" s="3714"/>
      <c r="AA501" s="3714"/>
      <c r="AB501" s="3714"/>
      <c r="AC501" s="3714"/>
    </row>
    <row r="502" spans="1:29">
      <c r="A502" s="3714"/>
      <c r="B502" s="3714"/>
      <c r="C502" s="3714"/>
      <c r="D502" s="3714"/>
      <c r="E502" s="3714"/>
      <c r="F502" s="3714"/>
      <c r="G502" s="3714"/>
      <c r="H502" s="3714"/>
      <c r="I502" s="3714"/>
      <c r="J502" s="3714"/>
      <c r="K502" s="3715"/>
      <c r="L502" s="3716"/>
      <c r="M502" s="3714"/>
      <c r="N502" s="3714"/>
      <c r="O502" s="3714"/>
      <c r="P502" s="3756"/>
      <c r="Q502" s="3714"/>
      <c r="R502" s="3714"/>
      <c r="S502" s="3714"/>
      <c r="T502" s="3714"/>
      <c r="U502" s="3714"/>
      <c r="V502" s="3714"/>
      <c r="W502" s="3714"/>
      <c r="X502" s="3714"/>
      <c r="Y502" s="3714"/>
      <c r="Z502" s="3714"/>
      <c r="AA502" s="3714"/>
      <c r="AB502" s="3714"/>
      <c r="AC502" s="3714"/>
    </row>
    <row r="503" spans="1:29">
      <c r="A503" s="3714"/>
      <c r="B503" s="3714"/>
      <c r="C503" s="3714"/>
      <c r="D503" s="3714"/>
      <c r="E503" s="3714"/>
      <c r="F503" s="3714"/>
      <c r="G503" s="3714"/>
      <c r="H503" s="3714"/>
      <c r="I503" s="3714"/>
      <c r="J503" s="3714"/>
      <c r="K503" s="3715"/>
      <c r="L503" s="3716"/>
      <c r="M503" s="3714"/>
      <c r="N503" s="3714"/>
      <c r="O503" s="3714"/>
      <c r="P503" s="3756"/>
      <c r="Q503" s="3714"/>
      <c r="R503" s="3714"/>
      <c r="S503" s="3714"/>
      <c r="T503" s="3714"/>
      <c r="U503" s="3714"/>
      <c r="V503" s="3714"/>
      <c r="W503" s="3714"/>
      <c r="X503" s="3714"/>
      <c r="Y503" s="3714"/>
      <c r="Z503" s="3714"/>
      <c r="AA503" s="3714"/>
      <c r="AB503" s="3714"/>
      <c r="AC503" s="3714"/>
    </row>
    <row r="504" spans="1:29">
      <c r="A504" s="3714"/>
      <c r="B504" s="3714"/>
      <c r="C504" s="3714"/>
      <c r="D504" s="3714"/>
      <c r="E504" s="3714"/>
      <c r="F504" s="3714"/>
      <c r="G504" s="3714"/>
      <c r="H504" s="3714"/>
      <c r="I504" s="3714"/>
      <c r="J504" s="3714"/>
      <c r="K504" s="3715"/>
      <c r="L504" s="3716"/>
      <c r="M504" s="3714"/>
      <c r="N504" s="3714"/>
      <c r="O504" s="3714"/>
      <c r="P504" s="3756"/>
      <c r="Q504" s="3714"/>
      <c r="R504" s="3714"/>
      <c r="S504" s="3714"/>
      <c r="T504" s="3714"/>
      <c r="U504" s="3714"/>
      <c r="V504" s="3714"/>
      <c r="W504" s="3714"/>
      <c r="X504" s="3714"/>
      <c r="Y504" s="3714"/>
      <c r="Z504" s="3714"/>
      <c r="AA504" s="3714"/>
      <c r="AB504" s="3714"/>
      <c r="AC504" s="3714"/>
    </row>
    <row r="505" spans="1:29">
      <c r="A505" s="3714"/>
      <c r="B505" s="3714"/>
      <c r="C505" s="3714"/>
      <c r="D505" s="3714"/>
      <c r="E505" s="3714"/>
      <c r="F505" s="3714"/>
      <c r="G505" s="3714"/>
      <c r="H505" s="3714"/>
      <c r="I505" s="3714"/>
      <c r="J505" s="3714"/>
      <c r="K505" s="3715"/>
      <c r="L505" s="3716"/>
      <c r="M505" s="3714"/>
      <c r="N505" s="3714"/>
      <c r="O505" s="3714"/>
      <c r="P505" s="3756"/>
      <c r="Q505" s="3714"/>
      <c r="R505" s="3714"/>
      <c r="S505" s="3714"/>
      <c r="T505" s="3714"/>
      <c r="U505" s="3714"/>
      <c r="V505" s="3714"/>
      <c r="W505" s="3714"/>
      <c r="X505" s="3714"/>
      <c r="Y505" s="3714"/>
      <c r="Z505" s="3714"/>
      <c r="AA505" s="3714"/>
      <c r="AB505" s="3714"/>
      <c r="AC505" s="3714"/>
    </row>
    <row r="506" spans="1:29">
      <c r="A506" s="3714"/>
      <c r="B506" s="3714"/>
      <c r="C506" s="3714"/>
      <c r="D506" s="3714"/>
      <c r="E506" s="3714"/>
      <c r="F506" s="3714"/>
      <c r="G506" s="3714"/>
      <c r="H506" s="3714"/>
      <c r="I506" s="3714"/>
      <c r="J506" s="3714"/>
      <c r="K506" s="3715"/>
      <c r="L506" s="3716"/>
      <c r="M506" s="3714"/>
      <c r="N506" s="3714"/>
      <c r="O506" s="3714"/>
      <c r="P506" s="3756"/>
      <c r="Q506" s="3714"/>
      <c r="R506" s="3714"/>
      <c r="S506" s="3714"/>
      <c r="T506" s="3714"/>
      <c r="U506" s="3714"/>
      <c r="V506" s="3714"/>
      <c r="W506" s="3714"/>
      <c r="X506" s="3714"/>
      <c r="Y506" s="3714"/>
      <c r="Z506" s="3714"/>
      <c r="AA506" s="3714"/>
      <c r="AB506" s="3714"/>
      <c r="AC506" s="3714"/>
    </row>
    <row r="507" spans="1:29">
      <c r="A507" s="3714"/>
      <c r="B507" s="3714"/>
      <c r="C507" s="3714"/>
      <c r="D507" s="3714"/>
      <c r="E507" s="3714"/>
      <c r="F507" s="3714"/>
      <c r="G507" s="3714"/>
      <c r="H507" s="3714"/>
      <c r="I507" s="3714"/>
      <c r="J507" s="3714"/>
      <c r="K507" s="3715"/>
      <c r="L507" s="3716"/>
      <c r="M507" s="3714"/>
      <c r="N507" s="3714"/>
      <c r="O507" s="3714"/>
      <c r="P507" s="3756"/>
      <c r="Q507" s="3714"/>
      <c r="R507" s="3714"/>
      <c r="S507" s="3714"/>
      <c r="T507" s="3714"/>
      <c r="U507" s="3714"/>
      <c r="V507" s="3714"/>
      <c r="W507" s="3714"/>
      <c r="X507" s="3714"/>
      <c r="Y507" s="3714"/>
      <c r="Z507" s="3714"/>
      <c r="AA507" s="3714"/>
      <c r="AB507" s="3714"/>
      <c r="AC507" s="3714"/>
    </row>
    <row r="508" spans="1:29">
      <c r="A508" s="3714"/>
      <c r="B508" s="3714"/>
      <c r="C508" s="3714"/>
      <c r="D508" s="3714"/>
      <c r="E508" s="3714"/>
      <c r="F508" s="3714"/>
      <c r="G508" s="3714"/>
      <c r="H508" s="3714"/>
      <c r="I508" s="3714"/>
      <c r="J508" s="3714"/>
      <c r="K508" s="3715"/>
      <c r="L508" s="3716"/>
      <c r="M508" s="3714"/>
      <c r="N508" s="3714"/>
      <c r="O508" s="3714"/>
      <c r="P508" s="3756"/>
      <c r="Q508" s="3714"/>
      <c r="R508" s="3714"/>
      <c r="S508" s="3714"/>
      <c r="T508" s="3714"/>
      <c r="U508" s="3714"/>
      <c r="V508" s="3714"/>
      <c r="W508" s="3714"/>
      <c r="X508" s="3714"/>
      <c r="Y508" s="3714"/>
      <c r="Z508" s="3714"/>
      <c r="AA508" s="3714"/>
      <c r="AB508" s="3714"/>
      <c r="AC508" s="3714"/>
    </row>
    <row r="509" spans="1:29">
      <c r="A509" s="3714"/>
      <c r="B509" s="3714"/>
      <c r="C509" s="3714"/>
      <c r="D509" s="3714"/>
      <c r="E509" s="3714"/>
      <c r="F509" s="3714"/>
      <c r="G509" s="3714"/>
      <c r="H509" s="3714"/>
      <c r="I509" s="3714"/>
      <c r="J509" s="3714"/>
      <c r="K509" s="3715"/>
      <c r="L509" s="3716"/>
      <c r="M509" s="3714"/>
      <c r="N509" s="3714"/>
      <c r="O509" s="3714"/>
      <c r="P509" s="3756"/>
      <c r="Q509" s="3714"/>
      <c r="R509" s="3714"/>
      <c r="S509" s="3714"/>
      <c r="T509" s="3714"/>
      <c r="U509" s="3714"/>
      <c r="V509" s="3714"/>
      <c r="W509" s="3714"/>
      <c r="X509" s="3714"/>
      <c r="Y509" s="3714"/>
      <c r="Z509" s="3714"/>
      <c r="AA509" s="3714"/>
      <c r="AB509" s="3714"/>
      <c r="AC509" s="3714"/>
    </row>
    <row r="510" spans="1:29">
      <c r="A510" s="3714"/>
      <c r="B510" s="3714"/>
      <c r="C510" s="3714"/>
      <c r="D510" s="3714"/>
      <c r="E510" s="3714"/>
      <c r="F510" s="3714"/>
      <c r="G510" s="3714"/>
      <c r="H510" s="3714"/>
      <c r="I510" s="3714"/>
      <c r="J510" s="3714"/>
      <c r="K510" s="3715"/>
      <c r="L510" s="3716"/>
      <c r="M510" s="3714"/>
      <c r="N510" s="3714"/>
      <c r="O510" s="3714"/>
      <c r="P510" s="3756"/>
      <c r="Q510" s="3714"/>
      <c r="R510" s="3714"/>
      <c r="S510" s="3714"/>
      <c r="T510" s="3714"/>
      <c r="U510" s="3714"/>
      <c r="V510" s="3714"/>
      <c r="W510" s="3714"/>
      <c r="X510" s="3714"/>
      <c r="Y510" s="3714"/>
      <c r="Z510" s="3714"/>
      <c r="AA510" s="3714"/>
      <c r="AB510" s="3714"/>
      <c r="AC510" s="3714"/>
    </row>
    <row r="511" spans="1:29">
      <c r="A511" s="3714"/>
      <c r="B511" s="3714"/>
      <c r="C511" s="3714"/>
      <c r="D511" s="3714"/>
      <c r="E511" s="3714"/>
      <c r="F511" s="3714"/>
      <c r="G511" s="3714"/>
      <c r="H511" s="3714"/>
      <c r="I511" s="3714"/>
      <c r="J511" s="3714"/>
      <c r="K511" s="3715"/>
      <c r="L511" s="3716"/>
      <c r="M511" s="3714"/>
      <c r="N511" s="3714"/>
      <c r="O511" s="3714"/>
      <c r="P511" s="3756"/>
      <c r="Q511" s="3714"/>
      <c r="R511" s="3714"/>
      <c r="S511" s="3714"/>
      <c r="T511" s="3714"/>
      <c r="U511" s="3714"/>
      <c r="V511" s="3714"/>
      <c r="W511" s="3714"/>
      <c r="X511" s="3714"/>
      <c r="Y511" s="3714"/>
      <c r="Z511" s="3714"/>
      <c r="AA511" s="3714"/>
      <c r="AB511" s="3714"/>
      <c r="AC511" s="3714"/>
    </row>
    <row r="512" spans="1:29">
      <c r="A512" s="3714"/>
      <c r="B512" s="3714"/>
      <c r="C512" s="3714"/>
      <c r="D512" s="3714"/>
      <c r="E512" s="3714"/>
      <c r="F512" s="3714"/>
      <c r="G512" s="3714"/>
      <c r="H512" s="3714"/>
      <c r="I512" s="3714"/>
      <c r="J512" s="3714"/>
      <c r="K512" s="3715"/>
      <c r="L512" s="3716"/>
      <c r="M512" s="3714"/>
      <c r="N512" s="3714"/>
      <c r="O512" s="3714"/>
      <c r="P512" s="3756"/>
      <c r="Q512" s="3714"/>
      <c r="R512" s="3714"/>
      <c r="S512" s="3714"/>
      <c r="T512" s="3714"/>
      <c r="U512" s="3714"/>
      <c r="V512" s="3714"/>
      <c r="W512" s="3714"/>
      <c r="X512" s="3714"/>
      <c r="Y512" s="3714"/>
      <c r="Z512" s="3714"/>
      <c r="AA512" s="3714"/>
      <c r="AB512" s="3714"/>
      <c r="AC512" s="3714"/>
    </row>
    <row r="513" spans="1:29">
      <c r="A513" s="3714"/>
      <c r="B513" s="3714"/>
      <c r="C513" s="3714"/>
      <c r="D513" s="3714"/>
      <c r="E513" s="3714"/>
      <c r="F513" s="3714"/>
      <c r="G513" s="3714"/>
      <c r="H513" s="3714"/>
      <c r="I513" s="3714"/>
      <c r="J513" s="3714"/>
      <c r="K513" s="3715"/>
      <c r="L513" s="3716"/>
      <c r="M513" s="3714"/>
      <c r="N513" s="3714"/>
      <c r="O513" s="3714"/>
      <c r="P513" s="3756"/>
      <c r="Q513" s="3714"/>
      <c r="R513" s="3714"/>
      <c r="S513" s="3714"/>
      <c r="T513" s="3714"/>
      <c r="U513" s="3714"/>
      <c r="V513" s="3714"/>
      <c r="W513" s="3714"/>
      <c r="X513" s="3714"/>
      <c r="Y513" s="3714"/>
      <c r="Z513" s="3714"/>
      <c r="AA513" s="3714"/>
      <c r="AB513" s="3714"/>
      <c r="AC513" s="3714"/>
    </row>
    <row r="514" spans="1:29">
      <c r="A514" s="3714"/>
      <c r="B514" s="3714"/>
      <c r="C514" s="3714"/>
      <c r="D514" s="3714"/>
      <c r="E514" s="3714"/>
      <c r="F514" s="3714"/>
      <c r="G514" s="3714"/>
      <c r="H514" s="3714"/>
      <c r="I514" s="3714"/>
      <c r="J514" s="3714"/>
      <c r="K514" s="3715"/>
      <c r="L514" s="3716"/>
      <c r="M514" s="3714"/>
      <c r="N514" s="3714"/>
      <c r="O514" s="3714"/>
      <c r="P514" s="3756"/>
      <c r="Q514" s="3714"/>
      <c r="R514" s="3714"/>
      <c r="S514" s="3714"/>
      <c r="T514" s="3714"/>
      <c r="U514" s="3714"/>
      <c r="V514" s="3714"/>
      <c r="W514" s="3714"/>
      <c r="X514" s="3714"/>
      <c r="Y514" s="3714"/>
      <c r="Z514" s="3714"/>
      <c r="AA514" s="3714"/>
      <c r="AB514" s="3714"/>
      <c r="AC514" s="3714"/>
    </row>
    <row r="515" spans="1:29">
      <c r="A515" s="3714"/>
      <c r="B515" s="3714"/>
      <c r="C515" s="3714"/>
      <c r="D515" s="3714"/>
      <c r="E515" s="3714"/>
      <c r="F515" s="3714"/>
      <c r="G515" s="3714"/>
      <c r="H515" s="3714"/>
      <c r="I515" s="3714"/>
      <c r="J515" s="3714"/>
      <c r="K515" s="3715"/>
      <c r="L515" s="3716"/>
      <c r="M515" s="3714"/>
      <c r="N515" s="3714"/>
      <c r="O515" s="3714"/>
      <c r="P515" s="3756"/>
      <c r="Q515" s="3714"/>
      <c r="R515" s="3714"/>
      <c r="S515" s="3714"/>
      <c r="T515" s="3714"/>
      <c r="U515" s="3714"/>
      <c r="V515" s="3714"/>
      <c r="W515" s="3714"/>
      <c r="X515" s="3714"/>
      <c r="Y515" s="3714"/>
      <c r="Z515" s="3714"/>
      <c r="AA515" s="3714"/>
      <c r="AB515" s="3714"/>
      <c r="AC515" s="3714"/>
    </row>
    <row r="516" spans="1:29">
      <c r="A516" s="3714"/>
      <c r="B516" s="3714"/>
      <c r="C516" s="3714"/>
      <c r="D516" s="3714"/>
      <c r="E516" s="3714"/>
      <c r="F516" s="3714"/>
      <c r="G516" s="3714"/>
      <c r="H516" s="3714"/>
      <c r="I516" s="3714"/>
      <c r="J516" s="3714"/>
      <c r="K516" s="3715"/>
      <c r="L516" s="3716"/>
      <c r="M516" s="3714"/>
      <c r="N516" s="3714"/>
      <c r="O516" s="3714"/>
      <c r="P516" s="3756"/>
      <c r="Q516" s="3714"/>
      <c r="R516" s="3714"/>
      <c r="S516" s="3714"/>
      <c r="T516" s="3714"/>
      <c r="U516" s="3714"/>
      <c r="V516" s="3714"/>
      <c r="W516" s="3714"/>
      <c r="X516" s="3714"/>
      <c r="Y516" s="3714"/>
      <c r="Z516" s="3714"/>
      <c r="AA516" s="3714"/>
      <c r="AB516" s="3714"/>
      <c r="AC516" s="3714"/>
    </row>
    <row r="517" spans="1:29">
      <c r="A517" s="3714"/>
      <c r="B517" s="3714"/>
      <c r="C517" s="3714"/>
      <c r="D517" s="3714"/>
      <c r="E517" s="3714"/>
      <c r="F517" s="3714"/>
      <c r="G517" s="3714"/>
      <c r="H517" s="3714"/>
      <c r="I517" s="3714"/>
      <c r="J517" s="3714"/>
      <c r="K517" s="3715"/>
      <c r="L517" s="3716"/>
      <c r="M517" s="3714"/>
      <c r="N517" s="3714"/>
      <c r="O517" s="3714"/>
      <c r="P517" s="3756"/>
      <c r="Q517" s="3714"/>
      <c r="R517" s="3714"/>
      <c r="S517" s="3714"/>
      <c r="T517" s="3714"/>
      <c r="U517" s="3714"/>
      <c r="V517" s="3714"/>
      <c r="W517" s="3714"/>
      <c r="X517" s="3714"/>
      <c r="Y517" s="3714"/>
      <c r="Z517" s="3714"/>
      <c r="AA517" s="3714"/>
      <c r="AB517" s="3714"/>
      <c r="AC517" s="3714"/>
    </row>
    <row r="518" spans="1:29">
      <c r="A518" s="3714"/>
      <c r="B518" s="3714"/>
      <c r="C518" s="3714"/>
      <c r="D518" s="3714"/>
      <c r="E518" s="3714"/>
      <c r="F518" s="3714"/>
      <c r="G518" s="3714"/>
      <c r="H518" s="3714"/>
      <c r="I518" s="3714"/>
      <c r="J518" s="3714"/>
      <c r="K518" s="3715"/>
      <c r="L518" s="3716"/>
      <c r="M518" s="3714"/>
      <c r="N518" s="3714"/>
      <c r="O518" s="3714"/>
      <c r="P518" s="3756"/>
      <c r="Q518" s="3714"/>
      <c r="R518" s="3714"/>
      <c r="S518" s="3714"/>
      <c r="T518" s="3714"/>
      <c r="U518" s="3714"/>
      <c r="V518" s="3714"/>
      <c r="W518" s="3714"/>
      <c r="X518" s="3714"/>
      <c r="Y518" s="3714"/>
      <c r="Z518" s="3714"/>
      <c r="AA518" s="3714"/>
      <c r="AB518" s="3714"/>
      <c r="AC518" s="3714"/>
    </row>
    <row r="519" spans="1:29">
      <c r="A519" s="3714"/>
      <c r="B519" s="3714"/>
      <c r="C519" s="3714"/>
      <c r="D519" s="3714"/>
      <c r="E519" s="3714"/>
      <c r="F519" s="3714"/>
      <c r="G519" s="3714"/>
      <c r="H519" s="3714"/>
      <c r="I519" s="3714"/>
      <c r="J519" s="3714"/>
      <c r="K519" s="3715"/>
      <c r="L519" s="3716"/>
      <c r="M519" s="3714"/>
      <c r="N519" s="3714"/>
      <c r="O519" s="3714"/>
      <c r="P519" s="3756"/>
      <c r="Q519" s="3714"/>
      <c r="R519" s="3714"/>
      <c r="S519" s="3714"/>
      <c r="T519" s="3714"/>
      <c r="U519" s="3714"/>
      <c r="V519" s="3714"/>
      <c r="W519" s="3714"/>
      <c r="X519" s="3714"/>
      <c r="Y519" s="3714"/>
      <c r="Z519" s="3714"/>
      <c r="AA519" s="3714"/>
      <c r="AB519" s="3714"/>
      <c r="AC519" s="3714"/>
    </row>
    <row r="520" spans="1:29">
      <c r="A520" s="3714"/>
      <c r="B520" s="3714"/>
      <c r="C520" s="3714"/>
      <c r="D520" s="3714"/>
      <c r="E520" s="3714"/>
      <c r="F520" s="3714"/>
      <c r="G520" s="3714"/>
      <c r="H520" s="3714"/>
      <c r="I520" s="3714"/>
      <c r="J520" s="3714"/>
      <c r="K520" s="3715"/>
      <c r="L520" s="3716"/>
      <c r="M520" s="3714"/>
      <c r="N520" s="3714"/>
      <c r="O520" s="3714"/>
      <c r="P520" s="3756"/>
      <c r="Q520" s="3714"/>
      <c r="R520" s="3714"/>
      <c r="S520" s="3714"/>
      <c r="T520" s="3714"/>
      <c r="U520" s="3714"/>
      <c r="V520" s="3714"/>
      <c r="W520" s="3714"/>
      <c r="X520" s="3714"/>
      <c r="Y520" s="3714"/>
      <c r="Z520" s="3714"/>
      <c r="AA520" s="3714"/>
      <c r="AB520" s="3714"/>
      <c r="AC520" s="3714"/>
    </row>
    <row r="521" spans="1:29">
      <c r="A521" s="3714"/>
      <c r="B521" s="3714"/>
      <c r="C521" s="3714"/>
      <c r="D521" s="3714"/>
      <c r="E521" s="3714"/>
      <c r="F521" s="3714"/>
      <c r="G521" s="3714"/>
      <c r="H521" s="3714"/>
      <c r="I521" s="3714"/>
      <c r="J521" s="3714"/>
      <c r="K521" s="3715"/>
      <c r="L521" s="3716"/>
      <c r="M521" s="3714"/>
      <c r="N521" s="3714"/>
      <c r="O521" s="3714"/>
      <c r="P521" s="3756"/>
      <c r="Q521" s="3714"/>
      <c r="R521" s="3714"/>
      <c r="S521" s="3714"/>
      <c r="T521" s="3714"/>
      <c r="U521" s="3714"/>
      <c r="V521" s="3714"/>
      <c r="W521" s="3714"/>
      <c r="X521" s="3714"/>
      <c r="Y521" s="3714"/>
      <c r="Z521" s="3714"/>
      <c r="AA521" s="3714"/>
      <c r="AB521" s="3714"/>
      <c r="AC521" s="3714"/>
    </row>
    <row r="522" spans="1:29">
      <c r="A522" s="3714"/>
      <c r="B522" s="3714"/>
      <c r="C522" s="3714"/>
      <c r="D522" s="3714"/>
      <c r="E522" s="3714"/>
      <c r="F522" s="3714"/>
      <c r="G522" s="3714"/>
      <c r="H522" s="3714"/>
      <c r="I522" s="3714"/>
      <c r="J522" s="3714"/>
      <c r="K522" s="3715"/>
      <c r="L522" s="3716"/>
      <c r="M522" s="3714"/>
      <c r="N522" s="3714"/>
      <c r="O522" s="3714"/>
      <c r="P522" s="3756"/>
      <c r="Q522" s="3714"/>
      <c r="R522" s="3714"/>
      <c r="S522" s="3714"/>
      <c r="T522" s="3714"/>
      <c r="U522" s="3714"/>
      <c r="V522" s="3714"/>
      <c r="W522" s="3714"/>
      <c r="X522" s="3714"/>
      <c r="Y522" s="3714"/>
      <c r="Z522" s="3714"/>
      <c r="AA522" s="3714"/>
      <c r="AB522" s="3714"/>
      <c r="AC522" s="3714"/>
    </row>
    <row r="523" spans="1:29">
      <c r="A523" s="3714"/>
      <c r="B523" s="3714"/>
      <c r="C523" s="3714"/>
      <c r="D523" s="3714"/>
      <c r="E523" s="3714"/>
      <c r="F523" s="3714"/>
      <c r="G523" s="3714"/>
      <c r="H523" s="3714"/>
      <c r="I523" s="3714"/>
      <c r="J523" s="3714"/>
      <c r="K523" s="3715"/>
      <c r="L523" s="3716"/>
      <c r="M523" s="3714"/>
      <c r="N523" s="3714"/>
      <c r="O523" s="3714"/>
      <c r="P523" s="3756"/>
      <c r="Q523" s="3714"/>
      <c r="R523" s="3714"/>
      <c r="S523" s="3714"/>
      <c r="T523" s="3714"/>
      <c r="U523" s="3714"/>
      <c r="V523" s="3714"/>
      <c r="W523" s="3714"/>
      <c r="X523" s="3714"/>
      <c r="Y523" s="3714"/>
      <c r="Z523" s="3714"/>
      <c r="AA523" s="3714"/>
      <c r="AB523" s="3714"/>
      <c r="AC523" s="3714"/>
    </row>
    <row r="524" spans="1:29">
      <c r="A524" s="3714"/>
      <c r="B524" s="3714"/>
      <c r="C524" s="3714"/>
      <c r="D524" s="3714"/>
      <c r="E524" s="3714"/>
      <c r="F524" s="3714"/>
      <c r="G524" s="3714"/>
      <c r="H524" s="3714"/>
      <c r="I524" s="3714"/>
      <c r="J524" s="3714"/>
      <c r="K524" s="3715"/>
      <c r="L524" s="3716"/>
      <c r="M524" s="3714"/>
      <c r="N524" s="3714"/>
      <c r="O524" s="3714"/>
      <c r="P524" s="3756"/>
      <c r="Q524" s="3714"/>
      <c r="R524" s="3714"/>
      <c r="S524" s="3714"/>
      <c r="T524" s="3714"/>
      <c r="U524" s="3714"/>
      <c r="V524" s="3714"/>
      <c r="W524" s="3714"/>
      <c r="X524" s="3714"/>
      <c r="Y524" s="3714"/>
      <c r="Z524" s="3714"/>
      <c r="AA524" s="3714"/>
      <c r="AB524" s="3714"/>
      <c r="AC524" s="3714"/>
    </row>
    <row r="525" spans="1:29">
      <c r="A525" s="3714"/>
      <c r="B525" s="3714"/>
      <c r="C525" s="3714"/>
      <c r="D525" s="3714"/>
      <c r="E525" s="3714"/>
      <c r="F525" s="3714"/>
      <c r="G525" s="3714"/>
      <c r="H525" s="3714"/>
      <c r="I525" s="3714"/>
      <c r="J525" s="3714"/>
      <c r="K525" s="3715"/>
      <c r="L525" s="3716"/>
      <c r="M525" s="3714"/>
      <c r="N525" s="3714"/>
      <c r="O525" s="3714"/>
      <c r="P525" s="3756"/>
      <c r="Q525" s="3714"/>
      <c r="R525" s="3714"/>
      <c r="S525" s="3714"/>
      <c r="T525" s="3714"/>
      <c r="U525" s="3714"/>
      <c r="V525" s="3714"/>
      <c r="W525" s="3714"/>
      <c r="X525" s="3714"/>
      <c r="Y525" s="3714"/>
      <c r="Z525" s="3714"/>
      <c r="AA525" s="3714"/>
      <c r="AB525" s="3714"/>
      <c r="AC525" s="3714"/>
    </row>
    <row r="526" spans="1:29">
      <c r="A526" s="3714"/>
      <c r="B526" s="3714"/>
      <c r="C526" s="3714"/>
      <c r="D526" s="3714"/>
      <c r="E526" s="3714"/>
      <c r="F526" s="3714"/>
      <c r="G526" s="3714"/>
      <c r="H526" s="3714"/>
      <c r="I526" s="3714"/>
      <c r="J526" s="3714"/>
      <c r="K526" s="3715"/>
      <c r="L526" s="3716"/>
      <c r="M526" s="3714"/>
      <c r="N526" s="3714"/>
      <c r="O526" s="3714"/>
      <c r="P526" s="3756"/>
      <c r="Q526" s="3714"/>
      <c r="R526" s="3714"/>
      <c r="S526" s="3714"/>
      <c r="T526" s="3714"/>
      <c r="U526" s="3714"/>
      <c r="V526" s="3714"/>
      <c r="W526" s="3714"/>
      <c r="X526" s="3714"/>
      <c r="Y526" s="3714"/>
      <c r="Z526" s="3714"/>
      <c r="AA526" s="3714"/>
      <c r="AB526" s="3714"/>
      <c r="AC526" s="3714"/>
    </row>
    <row r="527" spans="1:29">
      <c r="A527" s="3714"/>
      <c r="B527" s="3714"/>
      <c r="C527" s="3714"/>
      <c r="D527" s="3714"/>
      <c r="E527" s="3714"/>
      <c r="F527" s="3714"/>
      <c r="G527" s="3714"/>
      <c r="H527" s="3714"/>
      <c r="I527" s="3714"/>
      <c r="J527" s="3714"/>
      <c r="K527" s="3715"/>
      <c r="L527" s="3716"/>
      <c r="M527" s="3714"/>
      <c r="N527" s="3714"/>
      <c r="O527" s="3714"/>
      <c r="P527" s="3756"/>
      <c r="Q527" s="3714"/>
      <c r="R527" s="3714"/>
      <c r="S527" s="3714"/>
      <c r="T527" s="3714"/>
      <c r="U527" s="3714"/>
      <c r="V527" s="3714"/>
      <c r="W527" s="3714"/>
      <c r="X527" s="3714"/>
      <c r="Y527" s="3714"/>
      <c r="Z527" s="3714"/>
      <c r="AA527" s="3714"/>
      <c r="AB527" s="3714"/>
      <c r="AC527" s="3714"/>
    </row>
    <row r="528" spans="1:29">
      <c r="A528" s="3714"/>
      <c r="B528" s="3714"/>
      <c r="C528" s="3714"/>
      <c r="D528" s="3714"/>
      <c r="E528" s="3714"/>
      <c r="F528" s="3714"/>
      <c r="G528" s="3714"/>
      <c r="H528" s="3714"/>
      <c r="I528" s="3714"/>
      <c r="J528" s="3714"/>
      <c r="K528" s="3715"/>
      <c r="L528" s="3716"/>
      <c r="M528" s="3714"/>
      <c r="N528" s="3714"/>
      <c r="O528" s="3714"/>
      <c r="P528" s="3756"/>
      <c r="Q528" s="3714"/>
      <c r="R528" s="3714"/>
      <c r="S528" s="3714"/>
      <c r="T528" s="3714"/>
      <c r="U528" s="3714"/>
      <c r="V528" s="3714"/>
      <c r="W528" s="3714"/>
      <c r="X528" s="3714"/>
      <c r="Y528" s="3714"/>
      <c r="Z528" s="3714"/>
      <c r="AA528" s="3714"/>
      <c r="AB528" s="3714"/>
      <c r="AC528" s="3714"/>
    </row>
    <row r="529" spans="1:29">
      <c r="A529" s="3714"/>
      <c r="B529" s="3714"/>
      <c r="C529" s="3714"/>
      <c r="D529" s="3714"/>
      <c r="E529" s="3714"/>
      <c r="F529" s="3714"/>
      <c r="G529" s="3714"/>
      <c r="H529" s="3714"/>
      <c r="I529" s="3714"/>
      <c r="J529" s="3714"/>
      <c r="K529" s="3715"/>
      <c r="L529" s="3716"/>
      <c r="M529" s="3714"/>
      <c r="N529" s="3714"/>
      <c r="O529" s="3714"/>
      <c r="P529" s="3756"/>
      <c r="Q529" s="3714"/>
      <c r="R529" s="3714"/>
      <c r="S529" s="3714"/>
      <c r="T529" s="3714"/>
      <c r="U529" s="3714"/>
      <c r="V529" s="3714"/>
      <c r="W529" s="3714"/>
      <c r="X529" s="3714"/>
      <c r="Y529" s="3714"/>
      <c r="Z529" s="3714"/>
      <c r="AA529" s="3714"/>
      <c r="AB529" s="3714"/>
      <c r="AC529" s="3714"/>
    </row>
    <row r="530" spans="1:29">
      <c r="A530" s="3714"/>
      <c r="B530" s="3714"/>
      <c r="C530" s="3714"/>
      <c r="D530" s="3714"/>
      <c r="E530" s="3714"/>
      <c r="F530" s="3714"/>
      <c r="G530" s="3714"/>
      <c r="H530" s="3714"/>
      <c r="I530" s="3714"/>
      <c r="J530" s="3714"/>
      <c r="K530" s="3715"/>
      <c r="L530" s="3716"/>
      <c r="M530" s="3714"/>
      <c r="N530" s="3714"/>
      <c r="O530" s="3714"/>
      <c r="P530" s="3756"/>
      <c r="Q530" s="3714"/>
      <c r="R530" s="3714"/>
      <c r="S530" s="3714"/>
      <c r="T530" s="3714"/>
      <c r="U530" s="3714"/>
      <c r="V530" s="3714"/>
      <c r="W530" s="3714"/>
      <c r="X530" s="3714"/>
      <c r="Y530" s="3714"/>
      <c r="Z530" s="3714"/>
      <c r="AA530" s="3714"/>
      <c r="AB530" s="3714"/>
      <c r="AC530" s="3714"/>
    </row>
    <row r="531" spans="1:29">
      <c r="A531" s="3714"/>
      <c r="B531" s="3714"/>
      <c r="C531" s="3714"/>
      <c r="D531" s="3714"/>
      <c r="E531" s="3714"/>
      <c r="F531" s="3714"/>
      <c r="G531" s="3714"/>
      <c r="H531" s="3714"/>
      <c r="I531" s="3714"/>
      <c r="J531" s="3714"/>
      <c r="K531" s="3715"/>
      <c r="L531" s="3716"/>
      <c r="M531" s="3714"/>
      <c r="N531" s="3714"/>
      <c r="O531" s="3714"/>
      <c r="P531" s="3756"/>
      <c r="Q531" s="3714"/>
      <c r="R531" s="3714"/>
      <c r="S531" s="3714"/>
      <c r="T531" s="3714"/>
      <c r="U531" s="3714"/>
      <c r="V531" s="3714"/>
      <c r="W531" s="3714"/>
      <c r="X531" s="3714"/>
      <c r="Y531" s="3714"/>
      <c r="Z531" s="3714"/>
      <c r="AA531" s="3714"/>
      <c r="AB531" s="3714"/>
      <c r="AC531" s="3714"/>
    </row>
    <row r="532" spans="1:29">
      <c r="A532" s="3714"/>
      <c r="B532" s="3714"/>
      <c r="C532" s="3714"/>
      <c r="D532" s="3714"/>
      <c r="E532" s="3714"/>
      <c r="F532" s="3714"/>
      <c r="G532" s="3714"/>
      <c r="H532" s="3714"/>
      <c r="I532" s="3714"/>
      <c r="J532" s="3714"/>
      <c r="K532" s="3715"/>
      <c r="L532" s="3716"/>
      <c r="M532" s="3714"/>
      <c r="N532" s="3714"/>
      <c r="O532" s="3714"/>
      <c r="P532" s="3756"/>
      <c r="Q532" s="3714"/>
      <c r="R532" s="3714"/>
      <c r="S532" s="3714"/>
      <c r="T532" s="3714"/>
      <c r="U532" s="3714"/>
      <c r="V532" s="3714"/>
      <c r="W532" s="3714"/>
      <c r="X532" s="3714"/>
      <c r="Y532" s="3714"/>
      <c r="Z532" s="3714"/>
      <c r="AA532" s="3714"/>
      <c r="AB532" s="3714"/>
      <c r="AC532" s="3714"/>
    </row>
    <row r="533" spans="1:29">
      <c r="A533" s="3714"/>
      <c r="B533" s="3714"/>
      <c r="C533" s="3714"/>
      <c r="D533" s="3714"/>
      <c r="E533" s="3714"/>
      <c r="F533" s="3714"/>
      <c r="G533" s="3714"/>
      <c r="H533" s="3714"/>
      <c r="I533" s="3714"/>
      <c r="J533" s="3714"/>
      <c r="K533" s="3715"/>
      <c r="L533" s="3716"/>
      <c r="M533" s="3714"/>
      <c r="N533" s="3714"/>
      <c r="O533" s="3714"/>
      <c r="P533" s="3756"/>
      <c r="Q533" s="3714"/>
      <c r="R533" s="3714"/>
      <c r="S533" s="3714"/>
      <c r="T533" s="3714"/>
      <c r="U533" s="3714"/>
      <c r="V533" s="3714"/>
      <c r="W533" s="3714"/>
      <c r="X533" s="3714"/>
      <c r="Y533" s="3714"/>
      <c r="Z533" s="3714"/>
      <c r="AA533" s="3714"/>
      <c r="AB533" s="3714"/>
      <c r="AC533" s="3714"/>
    </row>
    <row r="534" spans="1:29">
      <c r="A534" s="3714"/>
      <c r="B534" s="3714"/>
      <c r="C534" s="3714"/>
      <c r="D534" s="3714"/>
      <c r="E534" s="3714"/>
      <c r="F534" s="3714"/>
      <c r="G534" s="3714"/>
      <c r="H534" s="3714"/>
      <c r="I534" s="3714"/>
      <c r="J534" s="3714"/>
      <c r="K534" s="3715"/>
      <c r="L534" s="3716"/>
      <c r="M534" s="3714"/>
      <c r="N534" s="3714"/>
      <c r="O534" s="3714"/>
      <c r="P534" s="3756"/>
      <c r="Q534" s="3714"/>
      <c r="R534" s="3714"/>
      <c r="S534" s="3714"/>
      <c r="T534" s="3714"/>
      <c r="U534" s="3714"/>
      <c r="V534" s="3714"/>
      <c r="W534" s="3714"/>
      <c r="X534" s="3714"/>
      <c r="Y534" s="3714"/>
      <c r="Z534" s="3714"/>
      <c r="AA534" s="3714"/>
      <c r="AB534" s="3714"/>
      <c r="AC534" s="3714"/>
    </row>
    <row r="535" spans="1:29">
      <c r="A535" s="3714"/>
      <c r="B535" s="3714"/>
      <c r="C535" s="3714"/>
      <c r="D535" s="3714"/>
      <c r="E535" s="3714"/>
      <c r="F535" s="3714"/>
      <c r="G535" s="3714"/>
      <c r="H535" s="3714"/>
      <c r="I535" s="3714"/>
      <c r="J535" s="3714"/>
      <c r="K535" s="3715"/>
      <c r="L535" s="3716"/>
      <c r="M535" s="3714"/>
      <c r="N535" s="3714"/>
      <c r="O535" s="3714"/>
      <c r="P535" s="3756"/>
      <c r="Q535" s="3714"/>
      <c r="R535" s="3714"/>
      <c r="S535" s="3714"/>
      <c r="T535" s="3714"/>
      <c r="U535" s="3714"/>
      <c r="V535" s="3714"/>
      <c r="W535" s="3714"/>
      <c r="X535" s="3714"/>
      <c r="Y535" s="3714"/>
      <c r="Z535" s="3714"/>
      <c r="AA535" s="3714"/>
      <c r="AB535" s="3714"/>
      <c r="AC535" s="3714"/>
    </row>
    <row r="536" spans="1:29">
      <c r="A536" s="3714"/>
      <c r="B536" s="3714"/>
      <c r="C536" s="3714"/>
      <c r="D536" s="3714"/>
      <c r="E536" s="3714"/>
      <c r="F536" s="3714"/>
      <c r="G536" s="3714"/>
      <c r="H536" s="3714"/>
      <c r="I536" s="3714"/>
      <c r="J536" s="3714"/>
      <c r="K536" s="3715"/>
      <c r="L536" s="3716"/>
      <c r="M536" s="3714"/>
      <c r="N536" s="3714"/>
      <c r="O536" s="3714"/>
      <c r="P536" s="3756"/>
      <c r="Q536" s="3714"/>
      <c r="R536" s="3714"/>
      <c r="S536" s="3714"/>
      <c r="T536" s="3714"/>
      <c r="U536" s="3714"/>
      <c r="V536" s="3714"/>
      <c r="W536" s="3714"/>
      <c r="X536" s="3714"/>
      <c r="Y536" s="3714"/>
      <c r="Z536" s="3714"/>
      <c r="AA536" s="3714"/>
      <c r="AB536" s="3714"/>
      <c r="AC536" s="3714"/>
    </row>
    <row r="537" spans="1:29">
      <c r="A537" s="3714"/>
      <c r="B537" s="3714"/>
      <c r="C537" s="3714"/>
      <c r="D537" s="3714"/>
      <c r="E537" s="3714"/>
      <c r="F537" s="3714"/>
      <c r="G537" s="3714"/>
      <c r="H537" s="3714"/>
      <c r="I537" s="3714"/>
      <c r="J537" s="3714"/>
      <c r="K537" s="3715"/>
      <c r="L537" s="3716"/>
      <c r="M537" s="3714"/>
      <c r="N537" s="3714"/>
      <c r="O537" s="3714"/>
      <c r="P537" s="3756"/>
      <c r="Q537" s="3714"/>
      <c r="R537" s="3714"/>
      <c r="S537" s="3714"/>
      <c r="T537" s="3714"/>
      <c r="U537" s="3714"/>
      <c r="V537" s="3714"/>
      <c r="W537" s="3714"/>
      <c r="X537" s="3714"/>
      <c r="Y537" s="3714"/>
      <c r="Z537" s="3714"/>
      <c r="AA537" s="3714"/>
      <c r="AB537" s="3714"/>
      <c r="AC537" s="3714"/>
    </row>
    <row r="538" spans="1:29">
      <c r="A538" s="3714"/>
      <c r="B538" s="3714"/>
      <c r="C538" s="3714"/>
      <c r="D538" s="3714"/>
      <c r="E538" s="3714"/>
      <c r="F538" s="3714"/>
      <c r="G538" s="3714"/>
      <c r="H538" s="3714"/>
      <c r="I538" s="3714"/>
      <c r="J538" s="3714"/>
      <c r="K538" s="3715"/>
      <c r="L538" s="3716"/>
      <c r="M538" s="3714"/>
      <c r="N538" s="3714"/>
      <c r="O538" s="3714"/>
      <c r="P538" s="3756"/>
      <c r="Q538" s="3714"/>
      <c r="R538" s="3714"/>
      <c r="S538" s="3714"/>
      <c r="T538" s="3714"/>
      <c r="U538" s="3714"/>
      <c r="V538" s="3714"/>
      <c r="W538" s="3714"/>
      <c r="X538" s="3714"/>
      <c r="Y538" s="3714"/>
      <c r="Z538" s="3714"/>
      <c r="AA538" s="3714"/>
      <c r="AB538" s="3714"/>
      <c r="AC538" s="3714"/>
    </row>
    <row r="539" spans="1:29">
      <c r="A539" s="3714"/>
      <c r="B539" s="3714"/>
      <c r="C539" s="3714"/>
      <c r="D539" s="3714"/>
      <c r="E539" s="3714"/>
      <c r="F539" s="3714"/>
      <c r="G539" s="3714"/>
      <c r="H539" s="3714"/>
      <c r="I539" s="3714"/>
      <c r="J539" s="3714"/>
      <c r="K539" s="3715"/>
      <c r="L539" s="3716"/>
      <c r="M539" s="3714"/>
      <c r="N539" s="3714"/>
      <c r="O539" s="3714"/>
      <c r="P539" s="3756"/>
      <c r="Q539" s="3714"/>
      <c r="R539" s="3714"/>
      <c r="S539" s="3714"/>
      <c r="T539" s="3714"/>
      <c r="U539" s="3714"/>
      <c r="V539" s="3714"/>
      <c r="W539" s="3714"/>
      <c r="X539" s="3714"/>
      <c r="Y539" s="3714"/>
      <c r="Z539" s="3714"/>
      <c r="AA539" s="3714"/>
      <c r="AB539" s="3714"/>
      <c r="AC539" s="3714"/>
    </row>
    <row r="540" spans="1:29">
      <c r="A540" s="3714"/>
      <c r="B540" s="3714"/>
      <c r="C540" s="3714"/>
      <c r="D540" s="3714"/>
      <c r="E540" s="3714"/>
      <c r="F540" s="3714"/>
      <c r="G540" s="3714"/>
      <c r="H540" s="3714"/>
      <c r="I540" s="3714"/>
      <c r="J540" s="3714"/>
      <c r="K540" s="3715"/>
      <c r="L540" s="3716"/>
      <c r="M540" s="3714"/>
      <c r="N540" s="3714"/>
      <c r="O540" s="3714"/>
      <c r="P540" s="3756"/>
      <c r="Q540" s="3714"/>
      <c r="R540" s="3714"/>
      <c r="S540" s="3714"/>
      <c r="T540" s="3714"/>
      <c r="U540" s="3714"/>
      <c r="V540" s="3714"/>
      <c r="W540" s="3714"/>
      <c r="X540" s="3714"/>
      <c r="Y540" s="3714"/>
      <c r="Z540" s="3714"/>
      <c r="AA540" s="3714"/>
      <c r="AB540" s="3714"/>
      <c r="AC540" s="3714"/>
    </row>
    <row r="541" spans="1:29">
      <c r="A541" s="3714"/>
      <c r="B541" s="3714"/>
      <c r="C541" s="3714"/>
      <c r="D541" s="3714"/>
      <c r="E541" s="3714"/>
      <c r="F541" s="3714"/>
      <c r="G541" s="3714"/>
      <c r="H541" s="3714"/>
      <c r="I541" s="3714"/>
      <c r="J541" s="3714"/>
      <c r="K541" s="3715"/>
      <c r="L541" s="3716"/>
      <c r="M541" s="3714"/>
      <c r="N541" s="3714"/>
      <c r="O541" s="3714"/>
      <c r="P541" s="3756"/>
      <c r="Q541" s="3714"/>
      <c r="R541" s="3714"/>
      <c r="S541" s="3714"/>
      <c r="T541" s="3714"/>
      <c r="U541" s="3714"/>
      <c r="V541" s="3714"/>
      <c r="W541" s="3714"/>
      <c r="X541" s="3714"/>
      <c r="Y541" s="3714"/>
      <c r="Z541" s="3714"/>
      <c r="AA541" s="3714"/>
      <c r="AB541" s="3714"/>
      <c r="AC541" s="3714"/>
    </row>
    <row r="542" spans="1:29">
      <c r="A542" s="3714"/>
      <c r="B542" s="3714"/>
      <c r="C542" s="3714"/>
      <c r="D542" s="3714"/>
      <c r="E542" s="3714"/>
      <c r="F542" s="3714"/>
      <c r="G542" s="3714"/>
      <c r="H542" s="3714"/>
      <c r="I542" s="3714"/>
      <c r="J542" s="3714"/>
      <c r="K542" s="3715"/>
      <c r="L542" s="3716"/>
      <c r="M542" s="3714"/>
      <c r="N542" s="3714"/>
      <c r="O542" s="3714"/>
      <c r="P542" s="3756"/>
      <c r="Q542" s="3714"/>
      <c r="R542" s="3714"/>
      <c r="S542" s="3714"/>
      <c r="T542" s="3714"/>
      <c r="U542" s="3714"/>
      <c r="V542" s="3714"/>
      <c r="W542" s="3714"/>
      <c r="X542" s="3714"/>
      <c r="Y542" s="3714"/>
      <c r="Z542" s="3714"/>
      <c r="AA542" s="3714"/>
      <c r="AB542" s="3714"/>
      <c r="AC542" s="3714"/>
    </row>
    <row r="543" spans="1:29">
      <c r="A543" s="3714"/>
      <c r="B543" s="3714"/>
      <c r="C543" s="3714"/>
      <c r="D543" s="3714"/>
      <c r="E543" s="3714"/>
      <c r="F543" s="3714"/>
      <c r="G543" s="3714"/>
      <c r="H543" s="3714"/>
      <c r="I543" s="3714"/>
      <c r="J543" s="3714"/>
      <c r="K543" s="3715"/>
      <c r="L543" s="3716"/>
      <c r="M543" s="3714"/>
      <c r="N543" s="3714"/>
      <c r="O543" s="3714"/>
      <c r="P543" s="3756"/>
      <c r="Q543" s="3714"/>
      <c r="R543" s="3714"/>
      <c r="S543" s="3714"/>
      <c r="T543" s="3714"/>
      <c r="U543" s="3714"/>
      <c r="V543" s="3714"/>
      <c r="W543" s="3714"/>
      <c r="X543" s="3714"/>
      <c r="Y543" s="3714"/>
      <c r="Z543" s="3714"/>
      <c r="AA543" s="3714"/>
      <c r="AB543" s="3714"/>
      <c r="AC543" s="3714"/>
    </row>
    <row r="544" spans="1:29">
      <c r="A544" s="3714"/>
      <c r="B544" s="3714"/>
      <c r="C544" s="3714"/>
      <c r="D544" s="3714"/>
      <c r="E544" s="3714"/>
      <c r="F544" s="3714"/>
      <c r="G544" s="3714"/>
      <c r="H544" s="3714"/>
      <c r="I544" s="3714"/>
      <c r="J544" s="3714"/>
      <c r="K544" s="3715"/>
      <c r="L544" s="3716"/>
      <c r="M544" s="3714"/>
      <c r="N544" s="3714"/>
      <c r="O544" s="3714"/>
      <c r="P544" s="3756"/>
      <c r="Q544" s="3714"/>
      <c r="R544" s="3714"/>
      <c r="S544" s="3714"/>
      <c r="T544" s="3714"/>
      <c r="U544" s="3714"/>
      <c r="V544" s="3714"/>
      <c r="W544" s="3714"/>
      <c r="X544" s="3714"/>
      <c r="Y544" s="3714"/>
      <c r="Z544" s="3714"/>
      <c r="AA544" s="3714"/>
      <c r="AB544" s="3714"/>
      <c r="AC544" s="3714"/>
    </row>
    <row r="545" spans="1:29">
      <c r="A545" s="3714"/>
      <c r="B545" s="3714"/>
      <c r="C545" s="3714"/>
      <c r="D545" s="3714"/>
      <c r="E545" s="3714"/>
      <c r="F545" s="3714"/>
      <c r="G545" s="3714"/>
      <c r="H545" s="3714"/>
      <c r="I545" s="3714"/>
      <c r="J545" s="3714"/>
      <c r="K545" s="3715"/>
      <c r="L545" s="3716"/>
      <c r="M545" s="3714"/>
      <c r="N545" s="3714"/>
      <c r="O545" s="3714"/>
      <c r="P545" s="3756"/>
      <c r="Q545" s="3714"/>
      <c r="R545" s="3714"/>
      <c r="S545" s="3714"/>
      <c r="T545" s="3714"/>
      <c r="U545" s="3714"/>
      <c r="V545" s="3714"/>
      <c r="W545" s="3714"/>
      <c r="X545" s="3714"/>
      <c r="Y545" s="3714"/>
      <c r="Z545" s="3714"/>
      <c r="AA545" s="3714"/>
      <c r="AB545" s="3714"/>
      <c r="AC545" s="3714"/>
    </row>
    <row r="546" spans="1:29">
      <c r="A546" s="3714"/>
      <c r="B546" s="3714"/>
      <c r="C546" s="3714"/>
      <c r="D546" s="3714"/>
      <c r="E546" s="3714"/>
      <c r="F546" s="3714"/>
      <c r="G546" s="3714"/>
      <c r="H546" s="3714"/>
      <c r="I546" s="3714"/>
      <c r="J546" s="3714"/>
      <c r="K546" s="3715"/>
      <c r="L546" s="3716"/>
      <c r="M546" s="3714"/>
      <c r="N546" s="3714"/>
      <c r="O546" s="3714"/>
      <c r="P546" s="3756"/>
      <c r="Q546" s="3714"/>
      <c r="R546" s="3714"/>
      <c r="S546" s="3714"/>
      <c r="T546" s="3714"/>
      <c r="U546" s="3714"/>
      <c r="V546" s="3714"/>
      <c r="W546" s="3714"/>
      <c r="X546" s="3714"/>
      <c r="Y546" s="3714"/>
      <c r="Z546" s="3714"/>
      <c r="AA546" s="3714"/>
      <c r="AB546" s="3714"/>
      <c r="AC546" s="3714"/>
    </row>
    <row r="547" spans="1:29">
      <c r="A547" s="3714"/>
      <c r="B547" s="3714"/>
      <c r="C547" s="3714"/>
      <c r="D547" s="3714"/>
      <c r="E547" s="3714"/>
      <c r="F547" s="3714"/>
      <c r="G547" s="3714"/>
      <c r="H547" s="3714"/>
      <c r="I547" s="3714"/>
      <c r="J547" s="3714"/>
      <c r="K547" s="3715"/>
      <c r="L547" s="3716"/>
      <c r="M547" s="3714"/>
      <c r="N547" s="3714"/>
      <c r="O547" s="3714"/>
      <c r="P547" s="3756"/>
      <c r="Q547" s="3714"/>
      <c r="R547" s="3714"/>
      <c r="S547" s="3714"/>
      <c r="T547" s="3714"/>
      <c r="U547" s="3714"/>
      <c r="V547" s="3714"/>
      <c r="W547" s="3714"/>
      <c r="X547" s="3714"/>
      <c r="Y547" s="3714"/>
      <c r="Z547" s="3714"/>
      <c r="AA547" s="3714"/>
      <c r="AB547" s="3714"/>
      <c r="AC547" s="3714"/>
    </row>
    <row r="548" spans="1:29">
      <c r="A548" s="3714"/>
      <c r="B548" s="3714"/>
      <c r="C548" s="3714"/>
      <c r="D548" s="3714"/>
      <c r="E548" s="3714"/>
      <c r="F548" s="3714"/>
      <c r="G548" s="3714"/>
      <c r="H548" s="3714"/>
      <c r="I548" s="3714"/>
      <c r="J548" s="3714"/>
      <c r="K548" s="3715"/>
      <c r="L548" s="3716"/>
      <c r="M548" s="3714"/>
      <c r="N548" s="3714"/>
      <c r="O548" s="3714"/>
      <c r="P548" s="3756"/>
      <c r="Q548" s="3714"/>
      <c r="R548" s="3714"/>
      <c r="S548" s="3714"/>
      <c r="T548" s="3714"/>
      <c r="U548" s="3714"/>
      <c r="V548" s="3714"/>
      <c r="W548" s="3714"/>
      <c r="X548" s="3714"/>
      <c r="Y548" s="3714"/>
      <c r="Z548" s="3714"/>
      <c r="AA548" s="3714"/>
      <c r="AB548" s="3714"/>
      <c r="AC548" s="3714"/>
    </row>
    <row r="549" spans="1:29">
      <c r="A549" s="3714"/>
      <c r="B549" s="3714"/>
      <c r="C549" s="3714"/>
      <c r="D549" s="3714"/>
      <c r="E549" s="3714"/>
      <c r="F549" s="3714"/>
      <c r="G549" s="3714"/>
      <c r="H549" s="3714"/>
      <c r="I549" s="3714"/>
      <c r="J549" s="3714"/>
      <c r="K549" s="3715"/>
      <c r="L549" s="3716"/>
      <c r="M549" s="3714"/>
      <c r="N549" s="3714"/>
      <c r="O549" s="3714"/>
      <c r="P549" s="3756"/>
      <c r="Q549" s="3714"/>
      <c r="R549" s="3714"/>
      <c r="S549" s="3714"/>
      <c r="T549" s="3714"/>
      <c r="U549" s="3714"/>
      <c r="V549" s="3714"/>
      <c r="W549" s="3714"/>
      <c r="X549" s="3714"/>
      <c r="Y549" s="3714"/>
      <c r="Z549" s="3714"/>
      <c r="AA549" s="3714"/>
      <c r="AB549" s="3714"/>
      <c r="AC549" s="3714"/>
    </row>
    <row r="550" spans="1:29">
      <c r="A550" s="3714"/>
      <c r="B550" s="3714"/>
      <c r="C550" s="3714"/>
      <c r="D550" s="3714"/>
      <c r="E550" s="3714"/>
      <c r="F550" s="3714"/>
      <c r="G550" s="3714"/>
      <c r="H550" s="3714"/>
      <c r="I550" s="3714"/>
      <c r="J550" s="3714"/>
      <c r="K550" s="3715"/>
      <c r="L550" s="3716"/>
      <c r="M550" s="3714"/>
      <c r="N550" s="3714"/>
      <c r="O550" s="3714"/>
      <c r="P550" s="3756"/>
      <c r="Q550" s="3714"/>
      <c r="R550" s="3714"/>
      <c r="S550" s="3714"/>
      <c r="T550" s="3714"/>
      <c r="U550" s="3714"/>
      <c r="V550" s="3714"/>
      <c r="W550" s="3714"/>
      <c r="X550" s="3714"/>
      <c r="Y550" s="3714"/>
      <c r="Z550" s="3714"/>
      <c r="AA550" s="3714"/>
      <c r="AB550" s="3714"/>
      <c r="AC550" s="3714"/>
    </row>
    <row r="551" spans="1:29">
      <c r="A551" s="3714"/>
      <c r="B551" s="3714"/>
      <c r="C551" s="3714"/>
      <c r="D551" s="3714"/>
      <c r="E551" s="3714"/>
      <c r="F551" s="3714"/>
      <c r="G551" s="3714"/>
      <c r="H551" s="3714"/>
      <c r="I551" s="3714"/>
      <c r="J551" s="3714"/>
      <c r="K551" s="3715"/>
      <c r="L551" s="3716"/>
      <c r="M551" s="3714"/>
      <c r="N551" s="3714"/>
      <c r="O551" s="3714"/>
      <c r="P551" s="3756"/>
      <c r="Q551" s="3714"/>
      <c r="R551" s="3714"/>
      <c r="S551" s="3714"/>
      <c r="T551" s="3714"/>
      <c r="U551" s="3714"/>
      <c r="V551" s="3714"/>
      <c r="W551" s="3714"/>
      <c r="X551" s="3714"/>
      <c r="Y551" s="3714"/>
      <c r="Z551" s="3714"/>
      <c r="AA551" s="3714"/>
      <c r="AB551" s="3714"/>
      <c r="AC551" s="3714"/>
    </row>
    <row r="552" spans="1:29">
      <c r="A552" s="3714"/>
      <c r="B552" s="3714"/>
      <c r="C552" s="3714"/>
      <c r="D552" s="3714"/>
      <c r="E552" s="3714"/>
      <c r="F552" s="3714"/>
      <c r="G552" s="3714"/>
      <c r="H552" s="3714"/>
      <c r="I552" s="3714"/>
      <c r="J552" s="3714"/>
      <c r="K552" s="3715"/>
      <c r="L552" s="3716"/>
      <c r="M552" s="3714"/>
      <c r="N552" s="3714"/>
      <c r="O552" s="3714"/>
      <c r="P552" s="3756"/>
      <c r="Q552" s="3714"/>
      <c r="R552" s="3714"/>
      <c r="S552" s="3714"/>
      <c r="T552" s="3714"/>
      <c r="U552" s="3714"/>
      <c r="V552" s="3714"/>
      <c r="W552" s="3714"/>
      <c r="X552" s="3714"/>
      <c r="Y552" s="3714"/>
      <c r="Z552" s="3714"/>
      <c r="AA552" s="3714"/>
      <c r="AB552" s="3714"/>
      <c r="AC552" s="3714"/>
    </row>
    <row r="553" spans="1:29">
      <c r="A553" s="3714"/>
      <c r="B553" s="3714"/>
      <c r="C553" s="3714"/>
      <c r="D553" s="3714"/>
      <c r="E553" s="3714"/>
      <c r="F553" s="3714"/>
      <c r="G553" s="3714"/>
      <c r="H553" s="3714"/>
      <c r="I553" s="3714"/>
      <c r="J553" s="3714"/>
      <c r="K553" s="3715"/>
      <c r="L553" s="3716"/>
      <c r="M553" s="3714"/>
      <c r="N553" s="3714"/>
      <c r="O553" s="3714"/>
      <c r="P553" s="3756"/>
      <c r="Q553" s="3714"/>
      <c r="R553" s="3714"/>
      <c r="S553" s="3714"/>
      <c r="T553" s="3714"/>
      <c r="U553" s="3714"/>
      <c r="V553" s="3714"/>
      <c r="W553" s="3714"/>
      <c r="X553" s="3714"/>
      <c r="Y553" s="3714"/>
      <c r="Z553" s="3714"/>
      <c r="AA553" s="3714"/>
      <c r="AB553" s="3714"/>
      <c r="AC553" s="3714"/>
    </row>
    <row r="554" spans="1:29">
      <c r="A554" s="3714"/>
      <c r="B554" s="3714"/>
      <c r="C554" s="3714"/>
      <c r="D554" s="3714"/>
      <c r="E554" s="3714"/>
      <c r="F554" s="3714"/>
      <c r="G554" s="3714"/>
      <c r="H554" s="3714"/>
      <c r="I554" s="3714"/>
      <c r="J554" s="3714"/>
      <c r="K554" s="3715"/>
      <c r="L554" s="3716"/>
      <c r="M554" s="3714"/>
      <c r="N554" s="3714"/>
      <c r="O554" s="3714"/>
      <c r="P554" s="3756"/>
      <c r="Q554" s="3714"/>
      <c r="R554" s="3714"/>
      <c r="S554" s="3714"/>
      <c r="T554" s="3714"/>
      <c r="U554" s="3714"/>
      <c r="V554" s="3714"/>
      <c r="W554" s="3714"/>
      <c r="X554" s="3714"/>
      <c r="Y554" s="3714"/>
      <c r="Z554" s="3714"/>
      <c r="AA554" s="3714"/>
      <c r="AB554" s="3714"/>
      <c r="AC554" s="3714"/>
    </row>
    <row r="555" spans="1:29">
      <c r="A555" s="3714"/>
      <c r="B555" s="3714"/>
      <c r="C555" s="3714"/>
      <c r="D555" s="3714"/>
      <c r="E555" s="3714"/>
      <c r="F555" s="3714"/>
      <c r="G555" s="3714"/>
      <c r="H555" s="3714"/>
      <c r="I555" s="3714"/>
      <c r="J555" s="3714"/>
      <c r="K555" s="3715"/>
      <c r="L555" s="3716"/>
      <c r="M555" s="3714"/>
      <c r="N555" s="3714"/>
      <c r="O555" s="3714"/>
      <c r="P555" s="3756"/>
      <c r="Q555" s="3714"/>
      <c r="R555" s="3714"/>
      <c r="S555" s="3714"/>
      <c r="T555" s="3714"/>
      <c r="U555" s="3714"/>
      <c r="V555" s="3714"/>
      <c r="W555" s="3714"/>
      <c r="X555" s="3714"/>
      <c r="Y555" s="3714"/>
      <c r="Z555" s="3714"/>
      <c r="AA555" s="3714"/>
      <c r="AB555" s="3714"/>
      <c r="AC555" s="3714"/>
    </row>
    <row r="556" spans="1:29">
      <c r="A556" s="3714"/>
      <c r="B556" s="3714"/>
      <c r="C556" s="3714"/>
      <c r="D556" s="3714"/>
      <c r="E556" s="3714"/>
      <c r="F556" s="3714"/>
      <c r="G556" s="3714"/>
      <c r="H556" s="3714"/>
      <c r="I556" s="3714"/>
      <c r="J556" s="3714"/>
      <c r="K556" s="3715"/>
      <c r="L556" s="3716"/>
      <c r="M556" s="3714"/>
      <c r="N556" s="3714"/>
      <c r="O556" s="3714"/>
      <c r="P556" s="3756"/>
      <c r="Q556" s="3714"/>
      <c r="R556" s="3714"/>
      <c r="S556" s="3714"/>
      <c r="T556" s="3714"/>
      <c r="U556" s="3714"/>
      <c r="V556" s="3714"/>
      <c r="W556" s="3714"/>
      <c r="X556" s="3714"/>
      <c r="Y556" s="3714"/>
      <c r="Z556" s="3714"/>
      <c r="AA556" s="3714"/>
      <c r="AB556" s="3714"/>
      <c r="AC556" s="3714"/>
    </row>
    <row r="557" spans="1:29">
      <c r="A557" s="3714"/>
      <c r="B557" s="3714"/>
      <c r="C557" s="3714"/>
      <c r="D557" s="3714"/>
      <c r="E557" s="3714"/>
      <c r="F557" s="3714"/>
      <c r="G557" s="3714"/>
      <c r="H557" s="3714"/>
      <c r="I557" s="3714"/>
      <c r="J557" s="3714"/>
      <c r="K557" s="3715"/>
      <c r="L557" s="3716"/>
      <c r="M557" s="3714"/>
      <c r="N557" s="3714"/>
      <c r="O557" s="3714"/>
      <c r="P557" s="3756"/>
      <c r="Q557" s="3714"/>
      <c r="R557" s="3714"/>
      <c r="S557" s="3714"/>
      <c r="T557" s="3714"/>
      <c r="U557" s="3714"/>
      <c r="V557" s="3714"/>
      <c r="W557" s="3714"/>
      <c r="X557" s="3714"/>
      <c r="Y557" s="3714"/>
      <c r="Z557" s="3714"/>
      <c r="AA557" s="3714"/>
      <c r="AB557" s="3714"/>
      <c r="AC557" s="3714"/>
    </row>
    <row r="558" spans="1:29">
      <c r="A558" s="3714"/>
      <c r="B558" s="3714"/>
      <c r="C558" s="3714"/>
      <c r="D558" s="3714"/>
      <c r="E558" s="3714"/>
      <c r="F558" s="3714"/>
      <c r="G558" s="3714"/>
      <c r="H558" s="3714"/>
      <c r="I558" s="3714"/>
      <c r="J558" s="3714"/>
      <c r="K558" s="3715"/>
      <c r="L558" s="3716"/>
      <c r="M558" s="3714"/>
      <c r="N558" s="3714"/>
      <c r="O558" s="3714"/>
      <c r="P558" s="3756"/>
      <c r="Q558" s="3714"/>
      <c r="R558" s="3714"/>
      <c r="S558" s="3714"/>
      <c r="T558" s="3714"/>
      <c r="U558" s="3714"/>
      <c r="V558" s="3714"/>
      <c r="W558" s="3714"/>
      <c r="X558" s="3714"/>
      <c r="Y558" s="3714"/>
      <c r="Z558" s="3714"/>
      <c r="AA558" s="3714"/>
      <c r="AB558" s="3714"/>
      <c r="AC558" s="3714"/>
    </row>
    <row r="559" spans="1:29">
      <c r="A559" s="3714"/>
      <c r="B559" s="3714"/>
      <c r="C559" s="3714"/>
      <c r="D559" s="3714"/>
      <c r="E559" s="3714"/>
      <c r="F559" s="3714"/>
      <c r="G559" s="3714"/>
      <c r="H559" s="3714"/>
      <c r="I559" s="3714"/>
      <c r="J559" s="3714"/>
      <c r="K559" s="3715"/>
      <c r="L559" s="3716"/>
      <c r="M559" s="3714"/>
      <c r="N559" s="3714"/>
      <c r="O559" s="3714"/>
      <c r="P559" s="3756"/>
      <c r="Q559" s="3714"/>
      <c r="R559" s="3714"/>
      <c r="S559" s="3714"/>
      <c r="T559" s="3714"/>
      <c r="U559" s="3714"/>
      <c r="V559" s="3714"/>
      <c r="W559" s="3714"/>
      <c r="X559" s="3714"/>
      <c r="Y559" s="3714"/>
      <c r="Z559" s="3714"/>
      <c r="AA559" s="3714"/>
      <c r="AB559" s="3714"/>
      <c r="AC559" s="3714"/>
    </row>
    <row r="560" spans="1:29">
      <c r="A560" s="3714"/>
      <c r="B560" s="3714"/>
      <c r="C560" s="3714"/>
      <c r="D560" s="3714"/>
      <c r="E560" s="3714"/>
      <c r="F560" s="3714"/>
      <c r="G560" s="3714"/>
      <c r="H560" s="3714"/>
      <c r="I560" s="3714"/>
      <c r="J560" s="3714"/>
      <c r="K560" s="3715"/>
      <c r="L560" s="3716"/>
      <c r="M560" s="3714"/>
      <c r="N560" s="3714"/>
      <c r="O560" s="3714"/>
      <c r="P560" s="3756"/>
      <c r="Q560" s="3714"/>
      <c r="R560" s="3714"/>
      <c r="S560" s="3714"/>
      <c r="T560" s="3714"/>
      <c r="U560" s="3714"/>
      <c r="V560" s="3714"/>
      <c r="W560" s="3714"/>
      <c r="X560" s="3714"/>
      <c r="Y560" s="3714"/>
      <c r="Z560" s="3714"/>
      <c r="AA560" s="3714"/>
      <c r="AB560" s="3714"/>
      <c r="AC560" s="3714"/>
    </row>
    <row r="561" spans="1:29">
      <c r="A561" s="3714"/>
      <c r="B561" s="3714"/>
      <c r="C561" s="3714"/>
      <c r="D561" s="3714"/>
      <c r="E561" s="3714"/>
      <c r="F561" s="3714"/>
      <c r="G561" s="3714"/>
      <c r="H561" s="3714"/>
      <c r="I561" s="3714"/>
      <c r="J561" s="3714"/>
      <c r="K561" s="3715"/>
      <c r="L561" s="3716"/>
      <c r="M561" s="3714"/>
      <c r="N561" s="3714"/>
      <c r="O561" s="3714"/>
      <c r="P561" s="3756"/>
      <c r="Q561" s="3714"/>
      <c r="R561" s="3714"/>
      <c r="S561" s="3714"/>
      <c r="T561" s="3714"/>
      <c r="U561" s="3714"/>
      <c r="V561" s="3714"/>
      <c r="W561" s="3714"/>
      <c r="X561" s="3714"/>
      <c r="Y561" s="3714"/>
      <c r="Z561" s="3714"/>
      <c r="AA561" s="3714"/>
      <c r="AB561" s="3714"/>
      <c r="AC561" s="3714"/>
    </row>
    <row r="562" spans="1:29">
      <c r="A562" s="3714"/>
      <c r="B562" s="3714"/>
      <c r="C562" s="3714"/>
      <c r="D562" s="3714"/>
      <c r="E562" s="3714"/>
      <c r="F562" s="3714"/>
      <c r="G562" s="3714"/>
      <c r="H562" s="3714"/>
      <c r="I562" s="3714"/>
      <c r="J562" s="3714"/>
      <c r="K562" s="3715"/>
      <c r="L562" s="3716"/>
      <c r="M562" s="3714"/>
      <c r="N562" s="3714"/>
      <c r="O562" s="3714"/>
      <c r="P562" s="3756"/>
      <c r="Q562" s="3714"/>
      <c r="R562" s="3714"/>
      <c r="S562" s="3714"/>
      <c r="T562" s="3714"/>
      <c r="U562" s="3714"/>
      <c r="V562" s="3714"/>
      <c r="W562" s="3714"/>
      <c r="X562" s="3714"/>
      <c r="Y562" s="3714"/>
      <c r="Z562" s="3714"/>
      <c r="AA562" s="3714"/>
      <c r="AB562" s="3714"/>
      <c r="AC562" s="3714"/>
    </row>
    <row r="563" spans="1:29">
      <c r="A563" s="3714"/>
      <c r="B563" s="3714"/>
      <c r="C563" s="3714"/>
      <c r="D563" s="3714"/>
      <c r="E563" s="3714"/>
      <c r="F563" s="3714"/>
      <c r="G563" s="3714"/>
      <c r="H563" s="3714"/>
      <c r="I563" s="3714"/>
      <c r="J563" s="3714"/>
      <c r="K563" s="3715"/>
      <c r="L563" s="3716"/>
      <c r="M563" s="3714"/>
      <c r="N563" s="3714"/>
      <c r="O563" s="3714"/>
      <c r="P563" s="3756"/>
      <c r="Q563" s="3714"/>
      <c r="R563" s="3714"/>
      <c r="S563" s="3714"/>
      <c r="T563" s="3714"/>
      <c r="U563" s="3714"/>
      <c r="V563" s="3714"/>
      <c r="W563" s="3714"/>
      <c r="X563" s="3714"/>
      <c r="Y563" s="3714"/>
      <c r="Z563" s="3714"/>
      <c r="AA563" s="3714"/>
      <c r="AB563" s="3714"/>
      <c r="AC563" s="3714"/>
    </row>
    <row r="564" spans="1:29">
      <c r="A564" s="3714"/>
      <c r="B564" s="3714"/>
      <c r="C564" s="3714"/>
      <c r="D564" s="3714"/>
      <c r="E564" s="3714"/>
      <c r="F564" s="3714"/>
      <c r="G564" s="3714"/>
      <c r="H564" s="3714"/>
      <c r="I564" s="3714"/>
      <c r="J564" s="3714"/>
      <c r="K564" s="3715"/>
      <c r="L564" s="3716"/>
      <c r="M564" s="3714"/>
      <c r="N564" s="3714"/>
      <c r="O564" s="3714"/>
      <c r="P564" s="3756"/>
      <c r="Q564" s="3714"/>
      <c r="R564" s="3714"/>
      <c r="S564" s="3714"/>
      <c r="T564" s="3714"/>
      <c r="U564" s="3714"/>
      <c r="V564" s="3714"/>
      <c r="W564" s="3714"/>
      <c r="X564" s="3714"/>
      <c r="Y564" s="3714"/>
      <c r="Z564" s="3714"/>
      <c r="AA564" s="3714"/>
      <c r="AB564" s="3714"/>
      <c r="AC564" s="3714"/>
    </row>
    <row r="565" spans="1:29">
      <c r="A565" s="3714"/>
      <c r="B565" s="3714"/>
      <c r="C565" s="3714"/>
      <c r="D565" s="3714"/>
      <c r="E565" s="3714"/>
      <c r="F565" s="3714"/>
      <c r="G565" s="3714"/>
      <c r="H565" s="3714"/>
      <c r="I565" s="3714"/>
      <c r="J565" s="3714"/>
      <c r="K565" s="3715"/>
      <c r="L565" s="3716"/>
      <c r="M565" s="3714"/>
      <c r="N565" s="3714"/>
      <c r="O565" s="3714"/>
      <c r="P565" s="3756"/>
      <c r="Q565" s="3714"/>
      <c r="R565" s="3714"/>
      <c r="S565" s="3714"/>
      <c r="T565" s="3714"/>
      <c r="U565" s="3714"/>
      <c r="V565" s="3714"/>
      <c r="W565" s="3714"/>
      <c r="X565" s="3714"/>
      <c r="Y565" s="3714"/>
      <c r="Z565" s="3714"/>
      <c r="AA565" s="3714"/>
      <c r="AB565" s="3714"/>
      <c r="AC565" s="3714"/>
    </row>
    <row r="566" spans="1:29">
      <c r="A566" s="3714"/>
      <c r="B566" s="3714"/>
      <c r="C566" s="3714"/>
      <c r="D566" s="3714"/>
      <c r="E566" s="3714"/>
      <c r="F566" s="3714"/>
      <c r="G566" s="3714"/>
      <c r="H566" s="3714"/>
      <c r="I566" s="3714"/>
      <c r="J566" s="3714"/>
      <c r="K566" s="3715"/>
      <c r="L566" s="3716"/>
      <c r="M566" s="3714"/>
      <c r="N566" s="3714"/>
      <c r="O566" s="3714"/>
      <c r="P566" s="3756"/>
      <c r="Q566" s="3714"/>
      <c r="R566" s="3714"/>
      <c r="S566" s="3714"/>
      <c r="T566" s="3714"/>
      <c r="U566" s="3714"/>
      <c r="V566" s="3714"/>
      <c r="W566" s="3714"/>
      <c r="X566" s="3714"/>
      <c r="Y566" s="3714"/>
      <c r="Z566" s="3714"/>
      <c r="AA566" s="3714"/>
      <c r="AB566" s="3714"/>
      <c r="AC566" s="3714"/>
    </row>
    <row r="567" spans="1:29">
      <c r="A567" s="3714"/>
      <c r="B567" s="3714"/>
      <c r="C567" s="3714"/>
      <c r="D567" s="3714"/>
      <c r="E567" s="3714"/>
      <c r="F567" s="3714"/>
      <c r="G567" s="3714"/>
      <c r="H567" s="3714"/>
      <c r="I567" s="3714"/>
      <c r="J567" s="3714"/>
      <c r="K567" s="3715"/>
      <c r="L567" s="3716"/>
      <c r="M567" s="3714"/>
      <c r="N567" s="3714"/>
      <c r="O567" s="3714"/>
      <c r="P567" s="3756"/>
      <c r="Q567" s="3714"/>
      <c r="R567" s="3714"/>
      <c r="S567" s="3714"/>
      <c r="T567" s="3714"/>
      <c r="U567" s="3714"/>
      <c r="V567" s="3714"/>
      <c r="W567" s="3714"/>
      <c r="X567" s="3714"/>
      <c r="Y567" s="3714"/>
      <c r="Z567" s="3714"/>
      <c r="AA567" s="3714"/>
      <c r="AB567" s="3714"/>
      <c r="AC567" s="3714"/>
    </row>
    <row r="568" spans="1:29">
      <c r="A568" s="3714"/>
      <c r="B568" s="3714"/>
      <c r="C568" s="3714"/>
      <c r="D568" s="3714"/>
      <c r="E568" s="3714"/>
      <c r="F568" s="3714"/>
      <c r="G568" s="3714"/>
      <c r="H568" s="3714"/>
      <c r="I568" s="3714"/>
      <c r="J568" s="3714"/>
      <c r="K568" s="3715"/>
      <c r="L568" s="3716"/>
      <c r="M568" s="3714"/>
      <c r="N568" s="3714"/>
      <c r="O568" s="3714"/>
      <c r="P568" s="3756"/>
      <c r="Q568" s="3714"/>
      <c r="R568" s="3714"/>
      <c r="S568" s="3714"/>
      <c r="T568" s="3714"/>
      <c r="U568" s="3714"/>
      <c r="V568" s="3714"/>
      <c r="W568" s="3714"/>
      <c r="X568" s="3714"/>
      <c r="Y568" s="3714"/>
      <c r="Z568" s="3714"/>
      <c r="AA568" s="3714"/>
      <c r="AB568" s="3714"/>
      <c r="AC568" s="3714"/>
    </row>
    <row r="569" spans="1:29">
      <c r="A569" s="3714"/>
      <c r="B569" s="3714"/>
      <c r="C569" s="3714"/>
      <c r="D569" s="3714"/>
      <c r="E569" s="3714"/>
      <c r="F569" s="3714"/>
      <c r="G569" s="3714"/>
      <c r="H569" s="3714"/>
      <c r="I569" s="3714"/>
      <c r="J569" s="3714"/>
      <c r="K569" s="3715"/>
      <c r="L569" s="3716"/>
      <c r="M569" s="3714"/>
      <c r="N569" s="3714"/>
      <c r="O569" s="3714"/>
      <c r="P569" s="3756"/>
      <c r="Q569" s="3714"/>
      <c r="R569" s="3714"/>
      <c r="S569" s="3714"/>
      <c r="T569" s="3714"/>
      <c r="U569" s="3714"/>
      <c r="V569" s="3714"/>
      <c r="W569" s="3714"/>
      <c r="X569" s="3714"/>
      <c r="Y569" s="3714"/>
      <c r="Z569" s="3714"/>
      <c r="AA569" s="3714"/>
      <c r="AB569" s="3714"/>
      <c r="AC569" s="3714"/>
    </row>
    <row r="570" spans="1:29">
      <c r="A570" s="3714"/>
      <c r="B570" s="3714"/>
      <c r="C570" s="3714"/>
      <c r="D570" s="3714"/>
      <c r="E570" s="3714"/>
      <c r="F570" s="3714"/>
      <c r="G570" s="3714"/>
      <c r="H570" s="3714"/>
      <c r="I570" s="3714"/>
      <c r="J570" s="3714"/>
      <c r="K570" s="3715"/>
      <c r="L570" s="3716"/>
      <c r="M570" s="3714"/>
      <c r="N570" s="3714"/>
      <c r="O570" s="3714"/>
      <c r="P570" s="3756"/>
      <c r="Q570" s="3714"/>
      <c r="R570" s="3714"/>
      <c r="S570" s="3714"/>
      <c r="T570" s="3714"/>
      <c r="U570" s="3714"/>
      <c r="V570" s="3714"/>
      <c r="W570" s="3714"/>
      <c r="X570" s="3714"/>
      <c r="Y570" s="3714"/>
      <c r="Z570" s="3714"/>
      <c r="AA570" s="3714"/>
      <c r="AB570" s="3714"/>
      <c r="AC570" s="3714"/>
    </row>
    <row r="571" spans="1:29">
      <c r="A571" s="3714"/>
      <c r="B571" s="3714"/>
      <c r="C571" s="3714"/>
      <c r="D571" s="3714"/>
      <c r="E571" s="3714"/>
      <c r="F571" s="3714"/>
      <c r="G571" s="3714"/>
      <c r="H571" s="3714"/>
      <c r="I571" s="3714"/>
      <c r="J571" s="3714"/>
      <c r="K571" s="3715"/>
      <c r="L571" s="3716"/>
      <c r="M571" s="3714"/>
      <c r="N571" s="3714"/>
      <c r="O571" s="3714"/>
      <c r="P571" s="3756"/>
      <c r="Q571" s="3714"/>
      <c r="R571" s="3714"/>
      <c r="S571" s="3714"/>
      <c r="T571" s="3714"/>
      <c r="U571" s="3714"/>
      <c r="V571" s="3714"/>
      <c r="W571" s="3714"/>
      <c r="X571" s="3714"/>
      <c r="Y571" s="3714"/>
      <c r="Z571" s="3714"/>
      <c r="AA571" s="3714"/>
      <c r="AB571" s="3714"/>
      <c r="AC571" s="3714"/>
    </row>
    <row r="572" spans="1:29">
      <c r="A572" s="3714"/>
      <c r="B572" s="3714"/>
      <c r="C572" s="3714"/>
      <c r="D572" s="3714"/>
      <c r="E572" s="3714"/>
      <c r="F572" s="3714"/>
      <c r="G572" s="3714"/>
      <c r="H572" s="3714"/>
      <c r="I572" s="3714"/>
      <c r="J572" s="3714"/>
      <c r="K572" s="3715"/>
      <c r="L572" s="3716"/>
      <c r="M572" s="3714"/>
      <c r="N572" s="3714"/>
      <c r="O572" s="3714"/>
      <c r="P572" s="3756"/>
      <c r="Q572" s="3714"/>
      <c r="R572" s="3714"/>
      <c r="S572" s="3714"/>
      <c r="T572" s="3714"/>
      <c r="U572" s="3714"/>
      <c r="V572" s="3714"/>
      <c r="W572" s="3714"/>
      <c r="X572" s="3714"/>
      <c r="Y572" s="3714"/>
      <c r="Z572" s="3714"/>
      <c r="AA572" s="3714"/>
      <c r="AB572" s="3714"/>
      <c r="AC572" s="3714"/>
    </row>
    <row r="573" spans="1:29">
      <c r="A573" s="3714"/>
      <c r="B573" s="3714"/>
      <c r="C573" s="3714"/>
      <c r="D573" s="3714"/>
      <c r="E573" s="3714"/>
      <c r="F573" s="3714"/>
      <c r="G573" s="3714"/>
      <c r="H573" s="3714"/>
      <c r="I573" s="3714"/>
      <c r="J573" s="3714"/>
      <c r="K573" s="3715"/>
      <c r="L573" s="3716"/>
      <c r="M573" s="3714"/>
      <c r="N573" s="3714"/>
      <c r="O573" s="3714"/>
      <c r="P573" s="3756"/>
      <c r="Q573" s="3714"/>
      <c r="R573" s="3714"/>
      <c r="S573" s="3714"/>
      <c r="T573" s="3714"/>
      <c r="U573" s="3714"/>
      <c r="V573" s="3714"/>
      <c r="W573" s="3714"/>
      <c r="X573" s="3714"/>
      <c r="Y573" s="3714"/>
      <c r="Z573" s="3714"/>
      <c r="AA573" s="3714"/>
      <c r="AB573" s="3714"/>
      <c r="AC573" s="3714"/>
    </row>
    <row r="574" spans="1:29">
      <c r="A574" s="3714"/>
      <c r="B574" s="3714"/>
      <c r="C574" s="3714"/>
      <c r="D574" s="3714"/>
      <c r="E574" s="3714"/>
      <c r="F574" s="3714"/>
      <c r="G574" s="3714"/>
      <c r="H574" s="3714"/>
      <c r="I574" s="3714"/>
      <c r="J574" s="3714"/>
      <c r="K574" s="3715"/>
      <c r="L574" s="3716"/>
      <c r="M574" s="3714"/>
      <c r="N574" s="3714"/>
      <c r="O574" s="3714"/>
      <c r="P574" s="3756"/>
      <c r="Q574" s="3714"/>
      <c r="R574" s="3714"/>
      <c r="S574" s="3714"/>
      <c r="T574" s="3714"/>
      <c r="U574" s="3714"/>
      <c r="V574" s="3714"/>
      <c r="W574" s="3714"/>
      <c r="X574" s="3714"/>
      <c r="Y574" s="3714"/>
      <c r="Z574" s="3714"/>
      <c r="AA574" s="3714"/>
      <c r="AB574" s="3714"/>
      <c r="AC574" s="3714"/>
    </row>
    <row r="575" spans="1:29">
      <c r="A575" s="3714"/>
      <c r="B575" s="3714"/>
      <c r="C575" s="3714"/>
      <c r="D575" s="3714"/>
      <c r="E575" s="3714"/>
      <c r="F575" s="3714"/>
      <c r="G575" s="3714"/>
      <c r="H575" s="3714"/>
      <c r="I575" s="3714"/>
      <c r="J575" s="3714"/>
      <c r="K575" s="3715"/>
      <c r="L575" s="3716"/>
      <c r="M575" s="3714"/>
      <c r="N575" s="3714"/>
      <c r="O575" s="3714"/>
      <c r="P575" s="3756"/>
      <c r="Q575" s="3714"/>
      <c r="R575" s="3714"/>
      <c r="S575" s="3714"/>
      <c r="T575" s="3714"/>
      <c r="U575" s="3714"/>
      <c r="V575" s="3714"/>
      <c r="W575" s="3714"/>
      <c r="X575" s="3714"/>
      <c r="Y575" s="3714"/>
      <c r="Z575" s="3714"/>
      <c r="AA575" s="3714"/>
      <c r="AB575" s="3714"/>
      <c r="AC575" s="3714"/>
    </row>
    <row r="576" spans="1:29">
      <c r="A576" s="3714"/>
      <c r="B576" s="3714"/>
      <c r="C576" s="3714"/>
      <c r="D576" s="3714"/>
      <c r="E576" s="3714"/>
      <c r="F576" s="3714"/>
      <c r="G576" s="3714"/>
      <c r="H576" s="3714"/>
      <c r="I576" s="3714"/>
      <c r="J576" s="3714"/>
      <c r="K576" s="3715"/>
      <c r="L576" s="3716"/>
      <c r="M576" s="3714"/>
      <c r="N576" s="3714"/>
      <c r="O576" s="3714"/>
      <c r="P576" s="3756"/>
      <c r="Q576" s="3714"/>
      <c r="R576" s="3714"/>
      <c r="S576" s="3714"/>
      <c r="T576" s="3714"/>
      <c r="U576" s="3714"/>
      <c r="V576" s="3714"/>
      <c r="W576" s="3714"/>
      <c r="X576" s="3714"/>
      <c r="Y576" s="3714"/>
      <c r="Z576" s="3714"/>
      <c r="AA576" s="3714"/>
      <c r="AB576" s="3714"/>
      <c r="AC576" s="3714"/>
    </row>
    <row r="577" spans="1:29">
      <c r="A577" s="3714"/>
      <c r="B577" s="3714"/>
      <c r="C577" s="3714"/>
      <c r="D577" s="3714"/>
      <c r="E577" s="3714"/>
      <c r="F577" s="3714"/>
      <c r="G577" s="3714"/>
      <c r="H577" s="3714"/>
      <c r="I577" s="3714"/>
      <c r="J577" s="3714"/>
      <c r="K577" s="3715"/>
      <c r="L577" s="3716"/>
      <c r="M577" s="3714"/>
      <c r="N577" s="3714"/>
      <c r="O577" s="3714"/>
      <c r="P577" s="3756"/>
      <c r="Q577" s="3714"/>
      <c r="R577" s="3714"/>
      <c r="S577" s="3714"/>
      <c r="T577" s="3714"/>
      <c r="U577" s="3714"/>
      <c r="V577" s="3714"/>
      <c r="W577" s="3714"/>
      <c r="X577" s="3714"/>
      <c r="Y577" s="3714"/>
      <c r="Z577" s="3714"/>
      <c r="AA577" s="3714"/>
      <c r="AB577" s="3714"/>
      <c r="AC577" s="3714"/>
    </row>
    <row r="578" spans="1:29">
      <c r="A578" s="3714"/>
      <c r="B578" s="3714"/>
      <c r="C578" s="3714"/>
      <c r="D578" s="3714"/>
      <c r="E578" s="3714"/>
      <c r="F578" s="3714"/>
      <c r="G578" s="3714"/>
      <c r="H578" s="3714"/>
      <c r="I578" s="3714"/>
      <c r="J578" s="3714"/>
      <c r="K578" s="3715"/>
      <c r="L578" s="3716"/>
      <c r="M578" s="3714"/>
      <c r="N578" s="3714"/>
      <c r="O578" s="3714"/>
      <c r="P578" s="3756"/>
      <c r="Q578" s="3714"/>
      <c r="R578" s="3714"/>
      <c r="S578" s="3714"/>
      <c r="T578" s="3714"/>
      <c r="U578" s="3714"/>
      <c r="V578" s="3714"/>
      <c r="W578" s="3714"/>
      <c r="X578" s="3714"/>
      <c r="Y578" s="3714"/>
      <c r="Z578" s="3714"/>
      <c r="AA578" s="3714"/>
      <c r="AB578" s="3714"/>
      <c r="AC578" s="3714"/>
    </row>
    <row r="579" spans="1:29">
      <c r="A579" s="3714"/>
      <c r="B579" s="3714"/>
      <c r="C579" s="3714"/>
      <c r="D579" s="3714"/>
      <c r="E579" s="3714"/>
      <c r="F579" s="3714"/>
      <c r="G579" s="3714"/>
      <c r="H579" s="3714"/>
      <c r="I579" s="3714"/>
      <c r="J579" s="3714"/>
      <c r="K579" s="3715"/>
      <c r="L579" s="3716"/>
      <c r="M579" s="3714"/>
      <c r="N579" s="3714"/>
      <c r="O579" s="3714"/>
      <c r="P579" s="3756"/>
      <c r="Q579" s="3714"/>
      <c r="R579" s="3714"/>
      <c r="S579" s="3714"/>
      <c r="T579" s="3714"/>
      <c r="U579" s="3714"/>
      <c r="V579" s="3714"/>
      <c r="W579" s="3714"/>
      <c r="X579" s="3714"/>
      <c r="Y579" s="3714"/>
      <c r="Z579" s="3714"/>
      <c r="AA579" s="3714"/>
      <c r="AB579" s="3714"/>
      <c r="AC579" s="3714"/>
    </row>
    <row r="580" spans="1:29">
      <c r="A580" s="3714"/>
      <c r="B580" s="3714"/>
      <c r="C580" s="3714"/>
      <c r="D580" s="3714"/>
      <c r="E580" s="3714"/>
      <c r="F580" s="3714"/>
      <c r="G580" s="3714"/>
      <c r="H580" s="3714"/>
      <c r="I580" s="3714"/>
      <c r="J580" s="3714"/>
      <c r="K580" s="3715"/>
      <c r="L580" s="3716"/>
      <c r="M580" s="3714"/>
      <c r="N580" s="3714"/>
      <c r="O580" s="3714"/>
      <c r="P580" s="3756"/>
      <c r="Q580" s="3714"/>
      <c r="R580" s="3714"/>
      <c r="S580" s="3714"/>
      <c r="T580" s="3714"/>
      <c r="U580" s="3714"/>
      <c r="V580" s="3714"/>
      <c r="W580" s="3714"/>
      <c r="X580" s="3714"/>
      <c r="Y580" s="3714"/>
      <c r="Z580" s="3714"/>
      <c r="AA580" s="3714"/>
      <c r="AB580" s="3714"/>
      <c r="AC580" s="3714"/>
    </row>
    <row r="581" spans="1:29">
      <c r="A581" s="3714"/>
      <c r="B581" s="3714"/>
      <c r="C581" s="3714"/>
      <c r="D581" s="3714"/>
      <c r="E581" s="3714"/>
      <c r="F581" s="3714"/>
      <c r="G581" s="3714"/>
      <c r="H581" s="3714"/>
      <c r="I581" s="3714"/>
      <c r="J581" s="3714"/>
      <c r="K581" s="3715"/>
      <c r="L581" s="3716"/>
      <c r="M581" s="3714"/>
      <c r="N581" s="3714"/>
      <c r="O581" s="3714"/>
      <c r="P581" s="3756"/>
      <c r="Q581" s="3714"/>
      <c r="R581" s="3714"/>
      <c r="S581" s="3714"/>
      <c r="T581" s="3714"/>
      <c r="U581" s="3714"/>
      <c r="V581" s="3714"/>
      <c r="W581" s="3714"/>
      <c r="X581" s="3714"/>
      <c r="Y581" s="3714"/>
      <c r="Z581" s="3714"/>
      <c r="AA581" s="3714"/>
      <c r="AB581" s="3714"/>
      <c r="AC581" s="3714"/>
    </row>
    <row r="582" spans="1:29">
      <c r="A582" s="3714"/>
      <c r="B582" s="3714"/>
      <c r="C582" s="3714"/>
      <c r="D582" s="3714"/>
      <c r="E582" s="3714"/>
      <c r="F582" s="3714"/>
      <c r="G582" s="3714"/>
      <c r="H582" s="3714"/>
      <c r="I582" s="3714"/>
      <c r="J582" s="3714"/>
      <c r="K582" s="3715"/>
      <c r="L582" s="3716"/>
      <c r="M582" s="3714"/>
      <c r="N582" s="3714"/>
      <c r="O582" s="3714"/>
      <c r="P582" s="3756"/>
      <c r="Q582" s="3714"/>
      <c r="R582" s="3714"/>
      <c r="S582" s="3714"/>
      <c r="T582" s="3714"/>
      <c r="U582" s="3714"/>
      <c r="V582" s="3714"/>
      <c r="W582" s="3714"/>
      <c r="X582" s="3714"/>
      <c r="Y582" s="3714"/>
      <c r="Z582" s="3714"/>
      <c r="AA582" s="3714"/>
      <c r="AB582" s="3714"/>
      <c r="AC582" s="3714"/>
    </row>
    <row r="583" spans="1:29">
      <c r="A583" s="3714"/>
      <c r="B583" s="3714"/>
      <c r="C583" s="3714"/>
      <c r="D583" s="3714"/>
      <c r="E583" s="3714"/>
      <c r="F583" s="3714"/>
      <c r="G583" s="3714"/>
      <c r="H583" s="3714"/>
      <c r="I583" s="3714"/>
      <c r="J583" s="3714"/>
      <c r="K583" s="3715"/>
      <c r="L583" s="3716"/>
      <c r="M583" s="3714"/>
      <c r="N583" s="3714"/>
      <c r="O583" s="3714"/>
      <c r="P583" s="3756"/>
      <c r="Q583" s="3714"/>
      <c r="R583" s="3714"/>
      <c r="S583" s="3714"/>
      <c r="T583" s="3714"/>
      <c r="U583" s="3714"/>
      <c r="V583" s="3714"/>
      <c r="W583" s="3714"/>
      <c r="X583" s="3714"/>
      <c r="Y583" s="3714"/>
      <c r="Z583" s="3714"/>
      <c r="AA583" s="3714"/>
      <c r="AB583" s="3714"/>
      <c r="AC583" s="3714"/>
    </row>
    <row r="584" spans="1:29">
      <c r="A584" s="3714"/>
      <c r="B584" s="3714"/>
      <c r="C584" s="3714"/>
      <c r="D584" s="3714"/>
      <c r="E584" s="3714"/>
      <c r="F584" s="3714"/>
      <c r="G584" s="3714"/>
      <c r="H584" s="3714"/>
      <c r="I584" s="3714"/>
      <c r="J584" s="3714"/>
      <c r="K584" s="3715"/>
      <c r="L584" s="3716"/>
      <c r="M584" s="3714"/>
      <c r="N584" s="3714"/>
      <c r="O584" s="3714"/>
      <c r="P584" s="3756"/>
      <c r="Q584" s="3714"/>
      <c r="R584" s="3714"/>
      <c r="S584" s="3714"/>
      <c r="T584" s="3714"/>
      <c r="U584" s="3714"/>
      <c r="V584" s="3714"/>
      <c r="W584" s="3714"/>
      <c r="X584" s="3714"/>
      <c r="Y584" s="3714"/>
      <c r="Z584" s="3714"/>
      <c r="AA584" s="3714"/>
      <c r="AB584" s="3714"/>
      <c r="AC584" s="3714"/>
    </row>
    <row r="585" spans="1:29">
      <c r="A585" s="3714"/>
      <c r="B585" s="3714"/>
      <c r="C585" s="3714"/>
      <c r="D585" s="3714"/>
      <c r="E585" s="3714"/>
      <c r="F585" s="3714"/>
      <c r="G585" s="3714"/>
      <c r="H585" s="3714"/>
      <c r="I585" s="3714"/>
      <c r="J585" s="3714"/>
      <c r="K585" s="3715"/>
      <c r="L585" s="3716"/>
      <c r="M585" s="3714"/>
      <c r="N585" s="3714"/>
      <c r="O585" s="3714"/>
      <c r="P585" s="3756"/>
      <c r="Q585" s="3714"/>
      <c r="R585" s="3714"/>
      <c r="S585" s="3714"/>
      <c r="T585" s="3714"/>
      <c r="U585" s="3714"/>
      <c r="V585" s="3714"/>
      <c r="W585" s="3714"/>
      <c r="X585" s="3714"/>
      <c r="Y585" s="3714"/>
      <c r="Z585" s="3714"/>
      <c r="AA585" s="3714"/>
      <c r="AB585" s="3714"/>
      <c r="AC585" s="3714"/>
    </row>
    <row r="586" spans="1:29">
      <c r="A586" s="3714"/>
      <c r="B586" s="3714"/>
      <c r="C586" s="3714"/>
      <c r="D586" s="3714"/>
      <c r="E586" s="3714"/>
      <c r="F586" s="3714"/>
      <c r="G586" s="3714"/>
      <c r="H586" s="3714"/>
      <c r="I586" s="3714"/>
      <c r="J586" s="3714"/>
      <c r="K586" s="3715"/>
      <c r="L586" s="3716"/>
      <c r="M586" s="3714"/>
      <c r="N586" s="3714"/>
      <c r="O586" s="3714"/>
      <c r="P586" s="3756"/>
      <c r="Q586" s="3714"/>
      <c r="R586" s="3714"/>
      <c r="S586" s="3714"/>
      <c r="T586" s="3714"/>
      <c r="U586" s="3714"/>
      <c r="V586" s="3714"/>
      <c r="W586" s="3714"/>
      <c r="X586" s="3714"/>
      <c r="Y586" s="3714"/>
      <c r="Z586" s="3714"/>
      <c r="AA586" s="3714"/>
      <c r="AB586" s="3714"/>
      <c r="AC586" s="3714"/>
    </row>
    <row r="587" spans="1:29">
      <c r="A587" s="3714"/>
      <c r="B587" s="3714"/>
      <c r="C587" s="3714"/>
      <c r="D587" s="3714"/>
      <c r="E587" s="3714"/>
      <c r="F587" s="3714"/>
      <c r="G587" s="3714"/>
      <c r="H587" s="3714"/>
      <c r="I587" s="3714"/>
      <c r="J587" s="3714"/>
      <c r="K587" s="3715"/>
      <c r="L587" s="3716"/>
      <c r="M587" s="3714"/>
      <c r="N587" s="3714"/>
      <c r="O587" s="3714"/>
      <c r="P587" s="3756"/>
      <c r="Q587" s="3714"/>
      <c r="R587" s="3714"/>
      <c r="S587" s="3714"/>
      <c r="T587" s="3714"/>
      <c r="U587" s="3714"/>
      <c r="V587" s="3714"/>
      <c r="W587" s="3714"/>
      <c r="X587" s="3714"/>
      <c r="Y587" s="3714"/>
      <c r="Z587" s="3714"/>
      <c r="AA587" s="3714"/>
      <c r="AB587" s="3714"/>
      <c r="AC587" s="3714"/>
    </row>
    <row r="588" spans="1:29">
      <c r="A588" s="3714"/>
      <c r="B588" s="3714"/>
      <c r="C588" s="3714"/>
      <c r="D588" s="3714"/>
      <c r="E588" s="3714"/>
      <c r="F588" s="3714"/>
      <c r="G588" s="3714"/>
      <c r="H588" s="3714"/>
      <c r="I588" s="3714"/>
      <c r="J588" s="3714"/>
      <c r="K588" s="3715"/>
      <c r="L588" s="3716"/>
      <c r="M588" s="3714"/>
      <c r="N588" s="3714"/>
      <c r="O588" s="3714"/>
      <c r="P588" s="3756"/>
      <c r="Q588" s="3714"/>
      <c r="R588" s="3714"/>
      <c r="S588" s="3714"/>
      <c r="T588" s="3714"/>
      <c r="U588" s="3714"/>
      <c r="V588" s="3714"/>
      <c r="W588" s="3714"/>
      <c r="X588" s="3714"/>
      <c r="Y588" s="3714"/>
      <c r="Z588" s="3714"/>
      <c r="AA588" s="3714"/>
      <c r="AB588" s="3714"/>
      <c r="AC588" s="3714"/>
    </row>
    <row r="589" spans="1:29">
      <c r="A589" s="3714"/>
      <c r="B589" s="3714"/>
      <c r="C589" s="3714"/>
      <c r="D589" s="3714"/>
      <c r="E589" s="3714"/>
      <c r="F589" s="3714"/>
      <c r="G589" s="3714"/>
      <c r="H589" s="3714"/>
      <c r="I589" s="3714"/>
      <c r="J589" s="3714"/>
      <c r="K589" s="3715"/>
      <c r="L589" s="3716"/>
      <c r="M589" s="3714"/>
      <c r="N589" s="3714"/>
      <c r="O589" s="3714"/>
      <c r="P589" s="3756"/>
      <c r="Q589" s="3714"/>
      <c r="R589" s="3714"/>
      <c r="S589" s="3714"/>
      <c r="T589" s="3714"/>
      <c r="U589" s="3714"/>
      <c r="V589" s="3714"/>
      <c r="W589" s="3714"/>
      <c r="X589" s="3714"/>
      <c r="Y589" s="3714"/>
      <c r="Z589" s="3714"/>
      <c r="AA589" s="3714"/>
      <c r="AB589" s="3714"/>
      <c r="AC589" s="3714"/>
    </row>
    <row r="590" spans="1:29">
      <c r="A590" s="3714"/>
      <c r="B590" s="3714"/>
      <c r="C590" s="3714"/>
      <c r="D590" s="3714"/>
      <c r="E590" s="3714"/>
      <c r="F590" s="3714"/>
      <c r="G590" s="3714"/>
      <c r="H590" s="3714"/>
      <c r="I590" s="3714"/>
      <c r="J590" s="3714"/>
      <c r="K590" s="3715"/>
      <c r="L590" s="3716"/>
      <c r="M590" s="3714"/>
      <c r="N590" s="3714"/>
      <c r="O590" s="3714"/>
      <c r="P590" s="3756"/>
      <c r="Q590" s="3714"/>
      <c r="R590" s="3714"/>
      <c r="S590" s="3714"/>
      <c r="T590" s="3714"/>
      <c r="U590" s="3714"/>
      <c r="V590" s="3714"/>
      <c r="W590" s="3714"/>
      <c r="X590" s="3714"/>
      <c r="Y590" s="3714"/>
      <c r="Z590" s="3714"/>
      <c r="AA590" s="3714"/>
      <c r="AB590" s="3714"/>
      <c r="AC590" s="3714"/>
    </row>
    <row r="591" spans="1:29">
      <c r="A591" s="3714"/>
      <c r="B591" s="3714"/>
      <c r="C591" s="3714"/>
      <c r="D591" s="3714"/>
      <c r="E591" s="3714"/>
      <c r="F591" s="3714"/>
      <c r="G591" s="3714"/>
      <c r="H591" s="3714"/>
      <c r="I591" s="3714"/>
      <c r="J591" s="3714"/>
      <c r="K591" s="3715"/>
      <c r="L591" s="3716"/>
      <c r="M591" s="3714"/>
      <c r="N591" s="3714"/>
      <c r="O591" s="3714"/>
      <c r="P591" s="3756"/>
      <c r="Q591" s="3714"/>
      <c r="R591" s="3714"/>
      <c r="S591" s="3714"/>
      <c r="T591" s="3714"/>
      <c r="U591" s="3714"/>
      <c r="V591" s="3714"/>
      <c r="W591" s="3714"/>
      <c r="X591" s="3714"/>
      <c r="Y591" s="3714"/>
      <c r="Z591" s="3714"/>
      <c r="AA591" s="3714"/>
      <c r="AB591" s="3714"/>
      <c r="AC591" s="3714"/>
    </row>
    <row r="592" spans="1:29">
      <c r="A592" s="3714"/>
      <c r="B592" s="3714"/>
      <c r="C592" s="3714"/>
      <c r="D592" s="3714"/>
      <c r="E592" s="3714"/>
      <c r="F592" s="3714"/>
      <c r="G592" s="3714"/>
      <c r="H592" s="3714"/>
      <c r="I592" s="3714"/>
      <c r="J592" s="3714"/>
      <c r="K592" s="3715"/>
      <c r="L592" s="3716"/>
      <c r="M592" s="3714"/>
      <c r="N592" s="3714"/>
      <c r="O592" s="3714"/>
      <c r="P592" s="3756"/>
      <c r="Q592" s="3714"/>
      <c r="R592" s="3714"/>
      <c r="S592" s="3714"/>
      <c r="T592" s="3714"/>
      <c r="U592" s="3714"/>
      <c r="V592" s="3714"/>
      <c r="W592" s="3714"/>
      <c r="X592" s="3714"/>
      <c r="Y592" s="3714"/>
      <c r="Z592" s="3714"/>
      <c r="AA592" s="3714"/>
      <c r="AB592" s="3714"/>
      <c r="AC592" s="3714"/>
    </row>
    <row r="593" spans="1:29">
      <c r="A593" s="3714"/>
      <c r="B593" s="3714"/>
      <c r="C593" s="3714"/>
      <c r="D593" s="3714"/>
      <c r="E593" s="3714"/>
      <c r="F593" s="3714"/>
      <c r="G593" s="3714"/>
      <c r="H593" s="3714"/>
      <c r="I593" s="3714"/>
      <c r="J593" s="3714"/>
      <c r="K593" s="3715"/>
      <c r="L593" s="3716"/>
      <c r="M593" s="3714"/>
      <c r="N593" s="3714"/>
      <c r="O593" s="3714"/>
      <c r="P593" s="3756"/>
      <c r="Q593" s="3714"/>
      <c r="R593" s="3714"/>
      <c r="S593" s="3714"/>
      <c r="T593" s="3714"/>
      <c r="U593" s="3714"/>
      <c r="V593" s="3714"/>
      <c r="W593" s="3714"/>
      <c r="X593" s="3714"/>
      <c r="Y593" s="3714"/>
      <c r="Z593" s="3714"/>
      <c r="AA593" s="3714"/>
      <c r="AB593" s="3714"/>
      <c r="AC593" s="3714"/>
    </row>
    <row r="594" spans="1:29">
      <c r="A594" s="3714"/>
      <c r="B594" s="3714"/>
      <c r="C594" s="3714"/>
      <c r="D594" s="3714"/>
      <c r="E594" s="3714"/>
      <c r="F594" s="3714"/>
      <c r="G594" s="3714"/>
      <c r="H594" s="3714"/>
      <c r="I594" s="3714"/>
      <c r="J594" s="3714"/>
      <c r="K594" s="3715"/>
      <c r="L594" s="3716"/>
      <c r="M594" s="3714"/>
      <c r="N594" s="3714"/>
      <c r="O594" s="3714"/>
      <c r="P594" s="3756"/>
      <c r="Q594" s="3714"/>
      <c r="R594" s="3714"/>
      <c r="S594" s="3714"/>
      <c r="T594" s="3714"/>
      <c r="U594" s="3714"/>
      <c r="V594" s="3714"/>
      <c r="W594" s="3714"/>
      <c r="X594" s="3714"/>
      <c r="Y594" s="3714"/>
      <c r="Z594" s="3714"/>
      <c r="AA594" s="3714"/>
      <c r="AB594" s="3714"/>
      <c r="AC594" s="3714"/>
    </row>
    <row r="595" spans="1:29">
      <c r="A595" s="3714"/>
      <c r="B595" s="3714"/>
      <c r="C595" s="3714"/>
      <c r="D595" s="3714"/>
      <c r="E595" s="3714"/>
      <c r="F595" s="3714"/>
      <c r="G595" s="3714"/>
      <c r="H595" s="3714"/>
      <c r="I595" s="3714"/>
      <c r="J595" s="3714"/>
      <c r="K595" s="3715"/>
      <c r="L595" s="3716"/>
      <c r="M595" s="3714"/>
      <c r="N595" s="3714"/>
      <c r="O595" s="3714"/>
      <c r="P595" s="3756"/>
      <c r="Q595" s="3714"/>
      <c r="R595" s="3714"/>
      <c r="S595" s="3714"/>
      <c r="T595" s="3714"/>
      <c r="U595" s="3714"/>
      <c r="V595" s="3714"/>
      <c r="W595" s="3714"/>
      <c r="X595" s="3714"/>
      <c r="Y595" s="3714"/>
      <c r="Z595" s="3714"/>
      <c r="AA595" s="3714"/>
      <c r="AB595" s="3714"/>
      <c r="AC595" s="3714"/>
    </row>
    <row r="596" spans="1:29">
      <c r="A596" s="3714"/>
      <c r="B596" s="3714"/>
      <c r="C596" s="3714"/>
      <c r="D596" s="3714"/>
      <c r="E596" s="3714"/>
      <c r="F596" s="3714"/>
      <c r="G596" s="3714"/>
      <c r="H596" s="3714"/>
      <c r="I596" s="3714"/>
      <c r="J596" s="3714"/>
      <c r="K596" s="3715"/>
      <c r="L596" s="3716"/>
      <c r="M596" s="3714"/>
      <c r="N596" s="3714"/>
      <c r="O596" s="3714"/>
      <c r="P596" s="3756"/>
      <c r="Q596" s="3714"/>
      <c r="R596" s="3714"/>
      <c r="S596" s="3714"/>
      <c r="T596" s="3714"/>
      <c r="U596" s="3714"/>
      <c r="V596" s="3714"/>
      <c r="W596" s="3714"/>
      <c r="X596" s="3714"/>
      <c r="Y596" s="3714"/>
      <c r="Z596" s="3714"/>
      <c r="AA596" s="3714"/>
      <c r="AB596" s="3714"/>
      <c r="AC596" s="3714"/>
    </row>
    <row r="597" spans="1:29">
      <c r="A597" s="3714"/>
      <c r="B597" s="3714"/>
      <c r="C597" s="3714"/>
      <c r="D597" s="3714"/>
      <c r="E597" s="3714"/>
      <c r="F597" s="3714"/>
      <c r="G597" s="3714"/>
      <c r="H597" s="3714"/>
      <c r="I597" s="3714"/>
      <c r="J597" s="3714"/>
      <c r="K597" s="3715"/>
      <c r="L597" s="3716"/>
      <c r="M597" s="3714"/>
      <c r="N597" s="3714"/>
      <c r="O597" s="3714"/>
      <c r="P597" s="3756"/>
      <c r="Q597" s="3714"/>
      <c r="R597" s="3714"/>
      <c r="S597" s="3714"/>
      <c r="T597" s="3714"/>
      <c r="U597" s="3714"/>
      <c r="V597" s="3714"/>
      <c r="W597" s="3714"/>
      <c r="X597" s="3714"/>
      <c r="Y597" s="3714"/>
      <c r="Z597" s="3714"/>
      <c r="AA597" s="3714"/>
      <c r="AB597" s="3714"/>
      <c r="AC597" s="3714"/>
    </row>
    <row r="598" spans="1:29">
      <c r="A598" s="3714"/>
      <c r="B598" s="3714"/>
      <c r="C598" s="3714"/>
      <c r="D598" s="3714"/>
      <c r="E598" s="3714"/>
      <c r="F598" s="3714"/>
      <c r="G598" s="3714"/>
      <c r="H598" s="3714"/>
      <c r="I598" s="3714"/>
      <c r="J598" s="3714"/>
      <c r="K598" s="3715"/>
      <c r="L598" s="3716"/>
      <c r="M598" s="3714"/>
      <c r="N598" s="3714"/>
      <c r="O598" s="3714"/>
      <c r="P598" s="3756"/>
      <c r="Q598" s="3714"/>
      <c r="R598" s="3714"/>
      <c r="S598" s="3714"/>
      <c r="T598" s="3714"/>
      <c r="U598" s="3714"/>
      <c r="V598" s="3714"/>
      <c r="W598" s="3714"/>
      <c r="X598" s="3714"/>
      <c r="Y598" s="3714"/>
      <c r="Z598" s="3714"/>
      <c r="AA598" s="3714"/>
      <c r="AB598" s="3714"/>
      <c r="AC598" s="3714"/>
    </row>
    <row r="599" spans="1:29">
      <c r="A599" s="3714"/>
      <c r="B599" s="3714"/>
      <c r="C599" s="3714"/>
      <c r="D599" s="3714"/>
      <c r="E599" s="3714"/>
      <c r="F599" s="3714"/>
      <c r="G599" s="3714"/>
      <c r="H599" s="3714"/>
      <c r="I599" s="3714"/>
      <c r="J599" s="3714"/>
      <c r="K599" s="3715"/>
      <c r="L599" s="3716"/>
      <c r="M599" s="3714"/>
      <c r="N599" s="3714"/>
      <c r="O599" s="3714"/>
      <c r="P599" s="3756"/>
      <c r="Q599" s="3714"/>
      <c r="R599" s="3714"/>
      <c r="S599" s="3714"/>
      <c r="T599" s="3714"/>
      <c r="U599" s="3714"/>
      <c r="V599" s="3714"/>
      <c r="W599" s="3714"/>
      <c r="X599" s="3714"/>
      <c r="Y599" s="3714"/>
      <c r="Z599" s="3714"/>
      <c r="AA599" s="3714"/>
      <c r="AB599" s="3714"/>
      <c r="AC599" s="3714"/>
    </row>
    <row r="600" spans="1:29">
      <c r="A600" s="3714"/>
      <c r="B600" s="3714"/>
      <c r="C600" s="3714"/>
      <c r="D600" s="3714"/>
      <c r="E600" s="3714"/>
      <c r="F600" s="3714"/>
      <c r="G600" s="3714"/>
      <c r="H600" s="3714"/>
      <c r="I600" s="3714"/>
      <c r="J600" s="3714"/>
      <c r="K600" s="3715"/>
      <c r="L600" s="3716"/>
      <c r="M600" s="3714"/>
      <c r="N600" s="3714"/>
      <c r="O600" s="3714"/>
      <c r="P600" s="3756"/>
      <c r="Q600" s="3714"/>
      <c r="R600" s="3714"/>
      <c r="S600" s="3714"/>
      <c r="T600" s="3714"/>
      <c r="U600" s="3714"/>
      <c r="V600" s="3714"/>
      <c r="W600" s="3714"/>
      <c r="X600" s="3714"/>
      <c r="Y600" s="3714"/>
      <c r="Z600" s="3714"/>
      <c r="AA600" s="3714"/>
      <c r="AB600" s="3714"/>
      <c r="AC600" s="3714"/>
    </row>
    <row r="601" spans="1:29">
      <c r="A601" s="3714"/>
      <c r="B601" s="3714"/>
      <c r="C601" s="3714"/>
      <c r="D601" s="3714"/>
      <c r="E601" s="3714"/>
      <c r="F601" s="3714"/>
      <c r="G601" s="3714"/>
      <c r="H601" s="3714"/>
      <c r="I601" s="3714"/>
      <c r="J601" s="3714"/>
      <c r="K601" s="3715"/>
      <c r="L601" s="3716"/>
      <c r="M601" s="3714"/>
      <c r="N601" s="3714"/>
      <c r="O601" s="3714"/>
      <c r="P601" s="3756"/>
      <c r="Q601" s="3714"/>
      <c r="R601" s="3714"/>
      <c r="S601" s="3714"/>
      <c r="T601" s="3714"/>
      <c r="U601" s="3714"/>
      <c r="V601" s="3714"/>
      <c r="W601" s="3714"/>
      <c r="X601" s="3714"/>
      <c r="Y601" s="3714"/>
      <c r="Z601" s="3714"/>
      <c r="AA601" s="3714"/>
      <c r="AB601" s="3714"/>
      <c r="AC601" s="3714"/>
    </row>
    <row r="602" spans="1:29">
      <c r="A602" s="3714"/>
      <c r="B602" s="3714"/>
      <c r="C602" s="3714"/>
      <c r="D602" s="3714"/>
      <c r="E602" s="3714"/>
      <c r="F602" s="3714"/>
      <c r="G602" s="3714"/>
      <c r="H602" s="3714"/>
      <c r="I602" s="3714"/>
      <c r="J602" s="3714"/>
      <c r="K602" s="3715"/>
      <c r="L602" s="3716"/>
      <c r="M602" s="3714"/>
      <c r="N602" s="3714"/>
      <c r="O602" s="3714"/>
      <c r="P602" s="3756"/>
      <c r="Q602" s="3714"/>
      <c r="R602" s="3714"/>
      <c r="S602" s="3714"/>
      <c r="T602" s="3714"/>
      <c r="U602" s="3714"/>
      <c r="V602" s="3714"/>
      <c r="W602" s="3714"/>
      <c r="X602" s="3714"/>
      <c r="Y602" s="3714"/>
      <c r="Z602" s="3714"/>
      <c r="AA602" s="3714"/>
      <c r="AB602" s="3714"/>
      <c r="AC602" s="3714"/>
    </row>
    <row r="603" spans="1:29">
      <c r="A603" s="3714"/>
      <c r="B603" s="3714"/>
      <c r="C603" s="3714"/>
      <c r="D603" s="3714"/>
      <c r="E603" s="3714"/>
      <c r="F603" s="3714"/>
      <c r="G603" s="3714"/>
      <c r="H603" s="3714"/>
      <c r="I603" s="3714"/>
      <c r="J603" s="3714"/>
      <c r="K603" s="3715"/>
      <c r="L603" s="3716"/>
      <c r="M603" s="3714"/>
      <c r="N603" s="3714"/>
      <c r="O603" s="3714"/>
      <c r="P603" s="3756"/>
      <c r="Q603" s="3714"/>
      <c r="R603" s="3714"/>
      <c r="S603" s="3714"/>
      <c r="T603" s="3714"/>
      <c r="U603" s="3714"/>
      <c r="V603" s="3714"/>
      <c r="W603" s="3714"/>
      <c r="X603" s="3714"/>
      <c r="Y603" s="3714"/>
      <c r="Z603" s="3714"/>
      <c r="AA603" s="3714"/>
      <c r="AB603" s="3714"/>
      <c r="AC603" s="3714"/>
    </row>
    <row r="604" spans="1:29">
      <c r="A604" s="3714"/>
      <c r="B604" s="3714"/>
      <c r="C604" s="3714"/>
      <c r="D604" s="3714"/>
      <c r="E604" s="3714"/>
      <c r="F604" s="3714"/>
      <c r="G604" s="3714"/>
      <c r="H604" s="3714"/>
      <c r="I604" s="3714"/>
      <c r="J604" s="3714"/>
      <c r="K604" s="3715"/>
      <c r="L604" s="3716"/>
      <c r="M604" s="3714"/>
      <c r="N604" s="3714"/>
      <c r="O604" s="3714"/>
      <c r="P604" s="3756"/>
      <c r="Q604" s="3714"/>
      <c r="R604" s="3714"/>
      <c r="S604" s="3714"/>
      <c r="T604" s="3714"/>
      <c r="U604" s="3714"/>
      <c r="V604" s="3714"/>
      <c r="W604" s="3714"/>
      <c r="X604" s="3714"/>
      <c r="Y604" s="3714"/>
      <c r="Z604" s="3714"/>
      <c r="AA604" s="3714"/>
      <c r="AB604" s="3714"/>
      <c r="AC604" s="3714"/>
    </row>
    <row r="605" spans="1:29">
      <c r="A605" s="3714"/>
      <c r="B605" s="3714"/>
      <c r="C605" s="3714"/>
      <c r="D605" s="3714"/>
      <c r="E605" s="3714"/>
      <c r="F605" s="3714"/>
      <c r="G605" s="3714"/>
      <c r="H605" s="3714"/>
      <c r="I605" s="3714"/>
      <c r="J605" s="3714"/>
      <c r="K605" s="3715"/>
      <c r="L605" s="3716"/>
      <c r="M605" s="3714"/>
      <c r="N605" s="3714"/>
      <c r="O605" s="3714"/>
      <c r="P605" s="3756"/>
      <c r="Q605" s="3714"/>
      <c r="R605" s="3714"/>
      <c r="S605" s="3714"/>
      <c r="T605" s="3714"/>
      <c r="U605" s="3714"/>
      <c r="V605" s="3714"/>
      <c r="W605" s="3714"/>
      <c r="X605" s="3714"/>
      <c r="Y605" s="3714"/>
      <c r="Z605" s="3714"/>
      <c r="AA605" s="3714"/>
      <c r="AB605" s="3714"/>
      <c r="AC605" s="3714"/>
    </row>
    <row r="606" spans="1:29">
      <c r="A606" s="3714"/>
      <c r="B606" s="3714"/>
      <c r="C606" s="3714"/>
      <c r="D606" s="3714"/>
      <c r="E606" s="3714"/>
      <c r="F606" s="3714"/>
      <c r="G606" s="3714"/>
      <c r="H606" s="3714"/>
      <c r="I606" s="3714"/>
      <c r="J606" s="3714"/>
      <c r="K606" s="3715"/>
      <c r="L606" s="3716"/>
      <c r="M606" s="3714"/>
      <c r="N606" s="3714"/>
      <c r="O606" s="3714"/>
      <c r="P606" s="3756"/>
      <c r="Q606" s="3714"/>
      <c r="R606" s="3714"/>
      <c r="S606" s="3714"/>
      <c r="T606" s="3714"/>
      <c r="U606" s="3714"/>
      <c r="V606" s="3714"/>
      <c r="W606" s="3714"/>
      <c r="X606" s="3714"/>
      <c r="Y606" s="3714"/>
      <c r="Z606" s="3714"/>
      <c r="AA606" s="3714"/>
      <c r="AB606" s="3714"/>
      <c r="AC606" s="3714"/>
    </row>
    <row r="607" spans="1:29">
      <c r="A607" s="3714"/>
      <c r="B607" s="3714"/>
      <c r="C607" s="3714"/>
      <c r="D607" s="3714"/>
      <c r="E607" s="3714"/>
      <c r="F607" s="3714"/>
      <c r="G607" s="3714"/>
      <c r="H607" s="3714"/>
      <c r="I607" s="3714"/>
      <c r="J607" s="3714"/>
      <c r="K607" s="3715"/>
      <c r="L607" s="3716"/>
      <c r="M607" s="3714"/>
      <c r="N607" s="3714"/>
      <c r="O607" s="3714"/>
      <c r="P607" s="3756"/>
      <c r="Q607" s="3714"/>
      <c r="R607" s="3714"/>
      <c r="S607" s="3714"/>
      <c r="T607" s="3714"/>
      <c r="U607" s="3714"/>
      <c r="V607" s="3714"/>
      <c r="W607" s="3714"/>
      <c r="X607" s="3714"/>
      <c r="Y607" s="3714"/>
      <c r="Z607" s="3714"/>
      <c r="AA607" s="3714"/>
      <c r="AB607" s="3714"/>
      <c r="AC607" s="3714"/>
    </row>
    <row r="608" spans="1:29">
      <c r="A608" s="3714"/>
      <c r="B608" s="3714"/>
      <c r="C608" s="3714"/>
      <c r="D608" s="3714"/>
      <c r="E608" s="3714"/>
      <c r="F608" s="3714"/>
      <c r="G608" s="3714"/>
      <c r="H608" s="3714"/>
      <c r="I608" s="3714"/>
      <c r="J608" s="3714"/>
      <c r="K608" s="3715"/>
      <c r="L608" s="3716"/>
      <c r="M608" s="3714"/>
      <c r="N608" s="3714"/>
      <c r="O608" s="3714"/>
      <c r="P608" s="3756"/>
      <c r="Q608" s="3714"/>
      <c r="R608" s="3714"/>
      <c r="S608" s="3714"/>
      <c r="T608" s="3714"/>
      <c r="U608" s="3714"/>
      <c r="V608" s="3714"/>
      <c r="W608" s="3714"/>
      <c r="X608" s="3714"/>
      <c r="Y608" s="3714"/>
      <c r="Z608" s="3714"/>
      <c r="AA608" s="3714"/>
      <c r="AB608" s="3714"/>
      <c r="AC608" s="3714"/>
    </row>
    <row r="609" spans="1:29">
      <c r="A609" s="3714"/>
      <c r="B609" s="3714"/>
      <c r="C609" s="3714"/>
      <c r="D609" s="3714"/>
      <c r="E609" s="3714"/>
      <c r="F609" s="3714"/>
      <c r="G609" s="3714"/>
      <c r="H609" s="3714"/>
      <c r="I609" s="3714"/>
      <c r="J609" s="3714"/>
      <c r="K609" s="3715"/>
      <c r="L609" s="3716"/>
      <c r="M609" s="3714"/>
      <c r="N609" s="3714"/>
      <c r="O609" s="3714"/>
      <c r="P609" s="3756"/>
      <c r="Q609" s="3714"/>
      <c r="R609" s="3714"/>
      <c r="S609" s="3714"/>
      <c r="T609" s="3714"/>
      <c r="U609" s="3714"/>
      <c r="V609" s="3714"/>
      <c r="W609" s="3714"/>
      <c r="X609" s="3714"/>
      <c r="Y609" s="3714"/>
      <c r="Z609" s="3714"/>
      <c r="AA609" s="3714"/>
      <c r="AB609" s="3714"/>
      <c r="AC609" s="3714"/>
    </row>
    <row r="610" spans="1:29">
      <c r="A610" s="3714"/>
      <c r="B610" s="3714"/>
      <c r="C610" s="3714"/>
      <c r="D610" s="3714"/>
      <c r="E610" s="3714"/>
      <c r="F610" s="3714"/>
      <c r="G610" s="3714"/>
      <c r="H610" s="3714"/>
      <c r="I610" s="3714"/>
      <c r="J610" s="3714"/>
      <c r="K610" s="3715"/>
      <c r="L610" s="3716"/>
      <c r="M610" s="3714"/>
      <c r="N610" s="3714"/>
      <c r="O610" s="3714"/>
      <c r="P610" s="3756"/>
      <c r="Q610" s="3714"/>
      <c r="R610" s="3714"/>
      <c r="S610" s="3714"/>
      <c r="T610" s="3714"/>
      <c r="U610" s="3714"/>
      <c r="V610" s="3714"/>
      <c r="W610" s="3714"/>
      <c r="X610" s="3714"/>
      <c r="Y610" s="3714"/>
      <c r="Z610" s="3714"/>
      <c r="AA610" s="3714"/>
      <c r="AB610" s="3714"/>
      <c r="AC610" s="3714"/>
    </row>
    <row r="611" spans="1:29">
      <c r="A611" s="3714"/>
      <c r="B611" s="3714"/>
      <c r="C611" s="3714"/>
      <c r="D611" s="3714"/>
      <c r="E611" s="3714"/>
      <c r="F611" s="3714"/>
      <c r="G611" s="3714"/>
      <c r="H611" s="3714"/>
      <c r="I611" s="3714"/>
      <c r="J611" s="3714"/>
      <c r="K611" s="3715"/>
      <c r="L611" s="3716"/>
      <c r="M611" s="3714"/>
      <c r="N611" s="3714"/>
      <c r="O611" s="3714"/>
      <c r="P611" s="3756"/>
      <c r="Q611" s="3714"/>
      <c r="R611" s="3714"/>
      <c r="S611" s="3714"/>
      <c r="T611" s="3714"/>
      <c r="U611" s="3714"/>
      <c r="V611" s="3714"/>
      <c r="W611" s="3714"/>
      <c r="X611" s="3714"/>
      <c r="Y611" s="3714"/>
      <c r="Z611" s="3714"/>
      <c r="AA611" s="3714"/>
      <c r="AB611" s="3714"/>
      <c r="AC611" s="3714"/>
    </row>
    <row r="612" spans="1:29">
      <c r="A612" s="3714"/>
      <c r="B612" s="3714"/>
      <c r="C612" s="3714"/>
      <c r="D612" s="3714"/>
      <c r="E612" s="3714"/>
      <c r="F612" s="3714"/>
      <c r="G612" s="3714"/>
      <c r="H612" s="3714"/>
      <c r="I612" s="3714"/>
      <c r="J612" s="3714"/>
      <c r="K612" s="3715"/>
      <c r="L612" s="3716"/>
      <c r="M612" s="3714"/>
      <c r="N612" s="3714"/>
      <c r="O612" s="3714"/>
      <c r="P612" s="3756"/>
      <c r="Q612" s="3714"/>
      <c r="R612" s="3714"/>
      <c r="S612" s="3714"/>
      <c r="T612" s="3714"/>
      <c r="U612" s="3714"/>
      <c r="V612" s="3714"/>
      <c r="W612" s="3714"/>
      <c r="X612" s="3714"/>
      <c r="Y612" s="3714"/>
      <c r="Z612" s="3714"/>
      <c r="AA612" s="3714"/>
      <c r="AB612" s="3714"/>
      <c r="AC612" s="3714"/>
    </row>
    <row r="613" spans="1:29">
      <c r="A613" s="3714"/>
      <c r="B613" s="3714"/>
      <c r="C613" s="3714"/>
      <c r="D613" s="3714"/>
      <c r="E613" s="3714"/>
      <c r="F613" s="3714"/>
      <c r="G613" s="3714"/>
      <c r="H613" s="3714"/>
      <c r="I613" s="3714"/>
      <c r="J613" s="3714"/>
      <c r="K613" s="3715"/>
      <c r="L613" s="3716"/>
      <c r="M613" s="3714"/>
      <c r="N613" s="3714"/>
      <c r="O613" s="3714"/>
      <c r="P613" s="3756"/>
      <c r="Q613" s="3714"/>
      <c r="R613" s="3714"/>
      <c r="S613" s="3714"/>
      <c r="T613" s="3714"/>
      <c r="U613" s="3714"/>
      <c r="V613" s="3714"/>
      <c r="W613" s="3714"/>
      <c r="X613" s="3714"/>
      <c r="Y613" s="3714"/>
      <c r="Z613" s="3714"/>
      <c r="AA613" s="3714"/>
      <c r="AB613" s="3714"/>
      <c r="AC613" s="3714"/>
    </row>
    <row r="614" spans="1:29">
      <c r="A614" s="3714"/>
      <c r="B614" s="3714"/>
      <c r="C614" s="3714"/>
      <c r="D614" s="3714"/>
      <c r="E614" s="3714"/>
      <c r="F614" s="3714"/>
      <c r="G614" s="3714"/>
      <c r="H614" s="3714"/>
      <c r="I614" s="3714"/>
      <c r="J614" s="3714"/>
      <c r="K614" s="3715"/>
      <c r="L614" s="3716"/>
      <c r="M614" s="3714"/>
      <c r="N614" s="3714"/>
      <c r="O614" s="3714"/>
      <c r="P614" s="3756"/>
      <c r="Q614" s="3714"/>
      <c r="R614" s="3714"/>
      <c r="S614" s="3714"/>
      <c r="T614" s="3714"/>
      <c r="U614" s="3714"/>
      <c r="V614" s="3714"/>
      <c r="W614" s="3714"/>
      <c r="X614" s="3714"/>
      <c r="Y614" s="3714"/>
      <c r="Z614" s="3714"/>
      <c r="AA614" s="3714"/>
      <c r="AB614" s="3714"/>
      <c r="AC614" s="3714"/>
    </row>
    <row r="615" spans="1:29">
      <c r="A615" s="3714"/>
      <c r="B615" s="3714"/>
      <c r="C615" s="3714"/>
      <c r="D615" s="3714"/>
      <c r="E615" s="3714"/>
      <c r="F615" s="3714"/>
      <c r="G615" s="3714"/>
      <c r="H615" s="3714"/>
      <c r="I615" s="3714"/>
      <c r="J615" s="3714"/>
      <c r="K615" s="3715"/>
      <c r="L615" s="3716"/>
      <c r="M615" s="3714"/>
      <c r="N615" s="3714"/>
      <c r="O615" s="3714"/>
      <c r="P615" s="3756"/>
      <c r="Q615" s="3714"/>
      <c r="R615" s="3714"/>
      <c r="S615" s="3714"/>
      <c r="T615" s="3714"/>
      <c r="U615" s="3714"/>
      <c r="V615" s="3714"/>
      <c r="W615" s="3714"/>
      <c r="X615" s="3714"/>
      <c r="Y615" s="3714"/>
      <c r="Z615" s="3714"/>
      <c r="AA615" s="3714"/>
      <c r="AB615" s="3714"/>
      <c r="AC615" s="3714"/>
    </row>
    <row r="616" spans="1:29">
      <c r="A616" s="3714"/>
      <c r="B616" s="3714"/>
      <c r="C616" s="3714"/>
      <c r="D616" s="3714"/>
      <c r="E616" s="3714"/>
      <c r="F616" s="3714"/>
      <c r="G616" s="3714"/>
      <c r="H616" s="3714"/>
      <c r="I616" s="3714"/>
      <c r="J616" s="3714"/>
      <c r="K616" s="3715"/>
      <c r="L616" s="3716"/>
      <c r="M616" s="3714"/>
      <c r="N616" s="3714"/>
      <c r="O616" s="3714"/>
      <c r="P616" s="3756"/>
      <c r="Q616" s="3714"/>
      <c r="R616" s="3714"/>
      <c r="S616" s="3714"/>
      <c r="T616" s="3714"/>
      <c r="U616" s="3714"/>
      <c r="V616" s="3714"/>
      <c r="W616" s="3714"/>
      <c r="X616" s="3714"/>
      <c r="Y616" s="3714"/>
      <c r="Z616" s="3714"/>
      <c r="AA616" s="3714"/>
      <c r="AB616" s="3714"/>
      <c r="AC616" s="3714"/>
    </row>
    <row r="617" spans="1:29">
      <c r="A617" s="3714"/>
      <c r="B617" s="3714"/>
      <c r="C617" s="3714"/>
      <c r="D617" s="3714"/>
      <c r="E617" s="3714"/>
      <c r="F617" s="3714"/>
      <c r="G617" s="3714"/>
      <c r="H617" s="3714"/>
      <c r="I617" s="3714"/>
      <c r="J617" s="3714"/>
      <c r="K617" s="3715"/>
      <c r="L617" s="3716"/>
      <c r="M617" s="3714"/>
      <c r="N617" s="3714"/>
      <c r="O617" s="3714"/>
      <c r="P617" s="3756"/>
      <c r="Q617" s="3714"/>
      <c r="R617" s="3714"/>
      <c r="S617" s="3714"/>
      <c r="T617" s="3714"/>
      <c r="U617" s="3714"/>
      <c r="V617" s="3714"/>
      <c r="W617" s="3714"/>
      <c r="X617" s="3714"/>
      <c r="Y617" s="3714"/>
      <c r="Z617" s="3714"/>
      <c r="AA617" s="3714"/>
      <c r="AB617" s="3714"/>
      <c r="AC617" s="3714"/>
    </row>
    <row r="618" spans="1:29">
      <c r="A618" s="3714"/>
      <c r="B618" s="3714"/>
      <c r="C618" s="3714"/>
      <c r="D618" s="3714"/>
      <c r="E618" s="3714"/>
      <c r="F618" s="3714"/>
      <c r="G618" s="3714"/>
      <c r="H618" s="3714"/>
      <c r="I618" s="3714"/>
      <c r="J618" s="3714"/>
      <c r="K618" s="3715"/>
      <c r="L618" s="3716"/>
      <c r="M618" s="3714"/>
      <c r="N618" s="3714"/>
      <c r="O618" s="3714"/>
      <c r="P618" s="3756"/>
      <c r="Q618" s="3714"/>
      <c r="R618" s="3714"/>
      <c r="S618" s="3714"/>
      <c r="T618" s="3714"/>
      <c r="U618" s="3714"/>
      <c r="V618" s="3714"/>
      <c r="W618" s="3714"/>
      <c r="X618" s="3714"/>
      <c r="Y618" s="3714"/>
      <c r="Z618" s="3714"/>
      <c r="AA618" s="3714"/>
      <c r="AB618" s="3714"/>
      <c r="AC618" s="3714"/>
    </row>
    <row r="619" spans="1:29">
      <c r="A619" s="3714"/>
      <c r="B619" s="3714"/>
      <c r="C619" s="3714"/>
      <c r="D619" s="3714"/>
      <c r="E619" s="3714"/>
      <c r="F619" s="3714"/>
      <c r="G619" s="3714"/>
      <c r="H619" s="3714"/>
      <c r="I619" s="3714"/>
      <c r="J619" s="3714"/>
      <c r="K619" s="3715"/>
      <c r="L619" s="3716"/>
      <c r="M619" s="3714"/>
      <c r="N619" s="3714"/>
      <c r="O619" s="3714"/>
      <c r="P619" s="3756"/>
      <c r="Q619" s="3714"/>
      <c r="R619" s="3714"/>
      <c r="S619" s="3714"/>
      <c r="T619" s="3714"/>
      <c r="U619" s="3714"/>
      <c r="V619" s="3714"/>
      <c r="W619" s="3714"/>
      <c r="X619" s="3714"/>
      <c r="Y619" s="3714"/>
      <c r="Z619" s="3714"/>
      <c r="AA619" s="3714"/>
      <c r="AB619" s="3714"/>
      <c r="AC619" s="3714"/>
    </row>
    <row r="620" spans="1:29">
      <c r="A620" s="3714"/>
      <c r="B620" s="3714"/>
      <c r="C620" s="3714"/>
      <c r="D620" s="3714"/>
      <c r="E620" s="3714"/>
      <c r="F620" s="3714"/>
      <c r="G620" s="3714"/>
      <c r="H620" s="3714"/>
      <c r="I620" s="3714"/>
      <c r="J620" s="3714"/>
      <c r="K620" s="3715"/>
      <c r="L620" s="3716"/>
      <c r="M620" s="3714"/>
      <c r="N620" s="3714"/>
      <c r="O620" s="3714"/>
      <c r="P620" s="3756"/>
      <c r="Q620" s="3714"/>
      <c r="R620" s="3714"/>
      <c r="S620" s="3714"/>
      <c r="T620" s="3714"/>
      <c r="U620" s="3714"/>
      <c r="V620" s="3714"/>
      <c r="W620" s="3714"/>
      <c r="X620" s="3714"/>
      <c r="Y620" s="3714"/>
      <c r="Z620" s="3714"/>
      <c r="AA620" s="3714"/>
      <c r="AB620" s="3714"/>
      <c r="AC620" s="3714"/>
    </row>
    <row r="621" spans="1:29">
      <c r="A621" s="3714"/>
      <c r="B621" s="3714"/>
      <c r="C621" s="3714"/>
      <c r="D621" s="3714"/>
      <c r="E621" s="3714"/>
      <c r="F621" s="3714"/>
      <c r="G621" s="3714"/>
      <c r="H621" s="3714"/>
      <c r="I621" s="3714"/>
      <c r="J621" s="3714"/>
      <c r="K621" s="3715"/>
      <c r="L621" s="3716"/>
      <c r="M621" s="3714"/>
      <c r="N621" s="3714"/>
      <c r="O621" s="3714"/>
      <c r="P621" s="3756"/>
      <c r="Q621" s="3714"/>
      <c r="R621" s="3714"/>
      <c r="S621" s="3714"/>
      <c r="T621" s="3714"/>
      <c r="U621" s="3714"/>
      <c r="V621" s="3714"/>
      <c r="W621" s="3714"/>
      <c r="X621" s="3714"/>
      <c r="Y621" s="3714"/>
      <c r="Z621" s="3714"/>
      <c r="AA621" s="3714"/>
      <c r="AB621" s="3714"/>
      <c r="AC621" s="3714"/>
    </row>
    <row r="622" spans="1:29">
      <c r="A622" s="3714"/>
      <c r="B622" s="3714"/>
      <c r="C622" s="3714"/>
      <c r="D622" s="3714"/>
      <c r="E622" s="3714"/>
      <c r="F622" s="3714"/>
      <c r="G622" s="3714"/>
      <c r="H622" s="3714"/>
      <c r="I622" s="3714"/>
      <c r="J622" s="3714"/>
      <c r="K622" s="3715"/>
      <c r="L622" s="3716"/>
      <c r="M622" s="3714"/>
      <c r="N622" s="3714"/>
      <c r="O622" s="3714"/>
      <c r="P622" s="3756"/>
      <c r="Q622" s="3714"/>
      <c r="R622" s="3714"/>
      <c r="S622" s="3714"/>
      <c r="T622" s="3714"/>
      <c r="U622" s="3714"/>
      <c r="V622" s="3714"/>
      <c r="W622" s="3714"/>
      <c r="X622" s="3714"/>
      <c r="Y622" s="3714"/>
      <c r="Z622" s="3714"/>
      <c r="AA622" s="3714"/>
      <c r="AB622" s="3714"/>
      <c r="AC622" s="3714"/>
    </row>
    <row r="623" spans="1:29">
      <c r="A623" s="3714"/>
      <c r="B623" s="3714"/>
      <c r="C623" s="3714"/>
      <c r="D623" s="3714"/>
      <c r="E623" s="3714"/>
      <c r="F623" s="3714"/>
      <c r="G623" s="3714"/>
      <c r="H623" s="3714"/>
      <c r="I623" s="3714"/>
      <c r="J623" s="3714"/>
      <c r="K623" s="3715"/>
      <c r="L623" s="3716"/>
      <c r="M623" s="3714"/>
      <c r="N623" s="3714"/>
      <c r="O623" s="3714"/>
      <c r="P623" s="3756"/>
      <c r="Q623" s="3714"/>
      <c r="R623" s="3714"/>
      <c r="S623" s="3714"/>
      <c r="T623" s="3714"/>
      <c r="U623" s="3714"/>
      <c r="V623" s="3714"/>
      <c r="W623" s="3714"/>
      <c r="X623" s="3714"/>
      <c r="Y623" s="3714"/>
      <c r="Z623" s="3714"/>
      <c r="AA623" s="3714"/>
      <c r="AB623" s="3714"/>
      <c r="AC623" s="3714"/>
    </row>
    <row r="624" spans="1:29">
      <c r="A624" s="3714"/>
      <c r="B624" s="3714"/>
      <c r="C624" s="3714"/>
      <c r="D624" s="3714"/>
      <c r="E624" s="3714"/>
      <c r="F624" s="3714"/>
      <c r="G624" s="3714"/>
      <c r="H624" s="3714"/>
      <c r="I624" s="3714"/>
      <c r="J624" s="3714"/>
      <c r="K624" s="3715"/>
      <c r="L624" s="3716"/>
      <c r="M624" s="3714"/>
      <c r="N624" s="3714"/>
      <c r="O624" s="3714"/>
      <c r="P624" s="3756"/>
      <c r="Q624" s="3714"/>
      <c r="R624" s="3714"/>
      <c r="S624" s="3714"/>
      <c r="T624" s="3714"/>
      <c r="U624" s="3714"/>
      <c r="V624" s="3714"/>
      <c r="W624" s="3714"/>
      <c r="X624" s="3714"/>
      <c r="Y624" s="3714"/>
      <c r="Z624" s="3714"/>
      <c r="AA624" s="3714"/>
      <c r="AB624" s="3714"/>
      <c r="AC624" s="3714"/>
    </row>
    <row r="625" spans="1:29">
      <c r="A625" s="3714"/>
      <c r="B625" s="3714"/>
      <c r="C625" s="3714"/>
      <c r="D625" s="3714"/>
      <c r="E625" s="3714"/>
      <c r="F625" s="3714"/>
      <c r="G625" s="3714"/>
      <c r="H625" s="3714"/>
      <c r="I625" s="3714"/>
      <c r="J625" s="3714"/>
      <c r="K625" s="3715"/>
      <c r="L625" s="3716"/>
      <c r="M625" s="3714"/>
      <c r="N625" s="3714"/>
      <c r="O625" s="3714"/>
      <c r="P625" s="3756"/>
      <c r="Q625" s="3714"/>
      <c r="R625" s="3714"/>
      <c r="S625" s="3714"/>
      <c r="T625" s="3714"/>
      <c r="U625" s="3714"/>
      <c r="V625" s="3714"/>
      <c r="W625" s="3714"/>
      <c r="X625" s="3714"/>
      <c r="Y625" s="3714"/>
      <c r="Z625" s="3714"/>
      <c r="AA625" s="3714"/>
      <c r="AB625" s="3714"/>
      <c r="AC625" s="3714"/>
    </row>
    <row r="626" spans="1:29">
      <c r="A626" s="3714"/>
      <c r="B626" s="3714"/>
      <c r="C626" s="3714"/>
      <c r="D626" s="3714"/>
      <c r="E626" s="3714"/>
      <c r="F626" s="3714"/>
      <c r="G626" s="3714"/>
      <c r="H626" s="3714"/>
      <c r="I626" s="3714"/>
      <c r="J626" s="3714"/>
      <c r="K626" s="3715"/>
      <c r="L626" s="3716"/>
      <c r="M626" s="3714"/>
      <c r="N626" s="3714"/>
      <c r="O626" s="3714"/>
      <c r="P626" s="3756"/>
      <c r="Q626" s="3714"/>
      <c r="R626" s="3714"/>
      <c r="S626" s="3714"/>
      <c r="T626" s="3714"/>
      <c r="U626" s="3714"/>
      <c r="V626" s="3714"/>
      <c r="W626" s="3714"/>
      <c r="X626" s="3714"/>
      <c r="Y626" s="3714"/>
      <c r="Z626" s="3714"/>
      <c r="AA626" s="3714"/>
      <c r="AB626" s="3714"/>
      <c r="AC626" s="3714"/>
    </row>
    <row r="627" spans="1:29">
      <c r="A627" s="3714"/>
      <c r="B627" s="3714"/>
      <c r="C627" s="3714"/>
      <c r="D627" s="3714"/>
      <c r="E627" s="3714"/>
      <c r="F627" s="3714"/>
      <c r="G627" s="3714"/>
      <c r="H627" s="3714"/>
      <c r="I627" s="3714"/>
      <c r="J627" s="3714"/>
      <c r="K627" s="3715"/>
      <c r="L627" s="3716"/>
      <c r="M627" s="3714"/>
      <c r="N627" s="3714"/>
      <c r="O627" s="3714"/>
      <c r="P627" s="3756"/>
      <c r="Q627" s="3714"/>
      <c r="R627" s="3714"/>
      <c r="S627" s="3714"/>
      <c r="T627" s="3714"/>
      <c r="U627" s="3714"/>
      <c r="V627" s="3714"/>
      <c r="W627" s="3714"/>
      <c r="X627" s="3714"/>
      <c r="Y627" s="3714"/>
      <c r="Z627" s="3714"/>
      <c r="AA627" s="3714"/>
      <c r="AB627" s="3714"/>
      <c r="AC627" s="3714"/>
    </row>
    <row r="628" spans="1:29">
      <c r="A628" s="3714"/>
      <c r="B628" s="3714"/>
      <c r="C628" s="3714"/>
      <c r="D628" s="3714"/>
      <c r="E628" s="3714"/>
      <c r="F628" s="3714"/>
      <c r="G628" s="3714"/>
      <c r="H628" s="3714"/>
      <c r="I628" s="3714"/>
      <c r="J628" s="3714"/>
      <c r="K628" s="3715"/>
      <c r="L628" s="3716"/>
      <c r="M628" s="3714"/>
      <c r="N628" s="3714"/>
      <c r="O628" s="3714"/>
      <c r="P628" s="3756"/>
      <c r="Q628" s="3714"/>
      <c r="R628" s="3714"/>
      <c r="S628" s="3714"/>
      <c r="T628" s="3714"/>
      <c r="U628" s="3714"/>
      <c r="V628" s="3714"/>
      <c r="W628" s="3714"/>
      <c r="X628" s="3714"/>
      <c r="Y628" s="3714"/>
      <c r="Z628" s="3714"/>
      <c r="AA628" s="3714"/>
      <c r="AB628" s="3714"/>
      <c r="AC628" s="3714"/>
    </row>
    <row r="629" spans="1:29">
      <c r="A629" s="3714"/>
      <c r="B629" s="3714"/>
      <c r="C629" s="3714"/>
      <c r="D629" s="3714"/>
      <c r="E629" s="3714"/>
      <c r="F629" s="3714"/>
      <c r="G629" s="3714"/>
      <c r="H629" s="3714"/>
      <c r="I629" s="3714"/>
      <c r="J629" s="3714"/>
      <c r="K629" s="3715"/>
      <c r="L629" s="3716"/>
      <c r="M629" s="3714"/>
      <c r="N629" s="3714"/>
      <c r="O629" s="3714"/>
      <c r="P629" s="3756"/>
      <c r="Q629" s="3714"/>
      <c r="R629" s="3714"/>
      <c r="S629" s="3714"/>
      <c r="T629" s="3714"/>
      <c r="U629" s="3714"/>
      <c r="V629" s="3714"/>
      <c r="W629" s="3714"/>
      <c r="X629" s="3714"/>
      <c r="Y629" s="3714"/>
      <c r="Z629" s="3714"/>
      <c r="AA629" s="3714"/>
      <c r="AB629" s="3714"/>
      <c r="AC629" s="3714"/>
    </row>
    <row r="630" spans="1:29">
      <c r="A630" s="3714"/>
      <c r="B630" s="3714"/>
      <c r="C630" s="3714"/>
      <c r="D630" s="3714"/>
      <c r="E630" s="3714"/>
      <c r="F630" s="3714"/>
      <c r="G630" s="3714"/>
      <c r="H630" s="3714"/>
      <c r="I630" s="3714"/>
      <c r="J630" s="3714"/>
      <c r="K630" s="3715"/>
      <c r="L630" s="3716"/>
      <c r="M630" s="3714"/>
      <c r="N630" s="3714"/>
      <c r="O630" s="3714"/>
      <c r="P630" s="3756"/>
      <c r="Q630" s="3714"/>
      <c r="R630" s="3714"/>
      <c r="S630" s="3714"/>
      <c r="T630" s="3714"/>
      <c r="U630" s="3714"/>
      <c r="V630" s="3714"/>
      <c r="W630" s="3714"/>
      <c r="X630" s="3714"/>
      <c r="Y630" s="3714"/>
      <c r="Z630" s="3714"/>
      <c r="AA630" s="3714"/>
      <c r="AB630" s="3714"/>
      <c r="AC630" s="3714"/>
    </row>
    <row r="631" spans="1:29">
      <c r="A631" s="3714"/>
      <c r="B631" s="3714"/>
      <c r="C631" s="3714"/>
      <c r="D631" s="3714"/>
      <c r="E631" s="3714"/>
      <c r="F631" s="3714"/>
      <c r="G631" s="3714"/>
      <c r="H631" s="3714"/>
      <c r="I631" s="3714"/>
      <c r="J631" s="3714"/>
      <c r="K631" s="3715"/>
      <c r="L631" s="3716"/>
      <c r="M631" s="3714"/>
      <c r="N631" s="3714"/>
      <c r="O631" s="3714"/>
      <c r="P631" s="3756"/>
      <c r="Q631" s="3714"/>
      <c r="R631" s="3714"/>
      <c r="S631" s="3714"/>
      <c r="T631" s="3714"/>
      <c r="U631" s="3714"/>
      <c r="V631" s="3714"/>
      <c r="W631" s="3714"/>
      <c r="X631" s="3714"/>
      <c r="Y631" s="3714"/>
      <c r="Z631" s="3714"/>
      <c r="AA631" s="3714"/>
      <c r="AB631" s="3714"/>
      <c r="AC631" s="3714"/>
    </row>
    <row r="632" spans="1:29">
      <c r="A632" s="3714"/>
      <c r="B632" s="3714"/>
      <c r="C632" s="3714"/>
      <c r="D632" s="3714"/>
      <c r="E632" s="3714"/>
      <c r="F632" s="3714"/>
      <c r="G632" s="3714"/>
      <c r="H632" s="3714"/>
      <c r="I632" s="3714"/>
      <c r="J632" s="3714"/>
      <c r="K632" s="3715"/>
      <c r="L632" s="3716"/>
      <c r="M632" s="3714"/>
      <c r="N632" s="3714"/>
      <c r="O632" s="3714"/>
      <c r="P632" s="3756"/>
      <c r="Q632" s="3714"/>
      <c r="R632" s="3714"/>
      <c r="S632" s="3714"/>
      <c r="T632" s="3714"/>
      <c r="U632" s="3714"/>
      <c r="V632" s="3714"/>
      <c r="W632" s="3714"/>
      <c r="X632" s="3714"/>
      <c r="Y632" s="3714"/>
      <c r="Z632" s="3714"/>
      <c r="AA632" s="3714"/>
      <c r="AB632" s="3714"/>
      <c r="AC632" s="3714"/>
    </row>
    <row r="633" spans="1:29">
      <c r="A633" s="3714"/>
      <c r="B633" s="3714"/>
      <c r="C633" s="3714"/>
      <c r="D633" s="3714"/>
      <c r="E633" s="3714"/>
      <c r="F633" s="3714"/>
      <c r="G633" s="3714"/>
      <c r="H633" s="3714"/>
      <c r="I633" s="3714"/>
      <c r="J633" s="3714"/>
      <c r="K633" s="3715"/>
      <c r="L633" s="3716"/>
      <c r="M633" s="3714"/>
      <c r="N633" s="3714"/>
      <c r="O633" s="3714"/>
      <c r="P633" s="3756"/>
      <c r="Q633" s="3714"/>
      <c r="R633" s="3714"/>
      <c r="S633" s="3714"/>
      <c r="T633" s="3714"/>
      <c r="U633" s="3714"/>
      <c r="V633" s="3714"/>
      <c r="W633" s="3714"/>
      <c r="X633" s="3714"/>
      <c r="Y633" s="3714"/>
      <c r="Z633" s="3714"/>
      <c r="AA633" s="3714"/>
      <c r="AB633" s="3714"/>
      <c r="AC633" s="3714"/>
    </row>
    <row r="634" spans="1:29">
      <c r="A634" s="3714"/>
      <c r="B634" s="3714"/>
      <c r="C634" s="3714"/>
      <c r="D634" s="3714"/>
      <c r="E634" s="3714"/>
      <c r="F634" s="3714"/>
      <c r="G634" s="3714"/>
      <c r="H634" s="3714"/>
      <c r="I634" s="3714"/>
      <c r="J634" s="3714"/>
      <c r="K634" s="3715"/>
      <c r="L634" s="3716"/>
      <c r="M634" s="3714"/>
      <c r="N634" s="3714"/>
      <c r="O634" s="3714"/>
      <c r="P634" s="3756"/>
      <c r="Q634" s="3714"/>
      <c r="R634" s="3714"/>
      <c r="S634" s="3714"/>
      <c r="T634" s="3714"/>
      <c r="U634" s="3714"/>
      <c r="V634" s="3714"/>
      <c r="W634" s="3714"/>
      <c r="X634" s="3714"/>
      <c r="Y634" s="3714"/>
      <c r="Z634" s="3714"/>
      <c r="AA634" s="3714"/>
      <c r="AB634" s="3714"/>
      <c r="AC634" s="3714"/>
    </row>
    <row r="635" spans="1:29">
      <c r="A635" s="3714"/>
      <c r="B635" s="3714"/>
      <c r="C635" s="3714"/>
      <c r="D635" s="3714"/>
      <c r="E635" s="3714"/>
      <c r="F635" s="3714"/>
      <c r="G635" s="3714"/>
      <c r="H635" s="3714"/>
      <c r="I635" s="3714"/>
      <c r="J635" s="3714"/>
      <c r="K635" s="3715"/>
      <c r="L635" s="3716"/>
      <c r="M635" s="3714"/>
      <c r="N635" s="3714"/>
      <c r="O635" s="3714"/>
      <c r="P635" s="3756"/>
      <c r="Q635" s="3714"/>
      <c r="R635" s="3714"/>
      <c r="S635" s="3714"/>
      <c r="T635" s="3714"/>
      <c r="U635" s="3714"/>
      <c r="V635" s="3714"/>
      <c r="W635" s="3714"/>
      <c r="X635" s="3714"/>
      <c r="Y635" s="3714"/>
      <c r="Z635" s="3714"/>
      <c r="AA635" s="3714"/>
      <c r="AB635" s="3714"/>
      <c r="AC635" s="3714"/>
    </row>
    <row r="636" spans="1:29">
      <c r="A636" s="3714"/>
      <c r="B636" s="3714"/>
      <c r="C636" s="3714"/>
      <c r="D636" s="3714"/>
      <c r="E636" s="3714"/>
      <c r="F636" s="3714"/>
      <c r="G636" s="3714"/>
      <c r="H636" s="3714"/>
      <c r="I636" s="3714"/>
      <c r="J636" s="3714"/>
      <c r="K636" s="3715"/>
      <c r="L636" s="3716"/>
      <c r="M636" s="3714"/>
      <c r="N636" s="3714"/>
      <c r="O636" s="3714"/>
      <c r="P636" s="3756"/>
      <c r="Q636" s="3714"/>
      <c r="R636" s="3714"/>
      <c r="S636" s="3714"/>
      <c r="T636" s="3714"/>
      <c r="U636" s="3714"/>
      <c r="V636" s="3714"/>
      <c r="W636" s="3714"/>
      <c r="X636" s="3714"/>
      <c r="Y636" s="3714"/>
      <c r="Z636" s="3714"/>
      <c r="AA636" s="3714"/>
      <c r="AB636" s="3714"/>
      <c r="AC636" s="3714"/>
    </row>
    <row r="637" spans="1:29">
      <c r="A637" s="3714"/>
      <c r="B637" s="3714"/>
      <c r="C637" s="3714"/>
      <c r="D637" s="3714"/>
      <c r="E637" s="3714"/>
      <c r="F637" s="3714"/>
      <c r="G637" s="3714"/>
      <c r="H637" s="3714"/>
      <c r="I637" s="3714"/>
      <c r="J637" s="3714"/>
      <c r="K637" s="3715"/>
      <c r="L637" s="3716"/>
      <c r="M637" s="3714"/>
      <c r="N637" s="3714"/>
      <c r="O637" s="3714"/>
      <c r="P637" s="3756"/>
      <c r="Q637" s="3714"/>
      <c r="R637" s="3714"/>
      <c r="S637" s="3714"/>
      <c r="T637" s="3714"/>
      <c r="U637" s="3714"/>
      <c r="V637" s="3714"/>
      <c r="W637" s="3714"/>
      <c r="X637" s="3714"/>
      <c r="Y637" s="3714"/>
      <c r="Z637" s="3714"/>
      <c r="AA637" s="3714"/>
      <c r="AB637" s="3714"/>
      <c r="AC637" s="3714"/>
    </row>
    <row r="638" spans="1:29">
      <c r="A638" s="3714"/>
      <c r="B638" s="3714"/>
      <c r="C638" s="3714"/>
      <c r="D638" s="3714"/>
      <c r="E638" s="3714"/>
      <c r="F638" s="3714"/>
      <c r="G638" s="3714"/>
      <c r="H638" s="3714"/>
      <c r="I638" s="3714"/>
      <c r="J638" s="3714"/>
      <c r="K638" s="3715"/>
      <c r="L638" s="3716"/>
      <c r="M638" s="3714"/>
      <c r="N638" s="3714"/>
      <c r="O638" s="3714"/>
      <c r="P638" s="3756"/>
      <c r="Q638" s="3714"/>
      <c r="R638" s="3714"/>
      <c r="S638" s="3714"/>
      <c r="T638" s="3714"/>
      <c r="U638" s="3714"/>
      <c r="V638" s="3714"/>
      <c r="W638" s="3714"/>
      <c r="X638" s="3714"/>
      <c r="Y638" s="3714"/>
      <c r="Z638" s="3714"/>
      <c r="AA638" s="3714"/>
      <c r="AB638" s="3714"/>
      <c r="AC638" s="3714"/>
    </row>
    <row r="639" spans="1:29">
      <c r="A639" s="3714"/>
      <c r="B639" s="3714"/>
      <c r="C639" s="3714"/>
      <c r="D639" s="3714"/>
      <c r="E639" s="3714"/>
      <c r="F639" s="3714"/>
      <c r="G639" s="3714"/>
      <c r="H639" s="3714"/>
      <c r="I639" s="3714"/>
      <c r="J639" s="3714"/>
      <c r="K639" s="3715"/>
      <c r="L639" s="3716"/>
      <c r="M639" s="3714"/>
      <c r="N639" s="3714"/>
      <c r="O639" s="3714"/>
      <c r="P639" s="3756"/>
      <c r="Q639" s="3714"/>
      <c r="R639" s="3714"/>
      <c r="S639" s="3714"/>
      <c r="T639" s="3714"/>
      <c r="U639" s="3714"/>
      <c r="V639" s="3714"/>
      <c r="W639" s="3714"/>
      <c r="X639" s="3714"/>
      <c r="Y639" s="3714"/>
      <c r="Z639" s="3714"/>
      <c r="AA639" s="3714"/>
      <c r="AB639" s="3714"/>
      <c r="AC639" s="3714"/>
    </row>
    <row r="640" spans="1:29">
      <c r="A640" s="3714"/>
      <c r="B640" s="3714"/>
      <c r="C640" s="3714"/>
      <c r="D640" s="3714"/>
      <c r="E640" s="3714"/>
      <c r="F640" s="3714"/>
      <c r="G640" s="3714"/>
      <c r="H640" s="3714"/>
      <c r="I640" s="3714"/>
      <c r="J640" s="3714"/>
      <c r="K640" s="3715"/>
      <c r="L640" s="3716"/>
      <c r="M640" s="3714"/>
      <c r="N640" s="3714"/>
      <c r="O640" s="3714"/>
      <c r="P640" s="3756"/>
      <c r="Q640" s="3714"/>
      <c r="R640" s="3714"/>
      <c r="S640" s="3714"/>
      <c r="T640" s="3714"/>
      <c r="U640" s="3714"/>
      <c r="V640" s="3714"/>
      <c r="W640" s="3714"/>
      <c r="X640" s="3714"/>
      <c r="Y640" s="3714"/>
      <c r="Z640" s="3714"/>
      <c r="AA640" s="3714"/>
      <c r="AB640" s="3714"/>
      <c r="AC640" s="3714"/>
    </row>
    <row r="641" spans="1:29">
      <c r="A641" s="3714"/>
      <c r="B641" s="3714"/>
      <c r="C641" s="3714"/>
      <c r="D641" s="3714"/>
      <c r="E641" s="3714"/>
      <c r="F641" s="3714"/>
      <c r="G641" s="3714"/>
      <c r="H641" s="3714"/>
      <c r="I641" s="3714"/>
      <c r="J641" s="3714"/>
      <c r="K641" s="3715"/>
      <c r="L641" s="3716"/>
      <c r="M641" s="3714"/>
      <c r="N641" s="3714"/>
      <c r="O641" s="3714"/>
      <c r="P641" s="3756"/>
      <c r="Q641" s="3714"/>
      <c r="R641" s="3714"/>
      <c r="S641" s="3714"/>
      <c r="T641" s="3714"/>
      <c r="U641" s="3714"/>
      <c r="V641" s="3714"/>
      <c r="W641" s="3714"/>
      <c r="X641" s="3714"/>
      <c r="Y641" s="3714"/>
      <c r="Z641" s="3714"/>
      <c r="AA641" s="3714"/>
      <c r="AB641" s="3714"/>
      <c r="AC641" s="3714"/>
    </row>
    <row r="642" spans="1:29">
      <c r="A642" s="3714"/>
      <c r="B642" s="3714"/>
      <c r="C642" s="3714"/>
      <c r="D642" s="3714"/>
      <c r="E642" s="3714"/>
      <c r="F642" s="3714"/>
      <c r="G642" s="3714"/>
      <c r="H642" s="3714"/>
      <c r="I642" s="3714"/>
      <c r="J642" s="3714"/>
      <c r="K642" s="3715"/>
      <c r="L642" s="3716"/>
      <c r="M642" s="3714"/>
      <c r="N642" s="3714"/>
      <c r="O642" s="3714"/>
      <c r="P642" s="3756"/>
      <c r="Q642" s="3714"/>
      <c r="R642" s="3714"/>
      <c r="S642" s="3714"/>
      <c r="T642" s="3714"/>
      <c r="U642" s="3714"/>
      <c r="V642" s="3714"/>
      <c r="W642" s="3714"/>
      <c r="X642" s="3714"/>
      <c r="Y642" s="3714"/>
      <c r="Z642" s="3714"/>
      <c r="AA642" s="3714"/>
      <c r="AB642" s="3714"/>
      <c r="AC642" s="3714"/>
    </row>
    <row r="643" spans="1:29">
      <c r="A643" s="3714"/>
      <c r="B643" s="3714"/>
      <c r="C643" s="3714"/>
      <c r="D643" s="3714"/>
      <c r="E643" s="3714"/>
      <c r="F643" s="3714"/>
      <c r="G643" s="3714"/>
      <c r="H643" s="3714"/>
      <c r="I643" s="3714"/>
      <c r="J643" s="3714"/>
      <c r="K643" s="3715"/>
      <c r="L643" s="3716"/>
      <c r="M643" s="3714"/>
      <c r="N643" s="3714"/>
      <c r="O643" s="3714"/>
      <c r="P643" s="3756"/>
      <c r="Q643" s="3714"/>
      <c r="R643" s="3714"/>
      <c r="S643" s="3714"/>
      <c r="T643" s="3714"/>
      <c r="U643" s="3714"/>
      <c r="V643" s="3714"/>
      <c r="W643" s="3714"/>
      <c r="X643" s="3714"/>
      <c r="Y643" s="3714"/>
      <c r="Z643" s="3714"/>
      <c r="AA643" s="3714"/>
      <c r="AB643" s="3714"/>
      <c r="AC643" s="3714"/>
    </row>
    <row r="644" spans="1:29">
      <c r="A644" s="3714"/>
      <c r="B644" s="3714"/>
      <c r="C644" s="3714"/>
      <c r="D644" s="3714"/>
      <c r="E644" s="3714"/>
      <c r="F644" s="3714"/>
      <c r="G644" s="3714"/>
      <c r="H644" s="3714"/>
      <c r="I644" s="3714"/>
      <c r="J644" s="3714"/>
      <c r="K644" s="3715"/>
      <c r="L644" s="3716"/>
      <c r="M644" s="3714"/>
      <c r="N644" s="3714"/>
      <c r="O644" s="3714"/>
      <c r="P644" s="3756"/>
      <c r="Q644" s="3714"/>
      <c r="R644" s="3714"/>
      <c r="S644" s="3714"/>
      <c r="T644" s="3714"/>
      <c r="U644" s="3714"/>
      <c r="V644" s="3714"/>
      <c r="W644" s="3714"/>
      <c r="X644" s="3714"/>
      <c r="Y644" s="3714"/>
      <c r="Z644" s="3714"/>
      <c r="AA644" s="3714"/>
      <c r="AB644" s="3714"/>
      <c r="AC644" s="3714"/>
    </row>
    <row r="645" spans="1:29">
      <c r="A645" s="3714"/>
      <c r="B645" s="3714"/>
      <c r="C645" s="3714"/>
      <c r="D645" s="3714"/>
      <c r="E645" s="3714"/>
      <c r="F645" s="3714"/>
      <c r="G645" s="3714"/>
      <c r="H645" s="3714"/>
      <c r="I645" s="3714"/>
      <c r="J645" s="3714"/>
      <c r="K645" s="3715"/>
      <c r="L645" s="3716"/>
      <c r="M645" s="3714"/>
      <c r="N645" s="3714"/>
      <c r="O645" s="3714"/>
      <c r="P645" s="3756"/>
      <c r="Q645" s="3714"/>
      <c r="R645" s="3714"/>
      <c r="S645" s="3714"/>
      <c r="T645" s="3714"/>
      <c r="U645" s="3714"/>
      <c r="V645" s="3714"/>
      <c r="W645" s="3714"/>
      <c r="X645" s="3714"/>
      <c r="Y645" s="3714"/>
      <c r="Z645" s="3714"/>
      <c r="AA645" s="3714"/>
      <c r="AB645" s="3714"/>
      <c r="AC645" s="3714"/>
    </row>
    <row r="646" spans="1:29">
      <c r="A646" s="3714"/>
      <c r="B646" s="3714"/>
      <c r="C646" s="3714"/>
      <c r="D646" s="3714"/>
      <c r="E646" s="3714"/>
      <c r="F646" s="3714"/>
      <c r="G646" s="3714"/>
      <c r="H646" s="3714"/>
      <c r="I646" s="3714"/>
      <c r="J646" s="3714"/>
      <c r="K646" s="3715"/>
      <c r="L646" s="3716"/>
      <c r="M646" s="3714"/>
      <c r="N646" s="3714"/>
      <c r="O646" s="3714"/>
      <c r="P646" s="3756"/>
      <c r="Q646" s="3714"/>
      <c r="R646" s="3714"/>
      <c r="S646" s="3714"/>
      <c r="T646" s="3714"/>
      <c r="U646" s="3714"/>
      <c r="V646" s="3714"/>
      <c r="W646" s="3714"/>
      <c r="X646" s="3714"/>
      <c r="Y646" s="3714"/>
      <c r="Z646" s="3714"/>
      <c r="AA646" s="3714"/>
      <c r="AB646" s="3714"/>
      <c r="AC646" s="3714"/>
    </row>
    <row r="647" spans="1:29">
      <c r="A647" s="3714"/>
      <c r="B647" s="3714"/>
      <c r="C647" s="3714"/>
      <c r="D647" s="3714"/>
      <c r="E647" s="3714"/>
      <c r="F647" s="3714"/>
      <c r="G647" s="3714"/>
      <c r="H647" s="3714"/>
      <c r="I647" s="3714"/>
      <c r="J647" s="3714"/>
      <c r="K647" s="3715"/>
      <c r="L647" s="3716"/>
      <c r="M647" s="3714"/>
      <c r="N647" s="3714"/>
      <c r="O647" s="3714"/>
      <c r="P647" s="3756"/>
      <c r="Q647" s="3714"/>
      <c r="R647" s="3714"/>
      <c r="S647" s="3714"/>
      <c r="T647" s="3714"/>
      <c r="U647" s="3714"/>
      <c r="V647" s="3714"/>
      <c r="W647" s="3714"/>
      <c r="X647" s="3714"/>
      <c r="Y647" s="3714"/>
      <c r="Z647" s="3714"/>
      <c r="AA647" s="3714"/>
      <c r="AB647" s="3714"/>
      <c r="AC647" s="3714"/>
    </row>
    <row r="648" spans="1:29">
      <c r="A648" s="3714"/>
      <c r="B648" s="3714"/>
      <c r="C648" s="3714"/>
      <c r="D648" s="3714"/>
      <c r="E648" s="3714"/>
      <c r="F648" s="3714"/>
      <c r="G648" s="3714"/>
      <c r="H648" s="3714"/>
      <c r="I648" s="3714"/>
      <c r="J648" s="3714"/>
      <c r="K648" s="3715"/>
      <c r="L648" s="3716"/>
      <c r="M648" s="3714"/>
      <c r="N648" s="3714"/>
      <c r="O648" s="3714"/>
      <c r="P648" s="3756"/>
      <c r="Q648" s="3714"/>
      <c r="R648" s="3714"/>
      <c r="S648" s="3714"/>
      <c r="T648" s="3714"/>
      <c r="U648" s="3714"/>
      <c r="V648" s="3714"/>
      <c r="W648" s="3714"/>
      <c r="X648" s="3714"/>
      <c r="Y648" s="3714"/>
      <c r="Z648" s="3714"/>
      <c r="AA648" s="3714"/>
      <c r="AB648" s="3714"/>
      <c r="AC648" s="3714"/>
    </row>
    <row r="649" spans="1:29">
      <c r="A649" s="3714"/>
      <c r="B649" s="3714"/>
      <c r="C649" s="3714"/>
      <c r="D649" s="3714"/>
      <c r="E649" s="3714"/>
      <c r="F649" s="3714"/>
      <c r="G649" s="3714"/>
      <c r="H649" s="3714"/>
      <c r="I649" s="3714"/>
      <c r="J649" s="3714"/>
      <c r="K649" s="3715"/>
      <c r="L649" s="3716"/>
      <c r="M649" s="3714"/>
      <c r="N649" s="3714"/>
      <c r="O649" s="3714"/>
      <c r="P649" s="3756"/>
      <c r="Q649" s="3714"/>
      <c r="R649" s="3714"/>
      <c r="S649" s="3714"/>
      <c r="T649" s="3714"/>
      <c r="U649" s="3714"/>
      <c r="V649" s="3714"/>
      <c r="W649" s="3714"/>
      <c r="X649" s="3714"/>
      <c r="Y649" s="3714"/>
      <c r="Z649" s="3714"/>
      <c r="AA649" s="3714"/>
      <c r="AB649" s="3714"/>
      <c r="AC649" s="3714"/>
    </row>
    <row r="650" spans="1:29">
      <c r="A650" s="3714"/>
      <c r="B650" s="3714"/>
      <c r="C650" s="3714"/>
      <c r="D650" s="3714"/>
      <c r="E650" s="3714"/>
      <c r="F650" s="3714"/>
      <c r="G650" s="3714"/>
      <c r="H650" s="3714"/>
      <c r="I650" s="3714"/>
      <c r="J650" s="3714"/>
      <c r="K650" s="3715"/>
      <c r="L650" s="3716"/>
      <c r="M650" s="3714"/>
      <c r="N650" s="3714"/>
      <c r="O650" s="3714"/>
      <c r="P650" s="3756"/>
      <c r="Q650" s="3714"/>
      <c r="R650" s="3714"/>
      <c r="S650" s="3714"/>
      <c r="T650" s="3714"/>
      <c r="U650" s="3714"/>
      <c r="V650" s="3714"/>
      <c r="W650" s="3714"/>
      <c r="X650" s="3714"/>
      <c r="Y650" s="3714"/>
      <c r="Z650" s="3714"/>
      <c r="AA650" s="3714"/>
      <c r="AB650" s="3714"/>
      <c r="AC650" s="3714"/>
    </row>
    <row r="651" spans="1:29">
      <c r="A651" s="3714"/>
      <c r="B651" s="3714"/>
      <c r="C651" s="3714"/>
      <c r="D651" s="3714"/>
      <c r="E651" s="3714"/>
      <c r="F651" s="3714"/>
      <c r="G651" s="3714"/>
      <c r="H651" s="3714"/>
      <c r="I651" s="3714"/>
      <c r="J651" s="3714"/>
      <c r="K651" s="3715"/>
      <c r="L651" s="3716"/>
      <c r="M651" s="3714"/>
      <c r="N651" s="3714"/>
      <c r="O651" s="3714"/>
      <c r="P651" s="3756"/>
      <c r="Q651" s="3714"/>
      <c r="R651" s="3714"/>
      <c r="S651" s="3714"/>
      <c r="T651" s="3714"/>
      <c r="U651" s="3714"/>
      <c r="V651" s="3714"/>
      <c r="W651" s="3714"/>
      <c r="X651" s="3714"/>
      <c r="Y651" s="3714"/>
      <c r="Z651" s="3714"/>
      <c r="AA651" s="3714"/>
      <c r="AB651" s="3714"/>
      <c r="AC651" s="3714"/>
    </row>
    <row r="652" spans="1:29">
      <c r="A652" s="3714"/>
      <c r="B652" s="3714"/>
      <c r="C652" s="3714"/>
      <c r="D652" s="3714"/>
      <c r="E652" s="3714"/>
      <c r="F652" s="3714"/>
      <c r="G652" s="3714"/>
      <c r="H652" s="3714"/>
      <c r="I652" s="3714"/>
      <c r="J652" s="3714"/>
      <c r="K652" s="3715"/>
      <c r="L652" s="3716"/>
      <c r="M652" s="3714"/>
      <c r="N652" s="3714"/>
      <c r="O652" s="3714"/>
      <c r="P652" s="3756"/>
      <c r="Q652" s="3714"/>
      <c r="R652" s="3714"/>
      <c r="S652" s="3714"/>
      <c r="T652" s="3714"/>
      <c r="U652" s="3714"/>
      <c r="V652" s="3714"/>
      <c r="W652" s="3714"/>
      <c r="X652" s="3714"/>
      <c r="Y652" s="3714"/>
      <c r="Z652" s="3714"/>
      <c r="AA652" s="3714"/>
      <c r="AB652" s="3714"/>
      <c r="AC652" s="3714"/>
    </row>
    <row r="653" spans="1:29">
      <c r="A653" s="3714"/>
      <c r="B653" s="3714"/>
      <c r="C653" s="3714"/>
      <c r="D653" s="3714"/>
      <c r="E653" s="3714"/>
      <c r="F653" s="3714"/>
      <c r="G653" s="3714"/>
      <c r="H653" s="3714"/>
      <c r="I653" s="3714"/>
      <c r="J653" s="3714"/>
      <c r="K653" s="3715"/>
      <c r="L653" s="3716"/>
      <c r="M653" s="3714"/>
      <c r="N653" s="3714"/>
      <c r="O653" s="3714"/>
      <c r="P653" s="3756"/>
      <c r="Q653" s="3714"/>
      <c r="R653" s="3714"/>
      <c r="S653" s="3714"/>
      <c r="T653" s="3714"/>
      <c r="U653" s="3714"/>
      <c r="V653" s="3714"/>
      <c r="W653" s="3714"/>
      <c r="X653" s="3714"/>
      <c r="Y653" s="3714"/>
      <c r="Z653" s="3714"/>
      <c r="AA653" s="3714"/>
      <c r="AB653" s="3714"/>
      <c r="AC653" s="3714"/>
    </row>
    <row r="654" spans="1:29">
      <c r="A654" s="3714"/>
      <c r="B654" s="3714"/>
      <c r="C654" s="3714"/>
      <c r="D654" s="3714"/>
      <c r="E654" s="3714"/>
      <c r="F654" s="3714"/>
      <c r="G654" s="3714"/>
      <c r="H654" s="3714"/>
      <c r="I654" s="3714"/>
      <c r="J654" s="3714"/>
      <c r="K654" s="3715"/>
      <c r="L654" s="3716"/>
      <c r="M654" s="3714"/>
      <c r="N654" s="3714"/>
      <c r="O654" s="3714"/>
      <c r="P654" s="3756"/>
      <c r="Q654" s="3714"/>
      <c r="R654" s="3714"/>
      <c r="S654" s="3714"/>
      <c r="T654" s="3714"/>
      <c r="U654" s="3714"/>
      <c r="V654" s="3714"/>
      <c r="W654" s="3714"/>
      <c r="X654" s="3714"/>
      <c r="Y654" s="3714"/>
      <c r="Z654" s="3714"/>
      <c r="AA654" s="3714"/>
      <c r="AB654" s="3714"/>
      <c r="AC654" s="3714"/>
    </row>
    <row r="655" spans="1:29">
      <c r="A655" s="3714"/>
      <c r="B655" s="3714"/>
      <c r="C655" s="3714"/>
      <c r="D655" s="3714"/>
      <c r="E655" s="3714"/>
      <c r="F655" s="3714"/>
      <c r="G655" s="3714"/>
      <c r="H655" s="3714"/>
      <c r="I655" s="3714"/>
      <c r="J655" s="3714"/>
      <c r="K655" s="3715"/>
      <c r="L655" s="3716"/>
      <c r="M655" s="3714"/>
      <c r="N655" s="3714"/>
      <c r="O655" s="3714"/>
      <c r="P655" s="3756"/>
      <c r="Q655" s="3714"/>
      <c r="R655" s="3714"/>
      <c r="S655" s="3714"/>
      <c r="T655" s="3714"/>
      <c r="U655" s="3714"/>
      <c r="V655" s="3714"/>
      <c r="W655" s="3714"/>
      <c r="X655" s="3714"/>
      <c r="Y655" s="3714"/>
      <c r="Z655" s="3714"/>
      <c r="AA655" s="3714"/>
      <c r="AB655" s="3714"/>
      <c r="AC655" s="3714"/>
    </row>
    <row r="656" spans="1:29">
      <c r="A656" s="3714"/>
      <c r="B656" s="3714"/>
      <c r="C656" s="3714"/>
      <c r="D656" s="3714"/>
      <c r="E656" s="3714"/>
      <c r="F656" s="3714"/>
      <c r="G656" s="3714"/>
      <c r="H656" s="3714"/>
      <c r="I656" s="3714"/>
      <c r="J656" s="3714"/>
      <c r="K656" s="3715"/>
      <c r="L656" s="3716"/>
      <c r="M656" s="3714"/>
      <c r="N656" s="3714"/>
      <c r="O656" s="3714"/>
      <c r="P656" s="3756"/>
      <c r="Q656" s="3714"/>
      <c r="R656" s="3714"/>
      <c r="S656" s="3714"/>
      <c r="T656" s="3714"/>
      <c r="U656" s="3714"/>
      <c r="V656" s="3714"/>
      <c r="W656" s="3714"/>
      <c r="X656" s="3714"/>
      <c r="Y656" s="3714"/>
      <c r="Z656" s="3714"/>
      <c r="AA656" s="3714"/>
      <c r="AB656" s="3714"/>
      <c r="AC656" s="3714"/>
    </row>
    <row r="657" spans="1:29">
      <c r="A657" s="3714"/>
      <c r="B657" s="3714"/>
      <c r="C657" s="3714"/>
      <c r="D657" s="3714"/>
      <c r="E657" s="3714"/>
      <c r="F657" s="3714"/>
      <c r="G657" s="3714"/>
      <c r="H657" s="3714"/>
      <c r="I657" s="3714"/>
      <c r="J657" s="3714"/>
      <c r="K657" s="3715"/>
      <c r="L657" s="3716"/>
      <c r="M657" s="3714"/>
      <c r="N657" s="3714"/>
      <c r="O657" s="3714"/>
      <c r="P657" s="3756"/>
      <c r="Q657" s="3714"/>
      <c r="R657" s="3714"/>
      <c r="S657" s="3714"/>
      <c r="T657" s="3714"/>
      <c r="U657" s="3714"/>
      <c r="V657" s="3714"/>
      <c r="W657" s="3714"/>
      <c r="X657" s="3714"/>
      <c r="Y657" s="3714"/>
      <c r="Z657" s="3714"/>
      <c r="AA657" s="3714"/>
      <c r="AB657" s="3714"/>
      <c r="AC657" s="3714"/>
    </row>
    <row r="658" spans="1:29">
      <c r="A658" s="3714"/>
      <c r="B658" s="3714"/>
      <c r="C658" s="3714"/>
      <c r="D658" s="3714"/>
      <c r="E658" s="3714"/>
      <c r="F658" s="3714"/>
      <c r="G658" s="3714"/>
      <c r="H658" s="3714"/>
      <c r="I658" s="3714"/>
      <c r="J658" s="3714"/>
      <c r="K658" s="3715"/>
      <c r="L658" s="3716"/>
      <c r="M658" s="3714"/>
      <c r="N658" s="3714"/>
      <c r="O658" s="3714"/>
      <c r="P658" s="3756"/>
      <c r="Q658" s="3714"/>
      <c r="R658" s="3714"/>
      <c r="S658" s="3714"/>
      <c r="T658" s="3714"/>
      <c r="U658" s="3714"/>
      <c r="V658" s="3714"/>
      <c r="W658" s="3714"/>
      <c r="X658" s="3714"/>
      <c r="Y658" s="3714"/>
      <c r="Z658" s="3714"/>
      <c r="AA658" s="3714"/>
      <c r="AB658" s="3714"/>
      <c r="AC658" s="3714"/>
    </row>
    <row r="659" spans="1:29">
      <c r="A659" s="3714"/>
      <c r="B659" s="3714"/>
      <c r="C659" s="3714"/>
      <c r="D659" s="3714"/>
      <c r="E659" s="3714"/>
      <c r="F659" s="3714"/>
      <c r="G659" s="3714"/>
      <c r="H659" s="3714"/>
      <c r="I659" s="3714"/>
      <c r="J659" s="3714"/>
      <c r="K659" s="3715"/>
      <c r="L659" s="3716"/>
      <c r="M659" s="3714"/>
      <c r="N659" s="3714"/>
      <c r="O659" s="3714"/>
      <c r="P659" s="3756"/>
      <c r="Q659" s="3714"/>
      <c r="R659" s="3714"/>
      <c r="S659" s="3714"/>
      <c r="T659" s="3714"/>
      <c r="U659" s="3714"/>
      <c r="V659" s="3714"/>
      <c r="W659" s="3714"/>
      <c r="X659" s="3714"/>
      <c r="Y659" s="3714"/>
      <c r="Z659" s="3714"/>
      <c r="AA659" s="3714"/>
      <c r="AB659" s="3714"/>
      <c r="AC659" s="3714"/>
    </row>
    <row r="660" spans="1:29">
      <c r="A660" s="3714"/>
      <c r="B660" s="3714"/>
      <c r="C660" s="3714"/>
      <c r="D660" s="3714"/>
      <c r="E660" s="3714"/>
      <c r="F660" s="3714"/>
      <c r="G660" s="3714"/>
      <c r="H660" s="3714"/>
      <c r="I660" s="3714"/>
      <c r="J660" s="3714"/>
      <c r="K660" s="3715"/>
      <c r="L660" s="3716"/>
      <c r="M660" s="3714"/>
      <c r="N660" s="3714"/>
      <c r="O660" s="3714"/>
      <c r="P660" s="3756"/>
      <c r="Q660" s="3714"/>
      <c r="R660" s="3714"/>
      <c r="S660" s="3714"/>
      <c r="T660" s="3714"/>
      <c r="U660" s="3714"/>
      <c r="V660" s="3714"/>
      <c r="W660" s="3714"/>
      <c r="X660" s="3714"/>
      <c r="Y660" s="3714"/>
      <c r="Z660" s="3714"/>
      <c r="AA660" s="3714"/>
      <c r="AB660" s="3714"/>
      <c r="AC660" s="3714"/>
    </row>
    <row r="661" spans="1:29">
      <c r="A661" s="3714"/>
      <c r="B661" s="3714"/>
      <c r="C661" s="3714"/>
      <c r="D661" s="3714"/>
      <c r="E661" s="3714"/>
      <c r="F661" s="3714"/>
      <c r="G661" s="3714"/>
      <c r="H661" s="3714"/>
      <c r="I661" s="3714"/>
      <c r="J661" s="3714"/>
      <c r="K661" s="3715"/>
      <c r="L661" s="3716"/>
      <c r="M661" s="3714"/>
      <c r="N661" s="3714"/>
      <c r="O661" s="3714"/>
      <c r="P661" s="3756"/>
      <c r="Q661" s="3714"/>
      <c r="R661" s="3714"/>
      <c r="S661" s="3714"/>
      <c r="T661" s="3714"/>
      <c r="U661" s="3714"/>
      <c r="V661" s="3714"/>
      <c r="W661" s="3714"/>
      <c r="X661" s="3714"/>
      <c r="Y661" s="3714"/>
      <c r="Z661" s="3714"/>
      <c r="AA661" s="3714"/>
      <c r="AB661" s="3714"/>
      <c r="AC661" s="3714"/>
    </row>
    <row r="662" spans="1:29">
      <c r="A662" s="3714"/>
      <c r="B662" s="3714"/>
      <c r="C662" s="3714"/>
      <c r="D662" s="3714"/>
      <c r="E662" s="3714"/>
      <c r="F662" s="3714"/>
      <c r="G662" s="3714"/>
      <c r="H662" s="3714"/>
      <c r="I662" s="3714"/>
      <c r="J662" s="3714"/>
      <c r="K662" s="3715"/>
      <c r="L662" s="3716"/>
      <c r="M662" s="3714"/>
      <c r="N662" s="3714"/>
      <c r="O662" s="3714"/>
      <c r="P662" s="3756"/>
      <c r="Q662" s="3714"/>
      <c r="R662" s="3714"/>
      <c r="S662" s="3714"/>
      <c r="T662" s="3714"/>
      <c r="U662" s="3714"/>
      <c r="V662" s="3714"/>
      <c r="W662" s="3714"/>
      <c r="X662" s="3714"/>
      <c r="Y662" s="3714"/>
      <c r="Z662" s="3714"/>
      <c r="AA662" s="3714"/>
      <c r="AB662" s="3714"/>
      <c r="AC662" s="3714"/>
    </row>
    <row r="663" spans="1:29">
      <c r="A663" s="3714"/>
      <c r="B663" s="3714"/>
      <c r="C663" s="3714"/>
      <c r="D663" s="3714"/>
      <c r="E663" s="3714"/>
      <c r="F663" s="3714"/>
      <c r="G663" s="3714"/>
      <c r="H663" s="3714"/>
      <c r="I663" s="3714"/>
      <c r="J663" s="3714"/>
      <c r="K663" s="3715"/>
      <c r="L663" s="3716"/>
      <c r="M663" s="3714"/>
      <c r="N663" s="3714"/>
      <c r="O663" s="3714"/>
      <c r="P663" s="3756"/>
      <c r="Q663" s="3714"/>
      <c r="R663" s="3714"/>
      <c r="S663" s="3714"/>
      <c r="T663" s="3714"/>
      <c r="U663" s="3714"/>
      <c r="V663" s="3714"/>
      <c r="W663" s="3714"/>
      <c r="X663" s="3714"/>
      <c r="Y663" s="3714"/>
      <c r="Z663" s="3714"/>
      <c r="AA663" s="3714"/>
      <c r="AB663" s="3714"/>
      <c r="AC663" s="3714"/>
    </row>
    <row r="664" spans="1:29">
      <c r="A664" s="3714"/>
      <c r="B664" s="3714"/>
      <c r="C664" s="3714"/>
      <c r="D664" s="3714"/>
      <c r="E664" s="3714"/>
      <c r="F664" s="3714"/>
      <c r="G664" s="3714"/>
      <c r="H664" s="3714"/>
      <c r="I664" s="3714"/>
      <c r="J664" s="3714"/>
      <c r="K664" s="3715"/>
      <c r="L664" s="3716"/>
      <c r="M664" s="3714"/>
      <c r="N664" s="3714"/>
      <c r="O664" s="3714"/>
      <c r="P664" s="3756"/>
      <c r="Q664" s="3714"/>
      <c r="R664" s="3714"/>
      <c r="S664" s="3714"/>
      <c r="T664" s="3714"/>
      <c r="U664" s="3714"/>
      <c r="V664" s="3714"/>
      <c r="W664" s="3714"/>
      <c r="X664" s="3714"/>
      <c r="Y664" s="3714"/>
      <c r="Z664" s="3714"/>
      <c r="AA664" s="3714"/>
      <c r="AB664" s="3714"/>
      <c r="AC664" s="3714"/>
    </row>
    <row r="665" spans="1:29">
      <c r="A665" s="3714"/>
      <c r="B665" s="3714"/>
      <c r="C665" s="3714"/>
      <c r="D665" s="3714"/>
      <c r="E665" s="3714"/>
      <c r="F665" s="3714"/>
      <c r="G665" s="3714"/>
      <c r="H665" s="3714"/>
      <c r="I665" s="3714"/>
      <c r="J665" s="3714"/>
      <c r="K665" s="3715"/>
      <c r="L665" s="3716"/>
      <c r="M665" s="3714"/>
      <c r="N665" s="3714"/>
      <c r="O665" s="3714"/>
      <c r="P665" s="3756"/>
      <c r="Q665" s="3714"/>
      <c r="R665" s="3714"/>
      <c r="S665" s="3714"/>
      <c r="T665" s="3714"/>
      <c r="U665" s="3714"/>
      <c r="V665" s="3714"/>
      <c r="W665" s="3714"/>
      <c r="X665" s="3714"/>
      <c r="Y665" s="3714"/>
      <c r="Z665" s="3714"/>
      <c r="AA665" s="3714"/>
      <c r="AB665" s="3714"/>
      <c r="AC665" s="3714"/>
    </row>
    <row r="666" spans="1:29">
      <c r="A666" s="3714"/>
      <c r="B666" s="3714"/>
      <c r="C666" s="3714"/>
      <c r="D666" s="3714"/>
      <c r="E666" s="3714"/>
      <c r="F666" s="3714"/>
      <c r="G666" s="3714"/>
      <c r="H666" s="3714"/>
      <c r="I666" s="3714"/>
      <c r="J666" s="3714"/>
      <c r="K666" s="3715"/>
      <c r="L666" s="3716"/>
      <c r="M666" s="3714"/>
      <c r="N666" s="3714"/>
      <c r="O666" s="3714"/>
      <c r="P666" s="3756"/>
      <c r="Q666" s="3714"/>
      <c r="R666" s="3714"/>
      <c r="S666" s="3714"/>
      <c r="T666" s="3714"/>
      <c r="U666" s="3714"/>
      <c r="V666" s="3714"/>
      <c r="W666" s="3714"/>
      <c r="X666" s="3714"/>
      <c r="Y666" s="3714"/>
      <c r="Z666" s="3714"/>
      <c r="AA666" s="3714"/>
      <c r="AB666" s="3714"/>
      <c r="AC666" s="3714"/>
    </row>
    <row r="667" spans="1:29">
      <c r="A667" s="3714"/>
      <c r="B667" s="3714"/>
      <c r="C667" s="3714"/>
      <c r="D667" s="3714"/>
      <c r="E667" s="3714"/>
      <c r="F667" s="3714"/>
      <c r="G667" s="3714"/>
      <c r="H667" s="3714"/>
      <c r="I667" s="3714"/>
      <c r="J667" s="3714"/>
      <c r="K667" s="3715"/>
      <c r="L667" s="3716"/>
      <c r="M667" s="3714"/>
      <c r="N667" s="3714"/>
      <c r="O667" s="3714"/>
      <c r="P667" s="3756"/>
      <c r="Q667" s="3714"/>
      <c r="R667" s="3714"/>
      <c r="S667" s="3714"/>
      <c r="T667" s="3714"/>
      <c r="U667" s="3714"/>
      <c r="V667" s="3714"/>
      <c r="W667" s="3714"/>
      <c r="X667" s="3714"/>
      <c r="Y667" s="3714"/>
      <c r="Z667" s="3714"/>
      <c r="AA667" s="3714"/>
      <c r="AB667" s="3714"/>
      <c r="AC667" s="3714"/>
    </row>
    <row r="668" spans="1:29">
      <c r="A668" s="3714"/>
      <c r="B668" s="3714"/>
      <c r="C668" s="3714"/>
      <c r="D668" s="3714"/>
      <c r="E668" s="3714"/>
      <c r="F668" s="3714"/>
      <c r="G668" s="3714"/>
      <c r="H668" s="3714"/>
      <c r="I668" s="3714"/>
      <c r="J668" s="3714"/>
      <c r="K668" s="3715"/>
      <c r="L668" s="3716"/>
      <c r="M668" s="3714"/>
      <c r="N668" s="3714"/>
      <c r="O668" s="3714"/>
      <c r="P668" s="3756"/>
      <c r="Q668" s="3714"/>
      <c r="R668" s="3714"/>
      <c r="S668" s="3714"/>
      <c r="T668" s="3714"/>
      <c r="U668" s="3714"/>
      <c r="V668" s="3714"/>
      <c r="W668" s="3714"/>
      <c r="X668" s="3714"/>
      <c r="Y668" s="3714"/>
      <c r="Z668" s="3714"/>
      <c r="AA668" s="3714"/>
      <c r="AB668" s="3714"/>
      <c r="AC668" s="3714"/>
    </row>
    <row r="669" spans="1:29">
      <c r="A669" s="3714"/>
      <c r="B669" s="3714"/>
      <c r="C669" s="3714"/>
      <c r="D669" s="3714"/>
      <c r="E669" s="3714"/>
      <c r="F669" s="3714"/>
      <c r="G669" s="3714"/>
      <c r="H669" s="3714"/>
      <c r="I669" s="3714"/>
      <c r="J669" s="3714"/>
      <c r="K669" s="3715"/>
      <c r="L669" s="3716"/>
      <c r="M669" s="3714"/>
      <c r="N669" s="3714"/>
      <c r="O669" s="3714"/>
      <c r="P669" s="3756"/>
      <c r="Q669" s="3714"/>
      <c r="R669" s="3714"/>
      <c r="S669" s="3714"/>
      <c r="T669" s="3714"/>
      <c r="U669" s="3714"/>
      <c r="V669" s="3714"/>
      <c r="W669" s="3714"/>
      <c r="X669" s="3714"/>
      <c r="Y669" s="3714"/>
      <c r="Z669" s="3714"/>
      <c r="AA669" s="3714"/>
      <c r="AB669" s="3714"/>
      <c r="AC669" s="3714"/>
    </row>
    <row r="670" spans="1:29">
      <c r="A670" s="3714"/>
      <c r="B670" s="3714"/>
      <c r="C670" s="3714"/>
      <c r="D670" s="3714"/>
      <c r="E670" s="3714"/>
      <c r="F670" s="3714"/>
      <c r="G670" s="3714"/>
      <c r="H670" s="3714"/>
      <c r="I670" s="3714"/>
      <c r="J670" s="3714"/>
      <c r="K670" s="3715"/>
      <c r="L670" s="3716"/>
      <c r="M670" s="3714"/>
      <c r="N670" s="3714"/>
      <c r="O670" s="3714"/>
      <c r="P670" s="3756"/>
      <c r="Q670" s="3714"/>
      <c r="R670" s="3714"/>
      <c r="S670" s="3714"/>
      <c r="T670" s="3714"/>
      <c r="U670" s="3714"/>
      <c r="V670" s="3714"/>
      <c r="W670" s="3714"/>
      <c r="X670" s="3714"/>
      <c r="Y670" s="3714"/>
      <c r="Z670" s="3714"/>
      <c r="AA670" s="3714"/>
      <c r="AB670" s="3714"/>
      <c r="AC670" s="3714"/>
    </row>
    <row r="671" spans="1:29">
      <c r="A671" s="3714"/>
      <c r="B671" s="3714"/>
      <c r="C671" s="3714"/>
      <c r="D671" s="3714"/>
      <c r="E671" s="3714"/>
      <c r="F671" s="3714"/>
      <c r="G671" s="3714"/>
      <c r="H671" s="3714"/>
      <c r="I671" s="3714"/>
      <c r="J671" s="3714"/>
      <c r="K671" s="3715"/>
      <c r="L671" s="3716"/>
      <c r="M671" s="3714"/>
      <c r="N671" s="3714"/>
      <c r="O671" s="3714"/>
      <c r="P671" s="3756"/>
      <c r="Q671" s="3714"/>
      <c r="R671" s="3714"/>
      <c r="S671" s="3714"/>
      <c r="T671" s="3714"/>
      <c r="U671" s="3714"/>
      <c r="V671" s="3714"/>
      <c r="W671" s="3714"/>
      <c r="X671" s="3714"/>
      <c r="Y671" s="3714"/>
      <c r="Z671" s="3714"/>
      <c r="AA671" s="3714"/>
      <c r="AB671" s="3714"/>
      <c r="AC671" s="3714"/>
    </row>
    <row r="672" spans="1:29">
      <c r="A672" s="3714"/>
      <c r="B672" s="3714"/>
      <c r="C672" s="3714"/>
      <c r="D672" s="3714"/>
      <c r="E672" s="3714"/>
      <c r="F672" s="3714"/>
      <c r="G672" s="3714"/>
      <c r="H672" s="3714"/>
      <c r="I672" s="3714"/>
      <c r="J672" s="3714"/>
      <c r="K672" s="3715"/>
      <c r="L672" s="3716"/>
      <c r="M672" s="3714"/>
      <c r="N672" s="3714"/>
      <c r="O672" s="3714"/>
      <c r="P672" s="3756"/>
      <c r="Q672" s="3714"/>
      <c r="R672" s="3714"/>
      <c r="S672" s="3714"/>
      <c r="T672" s="3714"/>
      <c r="U672" s="3714"/>
      <c r="V672" s="3714"/>
      <c r="W672" s="3714"/>
      <c r="X672" s="3714"/>
      <c r="Y672" s="3714"/>
      <c r="Z672" s="3714"/>
      <c r="AA672" s="3714"/>
      <c r="AB672" s="3714"/>
      <c r="AC672" s="3714"/>
    </row>
    <row r="673" spans="1:29">
      <c r="A673" s="3714"/>
      <c r="B673" s="3714"/>
      <c r="C673" s="3714"/>
      <c r="D673" s="3714"/>
      <c r="E673" s="3714"/>
      <c r="F673" s="3714"/>
      <c r="G673" s="3714"/>
      <c r="H673" s="3714"/>
      <c r="I673" s="3714"/>
      <c r="J673" s="3714"/>
      <c r="K673" s="3715"/>
      <c r="L673" s="3716"/>
      <c r="M673" s="3714"/>
      <c r="N673" s="3714"/>
      <c r="O673" s="3714"/>
      <c r="P673" s="3756"/>
      <c r="Q673" s="3714"/>
      <c r="R673" s="3714"/>
      <c r="S673" s="3714"/>
      <c r="T673" s="3714"/>
      <c r="U673" s="3714"/>
      <c r="V673" s="3714"/>
      <c r="W673" s="3714"/>
      <c r="X673" s="3714"/>
      <c r="Y673" s="3714"/>
      <c r="Z673" s="3714"/>
      <c r="AA673" s="3714"/>
      <c r="AB673" s="3714"/>
      <c r="AC673" s="3714"/>
    </row>
    <row r="674" spans="1:29">
      <c r="A674" s="3714"/>
      <c r="B674" s="3714"/>
      <c r="C674" s="3714"/>
      <c r="D674" s="3714"/>
      <c r="E674" s="3714"/>
      <c r="F674" s="3714"/>
      <c r="G674" s="3714"/>
      <c r="H674" s="3714"/>
      <c r="I674" s="3714"/>
      <c r="J674" s="3714"/>
      <c r="K674" s="3715"/>
      <c r="L674" s="3716"/>
      <c r="M674" s="3714"/>
      <c r="N674" s="3714"/>
      <c r="O674" s="3714"/>
      <c r="P674" s="3756"/>
      <c r="Q674" s="3714"/>
      <c r="R674" s="3714"/>
      <c r="S674" s="3714"/>
      <c r="T674" s="3714"/>
      <c r="U674" s="3714"/>
      <c r="V674" s="3714"/>
      <c r="W674" s="3714"/>
      <c r="X674" s="3714"/>
      <c r="Y674" s="3714"/>
      <c r="Z674" s="3714"/>
      <c r="AA674" s="3714"/>
      <c r="AB674" s="3714"/>
      <c r="AC674" s="3714"/>
    </row>
    <row r="675" spans="1:29">
      <c r="A675" s="3714"/>
      <c r="B675" s="3714"/>
      <c r="C675" s="3714"/>
      <c r="D675" s="3714"/>
      <c r="E675" s="3714"/>
      <c r="F675" s="3714"/>
      <c r="G675" s="3714"/>
      <c r="H675" s="3714"/>
      <c r="I675" s="3714"/>
      <c r="J675" s="3714"/>
      <c r="K675" s="3715"/>
      <c r="L675" s="3716"/>
      <c r="M675" s="3714"/>
      <c r="N675" s="3714"/>
      <c r="O675" s="3714"/>
      <c r="P675" s="3756"/>
      <c r="Q675" s="3714"/>
      <c r="R675" s="3714"/>
      <c r="S675" s="3714"/>
      <c r="T675" s="3714"/>
      <c r="U675" s="3714"/>
      <c r="V675" s="3714"/>
      <c r="W675" s="3714"/>
      <c r="X675" s="3714"/>
      <c r="Y675" s="3714"/>
      <c r="Z675" s="3714"/>
      <c r="AA675" s="3714"/>
      <c r="AB675" s="3714"/>
      <c r="AC675" s="3714"/>
    </row>
    <row r="676" spans="1:29">
      <c r="A676" s="3714"/>
      <c r="B676" s="3714"/>
      <c r="C676" s="3714"/>
      <c r="D676" s="3714"/>
      <c r="E676" s="3714"/>
      <c r="F676" s="3714"/>
      <c r="G676" s="3714"/>
      <c r="H676" s="3714"/>
      <c r="I676" s="3714"/>
      <c r="J676" s="3714"/>
      <c r="K676" s="3715"/>
      <c r="L676" s="3716"/>
      <c r="M676" s="3714"/>
      <c r="N676" s="3714"/>
      <c r="O676" s="3714"/>
      <c r="P676" s="3756"/>
      <c r="Q676" s="3714"/>
      <c r="R676" s="3714"/>
      <c r="S676" s="3714"/>
      <c r="T676" s="3714"/>
      <c r="U676" s="3714"/>
      <c r="V676" s="3714"/>
      <c r="W676" s="3714"/>
      <c r="X676" s="3714"/>
      <c r="Y676" s="3714"/>
      <c r="Z676" s="3714"/>
      <c r="AA676" s="3714"/>
      <c r="AB676" s="3714"/>
      <c r="AC676" s="3714"/>
    </row>
    <row r="677" spans="1:29">
      <c r="A677" s="3714"/>
      <c r="B677" s="3714"/>
      <c r="C677" s="3714"/>
      <c r="D677" s="3714"/>
      <c r="E677" s="3714"/>
      <c r="F677" s="3714"/>
      <c r="G677" s="3714"/>
      <c r="H677" s="3714"/>
      <c r="I677" s="3714"/>
      <c r="J677" s="3714"/>
      <c r="K677" s="3715"/>
      <c r="L677" s="3716"/>
      <c r="M677" s="3714"/>
      <c r="N677" s="3714"/>
      <c r="O677" s="3714"/>
      <c r="P677" s="3756"/>
      <c r="Q677" s="3714"/>
      <c r="R677" s="3714"/>
      <c r="S677" s="3714"/>
      <c r="T677" s="3714"/>
      <c r="U677" s="3714"/>
      <c r="V677" s="3714"/>
      <c r="W677" s="3714"/>
      <c r="X677" s="3714"/>
      <c r="Y677" s="3714"/>
      <c r="Z677" s="3714"/>
      <c r="AA677" s="3714"/>
      <c r="AB677" s="3714"/>
      <c r="AC677" s="3714"/>
    </row>
    <row r="678" spans="1:29">
      <c r="A678" s="3714"/>
      <c r="B678" s="3714"/>
      <c r="C678" s="3714"/>
      <c r="D678" s="3714"/>
      <c r="E678" s="3714"/>
      <c r="F678" s="3714"/>
      <c r="G678" s="3714"/>
      <c r="H678" s="3714"/>
      <c r="I678" s="3714"/>
      <c r="J678" s="3714"/>
      <c r="K678" s="3715"/>
      <c r="L678" s="3716"/>
      <c r="M678" s="3714"/>
      <c r="N678" s="3714"/>
      <c r="O678" s="3714"/>
      <c r="P678" s="3756"/>
      <c r="Q678" s="3714"/>
      <c r="R678" s="3714"/>
      <c r="S678" s="3714"/>
      <c r="T678" s="3714"/>
      <c r="U678" s="3714"/>
      <c r="V678" s="3714"/>
      <c r="W678" s="3714"/>
      <c r="X678" s="3714"/>
      <c r="Y678" s="3714"/>
      <c r="Z678" s="3714"/>
      <c r="AA678" s="3714"/>
      <c r="AB678" s="3714"/>
      <c r="AC678" s="3714"/>
    </row>
    <row r="679" spans="1:29">
      <c r="A679" s="3714"/>
      <c r="B679" s="3714"/>
      <c r="C679" s="3714"/>
      <c r="D679" s="3714"/>
      <c r="E679" s="3714"/>
      <c r="F679" s="3714"/>
      <c r="G679" s="3714"/>
      <c r="H679" s="3714"/>
      <c r="I679" s="3714"/>
      <c r="J679" s="3714"/>
      <c r="K679" s="3715"/>
      <c r="L679" s="3716"/>
      <c r="M679" s="3714"/>
      <c r="N679" s="3714"/>
      <c r="O679" s="3714"/>
      <c r="P679" s="3756"/>
      <c r="Q679" s="3714"/>
      <c r="R679" s="3714"/>
      <c r="S679" s="3714"/>
      <c r="T679" s="3714"/>
      <c r="U679" s="3714"/>
      <c r="V679" s="3714"/>
      <c r="W679" s="3714"/>
      <c r="X679" s="3714"/>
      <c r="Y679" s="3714"/>
      <c r="Z679" s="3714"/>
      <c r="AA679" s="3714"/>
      <c r="AB679" s="3714"/>
      <c r="AC679" s="3714"/>
    </row>
    <row r="680" spans="1:29">
      <c r="A680" s="3714"/>
      <c r="B680" s="3714"/>
      <c r="C680" s="3714"/>
      <c r="D680" s="3714"/>
      <c r="E680" s="3714"/>
      <c r="F680" s="3714"/>
      <c r="G680" s="3714"/>
      <c r="H680" s="3714"/>
      <c r="I680" s="3714"/>
      <c r="J680" s="3714"/>
      <c r="K680" s="3715"/>
      <c r="L680" s="3716"/>
      <c r="M680" s="3714"/>
      <c r="N680" s="3714"/>
      <c r="O680" s="3714"/>
      <c r="P680" s="3756"/>
      <c r="Q680" s="3714"/>
      <c r="R680" s="3714"/>
      <c r="S680" s="3714"/>
      <c r="T680" s="3714"/>
      <c r="U680" s="3714"/>
      <c r="V680" s="3714"/>
      <c r="W680" s="3714"/>
      <c r="X680" s="3714"/>
      <c r="Y680" s="3714"/>
      <c r="Z680" s="3714"/>
      <c r="AA680" s="3714"/>
      <c r="AB680" s="3714"/>
      <c r="AC680" s="3714"/>
    </row>
    <row r="681" spans="1:29">
      <c r="A681" s="3714"/>
      <c r="B681" s="3714"/>
      <c r="C681" s="3714"/>
      <c r="D681" s="3714"/>
      <c r="E681" s="3714"/>
      <c r="F681" s="3714"/>
      <c r="G681" s="3714"/>
      <c r="H681" s="3714"/>
      <c r="I681" s="3714"/>
      <c r="J681" s="3714"/>
      <c r="K681" s="3715"/>
      <c r="L681" s="3716"/>
      <c r="M681" s="3714"/>
      <c r="N681" s="3714"/>
      <c r="O681" s="3714"/>
      <c r="P681" s="3756"/>
      <c r="Q681" s="3714"/>
      <c r="R681" s="3714"/>
      <c r="S681" s="3714"/>
      <c r="T681" s="3714"/>
      <c r="U681" s="3714"/>
      <c r="V681" s="3714"/>
      <c r="W681" s="3714"/>
      <c r="X681" s="3714"/>
      <c r="Y681" s="3714"/>
      <c r="Z681" s="3714"/>
      <c r="AA681" s="3714"/>
      <c r="AB681" s="3714"/>
      <c r="AC681" s="3714"/>
    </row>
    <row r="682" spans="1:29">
      <c r="A682" s="3714"/>
      <c r="B682" s="3714"/>
      <c r="C682" s="3714"/>
      <c r="D682" s="3714"/>
      <c r="E682" s="3714"/>
      <c r="F682" s="3714"/>
      <c r="G682" s="3714"/>
      <c r="H682" s="3714"/>
      <c r="I682" s="3714"/>
      <c r="J682" s="3714"/>
      <c r="K682" s="3715"/>
      <c r="L682" s="3716"/>
      <c r="M682" s="3714"/>
      <c r="N682" s="3714"/>
      <c r="O682" s="3714"/>
      <c r="P682" s="3756"/>
      <c r="Q682" s="3714"/>
      <c r="R682" s="3714"/>
      <c r="S682" s="3714"/>
      <c r="T682" s="3714"/>
      <c r="U682" s="3714"/>
      <c r="V682" s="3714"/>
      <c r="W682" s="3714"/>
      <c r="X682" s="3714"/>
      <c r="Y682" s="3714"/>
      <c r="Z682" s="3714"/>
      <c r="AA682" s="3714"/>
      <c r="AB682" s="3714"/>
      <c r="AC682" s="3714"/>
    </row>
    <row r="683" spans="1:29">
      <c r="A683" s="3714"/>
      <c r="B683" s="3714"/>
      <c r="C683" s="3714"/>
      <c r="D683" s="3714"/>
      <c r="E683" s="3714"/>
      <c r="F683" s="3714"/>
      <c r="G683" s="3714"/>
      <c r="H683" s="3714"/>
      <c r="I683" s="3714"/>
      <c r="J683" s="3714"/>
      <c r="K683" s="3715"/>
      <c r="L683" s="3716"/>
      <c r="M683" s="3714"/>
      <c r="N683" s="3714"/>
      <c r="O683" s="3714"/>
      <c r="P683" s="3756"/>
      <c r="Q683" s="3714"/>
      <c r="R683" s="3714"/>
      <c r="S683" s="3714"/>
      <c r="T683" s="3714"/>
      <c r="U683" s="3714"/>
      <c r="V683" s="3714"/>
      <c r="W683" s="3714"/>
      <c r="X683" s="3714"/>
      <c r="Y683" s="3714"/>
      <c r="Z683" s="3714"/>
      <c r="AA683" s="3714"/>
      <c r="AB683" s="3714"/>
      <c r="AC683" s="3714"/>
    </row>
    <row r="684" spans="1:29">
      <c r="A684" s="3714"/>
      <c r="B684" s="3714"/>
      <c r="C684" s="3714"/>
      <c r="D684" s="3714"/>
      <c r="E684" s="3714"/>
      <c r="F684" s="3714"/>
      <c r="G684" s="3714"/>
      <c r="H684" s="3714"/>
      <c r="I684" s="3714"/>
      <c r="J684" s="3714"/>
      <c r="K684" s="3715"/>
      <c r="L684" s="3716"/>
      <c r="M684" s="3714"/>
      <c r="N684" s="3714"/>
      <c r="O684" s="3714"/>
      <c r="P684" s="3756"/>
      <c r="Q684" s="3714"/>
      <c r="R684" s="3714"/>
      <c r="S684" s="3714"/>
      <c r="T684" s="3714"/>
      <c r="U684" s="3714"/>
      <c r="V684" s="3714"/>
      <c r="W684" s="3714"/>
      <c r="X684" s="3714"/>
      <c r="Y684" s="3714"/>
      <c r="Z684" s="3714"/>
      <c r="AA684" s="3714"/>
      <c r="AB684" s="3714"/>
      <c r="AC684" s="3714"/>
    </row>
    <row r="685" spans="1:29">
      <c r="A685" s="3714"/>
      <c r="B685" s="3714"/>
      <c r="C685" s="3714"/>
      <c r="D685" s="3714"/>
      <c r="E685" s="3714"/>
      <c r="F685" s="3714"/>
      <c r="G685" s="3714"/>
      <c r="H685" s="3714"/>
      <c r="I685" s="3714"/>
      <c r="J685" s="3714"/>
      <c r="K685" s="3715"/>
      <c r="L685" s="3716"/>
      <c r="M685" s="3714"/>
      <c r="N685" s="3714"/>
      <c r="O685" s="3714"/>
      <c r="P685" s="3756"/>
      <c r="Q685" s="3714"/>
      <c r="R685" s="3714"/>
      <c r="S685" s="3714"/>
      <c r="T685" s="3714"/>
      <c r="U685" s="3714"/>
      <c r="V685" s="3714"/>
      <c r="W685" s="3714"/>
      <c r="X685" s="3714"/>
      <c r="Y685" s="3714"/>
      <c r="Z685" s="3714"/>
      <c r="AA685" s="3714"/>
      <c r="AB685" s="3714"/>
      <c r="AC685" s="3714"/>
    </row>
    <row r="686" spans="1:29">
      <c r="A686" s="3714"/>
      <c r="B686" s="3714"/>
      <c r="C686" s="3714"/>
      <c r="D686" s="3714"/>
      <c r="E686" s="3714"/>
      <c r="F686" s="3714"/>
      <c r="G686" s="3714"/>
      <c r="H686" s="3714"/>
      <c r="I686" s="3714"/>
      <c r="J686" s="3714"/>
      <c r="K686" s="3715"/>
      <c r="L686" s="3716"/>
      <c r="M686" s="3714"/>
      <c r="N686" s="3714"/>
      <c r="O686" s="3714"/>
      <c r="P686" s="3756"/>
      <c r="Q686" s="3714"/>
      <c r="R686" s="3714"/>
      <c r="S686" s="3714"/>
      <c r="T686" s="3714"/>
      <c r="U686" s="3714"/>
      <c r="V686" s="3714"/>
      <c r="W686" s="3714"/>
      <c r="X686" s="3714"/>
      <c r="Y686" s="3714"/>
      <c r="Z686" s="3714"/>
      <c r="AA686" s="3714"/>
      <c r="AB686" s="3714"/>
      <c r="AC686" s="3714"/>
    </row>
    <row r="687" spans="1:29">
      <c r="A687" s="3714"/>
      <c r="B687" s="3714"/>
      <c r="C687" s="3714"/>
      <c r="D687" s="3714"/>
      <c r="E687" s="3714"/>
      <c r="F687" s="3714"/>
      <c r="G687" s="3714"/>
      <c r="H687" s="3714"/>
      <c r="I687" s="3714"/>
      <c r="J687" s="3714"/>
      <c r="K687" s="3715"/>
      <c r="L687" s="3716"/>
      <c r="M687" s="3714"/>
      <c r="N687" s="3714"/>
      <c r="O687" s="3714"/>
      <c r="P687" s="3756"/>
      <c r="Q687" s="3714"/>
      <c r="R687" s="3714"/>
      <c r="S687" s="3714"/>
      <c r="T687" s="3714"/>
      <c r="U687" s="3714"/>
      <c r="V687" s="3714"/>
      <c r="W687" s="3714"/>
      <c r="X687" s="3714"/>
      <c r="Y687" s="3714"/>
      <c r="Z687" s="3714"/>
      <c r="AA687" s="3714"/>
      <c r="AB687" s="3714"/>
      <c r="AC687" s="3714"/>
    </row>
    <row r="688" spans="1:29">
      <c r="A688" s="3714"/>
      <c r="B688" s="3714"/>
      <c r="C688" s="3714"/>
      <c r="D688" s="3714"/>
      <c r="E688" s="3714"/>
      <c r="F688" s="3714"/>
      <c r="G688" s="3714"/>
      <c r="H688" s="3714"/>
      <c r="I688" s="3714"/>
      <c r="J688" s="3714"/>
      <c r="K688" s="3715"/>
      <c r="L688" s="3716"/>
      <c r="M688" s="3714"/>
      <c r="N688" s="3714"/>
      <c r="O688" s="3714"/>
      <c r="P688" s="3756"/>
      <c r="Q688" s="3714"/>
      <c r="R688" s="3714"/>
      <c r="S688" s="3714"/>
      <c r="T688" s="3714"/>
      <c r="U688" s="3714"/>
      <c r="V688" s="3714"/>
      <c r="W688" s="3714"/>
      <c r="X688" s="3714"/>
      <c r="Y688" s="3714"/>
      <c r="Z688" s="3714"/>
      <c r="AA688" s="3714"/>
      <c r="AB688" s="3714"/>
      <c r="AC688" s="3714"/>
    </row>
    <row r="689" spans="1:29">
      <c r="A689" s="3714"/>
      <c r="B689" s="3714"/>
      <c r="C689" s="3714"/>
      <c r="D689" s="3714"/>
      <c r="E689" s="3714"/>
      <c r="F689" s="3714"/>
      <c r="G689" s="3714"/>
      <c r="H689" s="3714"/>
      <c r="I689" s="3714"/>
      <c r="J689" s="3714"/>
      <c r="K689" s="3715"/>
      <c r="L689" s="3716"/>
      <c r="M689" s="3714"/>
      <c r="N689" s="3714"/>
      <c r="O689" s="3714"/>
      <c r="P689" s="3756"/>
      <c r="Q689" s="3714"/>
      <c r="R689" s="3714"/>
      <c r="S689" s="3714"/>
      <c r="T689" s="3714"/>
      <c r="U689" s="3714"/>
      <c r="V689" s="3714"/>
      <c r="W689" s="3714"/>
      <c r="X689" s="3714"/>
      <c r="Y689" s="3714"/>
      <c r="Z689" s="3714"/>
      <c r="AA689" s="3714"/>
      <c r="AB689" s="3714"/>
      <c r="AC689" s="3714"/>
    </row>
    <row r="690" spans="1:29">
      <c r="A690" s="3714"/>
      <c r="B690" s="3714"/>
      <c r="C690" s="3714"/>
      <c r="D690" s="3714"/>
      <c r="E690" s="3714"/>
      <c r="F690" s="3714"/>
      <c r="G690" s="3714"/>
      <c r="H690" s="3714"/>
      <c r="I690" s="3714"/>
      <c r="J690" s="3714"/>
      <c r="K690" s="3715"/>
      <c r="L690" s="3716"/>
      <c r="M690" s="3714"/>
      <c r="N690" s="3714"/>
      <c r="O690" s="3714"/>
      <c r="P690" s="3756"/>
      <c r="Q690" s="3714"/>
      <c r="R690" s="3714"/>
      <c r="S690" s="3714"/>
      <c r="T690" s="3714"/>
      <c r="U690" s="3714"/>
      <c r="V690" s="3714"/>
      <c r="W690" s="3714"/>
      <c r="X690" s="3714"/>
      <c r="Y690" s="3714"/>
      <c r="Z690" s="3714"/>
      <c r="AA690" s="3714"/>
      <c r="AB690" s="3714"/>
      <c r="AC690" s="3714"/>
    </row>
    <row r="691" spans="1:29">
      <c r="A691" s="3714"/>
      <c r="B691" s="3714"/>
      <c r="C691" s="3714"/>
      <c r="D691" s="3714"/>
      <c r="E691" s="3714"/>
      <c r="F691" s="3714"/>
      <c r="G691" s="3714"/>
      <c r="H691" s="3714"/>
      <c r="I691" s="3714"/>
      <c r="J691" s="3714"/>
      <c r="K691" s="3715"/>
      <c r="L691" s="3716"/>
      <c r="M691" s="3714"/>
      <c r="N691" s="3714"/>
      <c r="O691" s="3714"/>
      <c r="P691" s="3756"/>
      <c r="Q691" s="3714"/>
      <c r="R691" s="3714"/>
      <c r="S691" s="3714"/>
      <c r="T691" s="3714"/>
      <c r="U691" s="3714"/>
      <c r="V691" s="3714"/>
      <c r="W691" s="3714"/>
      <c r="X691" s="3714"/>
      <c r="Y691" s="3714"/>
      <c r="Z691" s="3714"/>
      <c r="AA691" s="3714"/>
      <c r="AB691" s="3714"/>
      <c r="AC691" s="3714"/>
    </row>
    <row r="692" spans="1:29">
      <c r="A692" s="3714"/>
      <c r="B692" s="3714"/>
      <c r="C692" s="3714"/>
      <c r="D692" s="3714"/>
      <c r="E692" s="3714"/>
      <c r="F692" s="3714"/>
      <c r="G692" s="3714"/>
      <c r="H692" s="3714"/>
      <c r="I692" s="3714"/>
      <c r="J692" s="3714"/>
      <c r="K692" s="3715"/>
      <c r="L692" s="3716"/>
      <c r="M692" s="3714"/>
      <c r="N692" s="3714"/>
      <c r="O692" s="3714"/>
      <c r="P692" s="3756"/>
      <c r="Q692" s="3714"/>
      <c r="R692" s="3714"/>
      <c r="S692" s="3714"/>
      <c r="T692" s="3714"/>
      <c r="U692" s="3714"/>
      <c r="V692" s="3714"/>
      <c r="W692" s="3714"/>
      <c r="X692" s="3714"/>
      <c r="Y692" s="3714"/>
      <c r="Z692" s="3714"/>
      <c r="AA692" s="3714"/>
      <c r="AB692" s="3714"/>
      <c r="AC692" s="3714"/>
    </row>
    <row r="693" spans="1:29">
      <c r="A693" s="3714"/>
      <c r="B693" s="3714"/>
      <c r="C693" s="3714"/>
      <c r="D693" s="3714"/>
      <c r="E693" s="3714"/>
      <c r="F693" s="3714"/>
      <c r="G693" s="3714"/>
      <c r="H693" s="3714"/>
      <c r="I693" s="3714"/>
      <c r="J693" s="3714"/>
      <c r="K693" s="3715"/>
      <c r="L693" s="3716"/>
      <c r="M693" s="3714"/>
      <c r="N693" s="3714"/>
      <c r="O693" s="3714"/>
      <c r="P693" s="3756"/>
      <c r="Q693" s="3714"/>
      <c r="R693" s="3714"/>
      <c r="S693" s="3714"/>
      <c r="T693" s="3714"/>
      <c r="U693" s="3714"/>
      <c r="V693" s="3714"/>
      <c r="W693" s="3714"/>
      <c r="X693" s="3714"/>
      <c r="Y693" s="3714"/>
      <c r="Z693" s="3714"/>
      <c r="AA693" s="3714"/>
      <c r="AB693" s="3714"/>
      <c r="AC693" s="3714"/>
    </row>
    <row r="694" spans="1:29">
      <c r="A694" s="3714"/>
      <c r="B694" s="3714"/>
      <c r="C694" s="3714"/>
      <c r="D694" s="3714"/>
      <c r="E694" s="3714"/>
      <c r="F694" s="3714"/>
      <c r="G694" s="3714"/>
      <c r="H694" s="3714"/>
      <c r="I694" s="3714"/>
      <c r="J694" s="3714"/>
      <c r="K694" s="3715"/>
      <c r="L694" s="3716"/>
      <c r="M694" s="3714"/>
      <c r="N694" s="3714"/>
      <c r="O694" s="3714"/>
      <c r="P694" s="3756"/>
      <c r="Q694" s="3714"/>
      <c r="R694" s="3714"/>
      <c r="S694" s="3714"/>
      <c r="T694" s="3714"/>
      <c r="U694" s="3714"/>
      <c r="V694" s="3714"/>
      <c r="W694" s="3714"/>
      <c r="X694" s="3714"/>
      <c r="Y694" s="3714"/>
      <c r="Z694" s="3714"/>
      <c r="AA694" s="3714"/>
      <c r="AB694" s="3714"/>
      <c r="AC694" s="3714"/>
    </row>
    <row r="695" spans="1:29">
      <c r="A695" s="3714"/>
      <c r="B695" s="3714"/>
      <c r="C695" s="3714"/>
      <c r="D695" s="3714"/>
      <c r="E695" s="3714"/>
      <c r="F695" s="3714"/>
      <c r="G695" s="3714"/>
      <c r="H695" s="3714"/>
      <c r="I695" s="3714"/>
      <c r="J695" s="3714"/>
      <c r="K695" s="3715"/>
      <c r="L695" s="3716"/>
      <c r="M695" s="3714"/>
      <c r="N695" s="3714"/>
      <c r="O695" s="3714"/>
      <c r="P695" s="3756"/>
      <c r="Q695" s="3714"/>
      <c r="R695" s="3714"/>
      <c r="S695" s="3714"/>
      <c r="T695" s="3714"/>
      <c r="U695" s="3714"/>
      <c r="V695" s="3714"/>
      <c r="W695" s="3714"/>
      <c r="X695" s="3714"/>
      <c r="Y695" s="3714"/>
      <c r="Z695" s="3714"/>
      <c r="AA695" s="3714"/>
      <c r="AB695" s="3714"/>
      <c r="AC695" s="3714"/>
    </row>
    <row r="696" spans="1:29">
      <c r="A696" s="3714"/>
      <c r="B696" s="3714"/>
      <c r="C696" s="3714"/>
      <c r="D696" s="3714"/>
      <c r="E696" s="3714"/>
      <c r="F696" s="3714"/>
      <c r="G696" s="3714"/>
      <c r="H696" s="3714"/>
      <c r="I696" s="3714"/>
      <c r="J696" s="3714"/>
      <c r="K696" s="3715"/>
      <c r="L696" s="3716"/>
      <c r="M696" s="3714"/>
      <c r="N696" s="3714"/>
      <c r="O696" s="3714"/>
      <c r="P696" s="3756"/>
      <c r="Q696" s="3714"/>
      <c r="R696" s="3714"/>
      <c r="S696" s="3714"/>
      <c r="T696" s="3714"/>
      <c r="U696" s="3714"/>
      <c r="V696" s="3714"/>
      <c r="W696" s="3714"/>
      <c r="X696" s="3714"/>
      <c r="Y696" s="3714"/>
      <c r="Z696" s="3714"/>
      <c r="AA696" s="3714"/>
      <c r="AB696" s="3714"/>
      <c r="AC696" s="3714"/>
    </row>
    <row r="697" spans="1:29">
      <c r="A697" s="3714"/>
      <c r="B697" s="3714"/>
      <c r="C697" s="3714"/>
      <c r="D697" s="3714"/>
      <c r="E697" s="3714"/>
      <c r="F697" s="3714"/>
      <c r="G697" s="3714"/>
      <c r="H697" s="3714"/>
      <c r="I697" s="3714"/>
      <c r="J697" s="3714"/>
      <c r="K697" s="3715"/>
      <c r="L697" s="3716"/>
      <c r="M697" s="3714"/>
      <c r="N697" s="3714"/>
      <c r="O697" s="3714"/>
      <c r="P697" s="3756"/>
      <c r="Q697" s="3714"/>
      <c r="R697" s="3714"/>
      <c r="S697" s="3714"/>
      <c r="T697" s="3714"/>
      <c r="U697" s="3714"/>
      <c r="V697" s="3714"/>
      <c r="W697" s="3714"/>
      <c r="X697" s="3714"/>
      <c r="Y697" s="3714"/>
      <c r="Z697" s="3714"/>
      <c r="AA697" s="3714"/>
      <c r="AB697" s="3714"/>
      <c r="AC697" s="3714"/>
    </row>
    <row r="698" spans="1:29">
      <c r="A698" s="3714"/>
      <c r="B698" s="3714"/>
      <c r="C698" s="3714"/>
      <c r="D698" s="3714"/>
      <c r="E698" s="3714"/>
      <c r="F698" s="3714"/>
      <c r="G698" s="3714"/>
      <c r="H698" s="3714"/>
      <c r="I698" s="3714"/>
      <c r="J698" s="3714"/>
      <c r="K698" s="3715"/>
      <c r="L698" s="3716"/>
      <c r="M698" s="3714"/>
      <c r="N698" s="3714"/>
      <c r="O698" s="3714"/>
      <c r="P698" s="3756"/>
      <c r="Q698" s="3714"/>
      <c r="R698" s="3714"/>
      <c r="S698" s="3714"/>
      <c r="T698" s="3714"/>
      <c r="U698" s="3714"/>
      <c r="V698" s="3714"/>
      <c r="W698" s="3714"/>
      <c r="X698" s="3714"/>
      <c r="Y698" s="3714"/>
      <c r="Z698" s="3714"/>
      <c r="AA698" s="3714"/>
      <c r="AB698" s="3714"/>
      <c r="AC698" s="3714"/>
    </row>
    <row r="699" spans="1:29">
      <c r="A699" s="3714"/>
      <c r="B699" s="3714"/>
      <c r="C699" s="3714"/>
      <c r="D699" s="3714"/>
      <c r="E699" s="3714"/>
      <c r="F699" s="3714"/>
      <c r="G699" s="3714"/>
      <c r="H699" s="3714"/>
      <c r="I699" s="3714"/>
      <c r="J699" s="3714"/>
      <c r="K699" s="3715"/>
      <c r="L699" s="3716"/>
      <c r="M699" s="3714"/>
      <c r="N699" s="3714"/>
      <c r="O699" s="3714"/>
      <c r="P699" s="3756"/>
      <c r="Q699" s="3714"/>
      <c r="R699" s="3714"/>
      <c r="S699" s="3714"/>
      <c r="T699" s="3714"/>
      <c r="U699" s="3714"/>
      <c r="V699" s="3714"/>
      <c r="W699" s="3714"/>
      <c r="X699" s="3714"/>
      <c r="Y699" s="3714"/>
      <c r="Z699" s="3714"/>
      <c r="AA699" s="3714"/>
      <c r="AB699" s="3714"/>
      <c r="AC699" s="3714"/>
    </row>
    <row r="700" spans="1:29">
      <c r="A700" s="3714"/>
      <c r="B700" s="3714"/>
      <c r="C700" s="3714"/>
      <c r="D700" s="3714"/>
      <c r="E700" s="3714"/>
      <c r="F700" s="3714"/>
      <c r="G700" s="3714"/>
      <c r="H700" s="3714"/>
      <c r="I700" s="3714"/>
      <c r="J700" s="3714"/>
      <c r="K700" s="3715"/>
      <c r="L700" s="3716"/>
      <c r="M700" s="3714"/>
      <c r="N700" s="3714"/>
      <c r="O700" s="3714"/>
      <c r="P700" s="3756"/>
      <c r="Q700" s="3714"/>
      <c r="R700" s="3714"/>
      <c r="S700" s="3714"/>
      <c r="T700" s="3714"/>
      <c r="U700" s="3714"/>
      <c r="V700" s="3714"/>
      <c r="W700" s="3714"/>
      <c r="X700" s="3714"/>
      <c r="Y700" s="3714"/>
      <c r="Z700" s="3714"/>
      <c r="AA700" s="3714"/>
      <c r="AB700" s="3714"/>
      <c r="AC700" s="3714"/>
    </row>
    <row r="701" spans="1:29">
      <c r="A701" s="3714"/>
      <c r="B701" s="3714"/>
      <c r="C701" s="3714"/>
      <c r="D701" s="3714"/>
      <c r="E701" s="3714"/>
      <c r="F701" s="3714"/>
      <c r="G701" s="3714"/>
      <c r="H701" s="3714"/>
      <c r="I701" s="3714"/>
      <c r="J701" s="3714"/>
      <c r="K701" s="3715"/>
      <c r="L701" s="3716"/>
      <c r="M701" s="3714"/>
      <c r="N701" s="3714"/>
      <c r="O701" s="3714"/>
      <c r="P701" s="3756"/>
      <c r="Q701" s="3714"/>
      <c r="R701" s="3714"/>
      <c r="S701" s="3714"/>
      <c r="T701" s="3714"/>
      <c r="U701" s="3714"/>
      <c r="V701" s="3714"/>
      <c r="W701" s="3714"/>
      <c r="X701" s="3714"/>
      <c r="Y701" s="3714"/>
      <c r="Z701" s="3714"/>
      <c r="AA701" s="3714"/>
      <c r="AB701" s="3714"/>
      <c r="AC701" s="3714"/>
    </row>
    <row r="702" spans="1:29">
      <c r="A702" s="3714"/>
      <c r="B702" s="3714"/>
      <c r="C702" s="3714"/>
      <c r="D702" s="3714"/>
      <c r="E702" s="3714"/>
      <c r="F702" s="3714"/>
      <c r="G702" s="3714"/>
      <c r="H702" s="3714"/>
      <c r="I702" s="3714"/>
      <c r="J702" s="3714"/>
      <c r="K702" s="3715"/>
      <c r="L702" s="3716"/>
      <c r="M702" s="3714"/>
      <c r="N702" s="3714"/>
      <c r="O702" s="3714"/>
      <c r="P702" s="3756"/>
      <c r="Q702" s="3714"/>
      <c r="R702" s="3714"/>
      <c r="S702" s="3714"/>
      <c r="T702" s="3714"/>
      <c r="U702" s="3714"/>
      <c r="V702" s="3714"/>
      <c r="W702" s="3714"/>
      <c r="X702" s="3714"/>
      <c r="Y702" s="3714"/>
      <c r="Z702" s="3714"/>
      <c r="AA702" s="3714"/>
      <c r="AB702" s="3714"/>
      <c r="AC702" s="3714"/>
    </row>
    <row r="703" spans="1:29">
      <c r="A703" s="3714"/>
      <c r="B703" s="3714"/>
      <c r="C703" s="3714"/>
      <c r="D703" s="3714"/>
      <c r="E703" s="3714"/>
      <c r="F703" s="3714"/>
      <c r="G703" s="3714"/>
      <c r="H703" s="3714"/>
      <c r="I703" s="3714"/>
      <c r="J703" s="3714"/>
      <c r="K703" s="3715"/>
      <c r="L703" s="3716"/>
      <c r="M703" s="3714"/>
      <c r="N703" s="3714"/>
      <c r="O703" s="3714"/>
      <c r="P703" s="3756"/>
      <c r="Q703" s="3714"/>
      <c r="R703" s="3714"/>
      <c r="S703" s="3714"/>
      <c r="T703" s="3714"/>
      <c r="U703" s="3714"/>
      <c r="V703" s="3714"/>
      <c r="W703" s="3714"/>
      <c r="X703" s="3714"/>
      <c r="Y703" s="3714"/>
      <c r="Z703" s="3714"/>
      <c r="AA703" s="3714"/>
      <c r="AB703" s="3714"/>
      <c r="AC703" s="3714"/>
    </row>
    <row r="704" spans="1:29">
      <c r="A704" s="3714"/>
      <c r="B704" s="3714"/>
      <c r="C704" s="3714"/>
      <c r="D704" s="3714"/>
      <c r="E704" s="3714"/>
      <c r="F704" s="3714"/>
      <c r="G704" s="3714"/>
      <c r="H704" s="3714"/>
      <c r="I704" s="3714"/>
      <c r="J704" s="3714"/>
      <c r="K704" s="3715"/>
      <c r="L704" s="3716"/>
      <c r="M704" s="3714"/>
      <c r="N704" s="3714"/>
      <c r="O704" s="3714"/>
      <c r="P704" s="3756"/>
      <c r="Q704" s="3714"/>
      <c r="R704" s="3714"/>
      <c r="S704" s="3714"/>
      <c r="T704" s="3714"/>
      <c r="U704" s="3714"/>
      <c r="V704" s="3714"/>
      <c r="W704" s="3714"/>
      <c r="X704" s="3714"/>
      <c r="Y704" s="3714"/>
      <c r="Z704" s="3714"/>
      <c r="AA704" s="3714"/>
      <c r="AB704" s="3714"/>
      <c r="AC704" s="3714"/>
    </row>
    <row r="705" spans="1:29">
      <c r="A705" s="3714"/>
      <c r="B705" s="3714"/>
      <c r="C705" s="3714"/>
      <c r="D705" s="3714"/>
      <c r="E705" s="3714"/>
      <c r="F705" s="3714"/>
      <c r="G705" s="3714"/>
      <c r="H705" s="3714"/>
      <c r="I705" s="3714"/>
      <c r="J705" s="3714"/>
      <c r="K705" s="3715"/>
      <c r="L705" s="3716"/>
      <c r="M705" s="3714"/>
      <c r="N705" s="3714"/>
      <c r="O705" s="3714"/>
      <c r="P705" s="3756"/>
      <c r="Q705" s="3714"/>
      <c r="R705" s="3714"/>
      <c r="S705" s="3714"/>
      <c r="T705" s="3714"/>
      <c r="U705" s="3714"/>
      <c r="V705" s="3714"/>
      <c r="W705" s="3714"/>
      <c r="X705" s="3714"/>
      <c r="Y705" s="3714"/>
      <c r="Z705" s="3714"/>
      <c r="AA705" s="3714"/>
      <c r="AB705" s="3714"/>
      <c r="AC705" s="3714"/>
    </row>
    <row r="706" spans="1:29">
      <c r="A706" s="3714"/>
      <c r="B706" s="3714"/>
      <c r="C706" s="3714"/>
      <c r="D706" s="3714"/>
      <c r="E706" s="3714"/>
      <c r="F706" s="3714"/>
      <c r="G706" s="3714"/>
      <c r="H706" s="3714"/>
      <c r="I706" s="3714"/>
      <c r="J706" s="3714"/>
      <c r="K706" s="3715"/>
      <c r="L706" s="3716"/>
      <c r="M706" s="3714"/>
      <c r="N706" s="3714"/>
      <c r="O706" s="3714"/>
      <c r="P706" s="3756"/>
      <c r="Q706" s="3714"/>
      <c r="R706" s="3714"/>
      <c r="S706" s="3714"/>
      <c r="T706" s="3714"/>
      <c r="U706" s="3714"/>
      <c r="V706" s="3714"/>
      <c r="W706" s="3714"/>
      <c r="X706" s="3714"/>
      <c r="Y706" s="3714"/>
      <c r="Z706" s="3714"/>
      <c r="AA706" s="3714"/>
      <c r="AB706" s="3714"/>
      <c r="AC706" s="3714"/>
    </row>
    <row r="707" spans="1:29">
      <c r="A707" s="3714"/>
      <c r="B707" s="3714"/>
      <c r="C707" s="3714"/>
      <c r="D707" s="3714"/>
      <c r="E707" s="3714"/>
      <c r="F707" s="3714"/>
      <c r="G707" s="3714"/>
      <c r="H707" s="3714"/>
      <c r="I707" s="3714"/>
      <c r="J707" s="3714"/>
      <c r="K707" s="3715"/>
      <c r="L707" s="3716"/>
      <c r="M707" s="3714"/>
      <c r="N707" s="3714"/>
      <c r="O707" s="3714"/>
      <c r="P707" s="3756"/>
      <c r="Q707" s="3714"/>
      <c r="R707" s="3714"/>
      <c r="S707" s="3714"/>
      <c r="T707" s="3714"/>
      <c r="U707" s="3714"/>
      <c r="V707" s="3714"/>
      <c r="W707" s="3714"/>
      <c r="X707" s="3714"/>
      <c r="Y707" s="3714"/>
      <c r="Z707" s="3714"/>
      <c r="AA707" s="3714"/>
      <c r="AB707" s="3714"/>
      <c r="AC707" s="3714"/>
    </row>
    <row r="708" spans="1:29">
      <c r="A708" s="3714"/>
      <c r="B708" s="3714"/>
      <c r="C708" s="3714"/>
      <c r="D708" s="3714"/>
      <c r="E708" s="3714"/>
      <c r="F708" s="3714"/>
      <c r="G708" s="3714"/>
      <c r="H708" s="3714"/>
      <c r="I708" s="3714"/>
      <c r="J708" s="3714"/>
      <c r="K708" s="3715"/>
      <c r="L708" s="3716"/>
      <c r="M708" s="3714"/>
      <c r="N708" s="3714"/>
      <c r="O708" s="3714"/>
      <c r="P708" s="3756"/>
      <c r="Q708" s="3714"/>
      <c r="R708" s="3714"/>
      <c r="S708" s="3714"/>
      <c r="T708" s="3714"/>
      <c r="U708" s="3714"/>
      <c r="V708" s="3714"/>
      <c r="W708" s="3714"/>
      <c r="X708" s="3714"/>
      <c r="Y708" s="3714"/>
      <c r="Z708" s="3714"/>
      <c r="AA708" s="3714"/>
      <c r="AB708" s="3714"/>
      <c r="AC708" s="3714"/>
    </row>
    <row r="709" spans="1:29">
      <c r="A709" s="3714"/>
      <c r="B709" s="3714"/>
      <c r="C709" s="3714"/>
      <c r="D709" s="3714"/>
      <c r="E709" s="3714"/>
      <c r="F709" s="3714"/>
      <c r="G709" s="3714"/>
      <c r="H709" s="3714"/>
      <c r="I709" s="3714"/>
      <c r="J709" s="3714"/>
      <c r="K709" s="3715"/>
      <c r="L709" s="3716"/>
      <c r="M709" s="3714"/>
      <c r="N709" s="3714"/>
      <c r="O709" s="3714"/>
      <c r="P709" s="3756"/>
      <c r="Q709" s="3714"/>
      <c r="R709" s="3714"/>
      <c r="S709" s="3714"/>
      <c r="T709" s="3714"/>
      <c r="U709" s="3714"/>
      <c r="V709" s="3714"/>
      <c r="W709" s="3714"/>
      <c r="X709" s="3714"/>
      <c r="Y709" s="3714"/>
      <c r="Z709" s="3714"/>
      <c r="AA709" s="3714"/>
      <c r="AB709" s="3714"/>
      <c r="AC709" s="3714"/>
    </row>
    <row r="710" spans="1:29">
      <c r="A710" s="3714"/>
      <c r="B710" s="3714"/>
      <c r="C710" s="3714"/>
      <c r="D710" s="3714"/>
      <c r="E710" s="3714"/>
      <c r="F710" s="3714"/>
      <c r="G710" s="3714"/>
      <c r="H710" s="3714"/>
      <c r="I710" s="3714"/>
      <c r="J710" s="3714"/>
      <c r="K710" s="3715"/>
      <c r="L710" s="3716"/>
      <c r="M710" s="3714"/>
      <c r="N710" s="3714"/>
      <c r="O710" s="3714"/>
      <c r="P710" s="3756"/>
      <c r="Q710" s="3714"/>
      <c r="R710" s="3714"/>
      <c r="S710" s="3714"/>
      <c r="T710" s="3714"/>
      <c r="U710" s="3714"/>
      <c r="V710" s="3714"/>
      <c r="W710" s="3714"/>
      <c r="X710" s="3714"/>
      <c r="Y710" s="3714"/>
      <c r="Z710" s="3714"/>
      <c r="AA710" s="3714"/>
      <c r="AB710" s="3714"/>
      <c r="AC710" s="3714"/>
    </row>
    <row r="711" spans="1:29">
      <c r="A711" s="3714"/>
      <c r="B711" s="3714"/>
      <c r="C711" s="3714"/>
      <c r="D711" s="3714"/>
      <c r="E711" s="3714"/>
      <c r="F711" s="3714"/>
      <c r="G711" s="3714"/>
      <c r="H711" s="3714"/>
      <c r="I711" s="3714"/>
      <c r="J711" s="3714"/>
      <c r="K711" s="3715"/>
      <c r="L711" s="3716"/>
      <c r="M711" s="3714"/>
      <c r="N711" s="3714"/>
      <c r="O711" s="3714"/>
      <c r="P711" s="3756"/>
      <c r="Q711" s="3714"/>
      <c r="R711" s="3714"/>
      <c r="S711" s="3714"/>
      <c r="T711" s="3714"/>
      <c r="U711" s="3714"/>
      <c r="V711" s="3714"/>
      <c r="W711" s="3714"/>
      <c r="X711" s="3714"/>
      <c r="Y711" s="3714"/>
      <c r="Z711" s="3714"/>
      <c r="AA711" s="3714"/>
      <c r="AB711" s="3714"/>
      <c r="AC711" s="3714"/>
    </row>
    <row r="712" spans="1:29">
      <c r="A712" s="3714"/>
      <c r="B712" s="3714"/>
      <c r="C712" s="3714"/>
      <c r="D712" s="3714"/>
      <c r="E712" s="3714"/>
      <c r="F712" s="3714"/>
      <c r="G712" s="3714"/>
      <c r="H712" s="3714"/>
      <c r="I712" s="3714"/>
      <c r="J712" s="3714"/>
      <c r="K712" s="3715"/>
      <c r="L712" s="3716"/>
      <c r="M712" s="3714"/>
      <c r="N712" s="3714"/>
      <c r="O712" s="3714"/>
      <c r="P712" s="3756"/>
      <c r="Q712" s="3714"/>
      <c r="R712" s="3714"/>
      <c r="S712" s="3714"/>
      <c r="T712" s="3714"/>
      <c r="U712" s="3714"/>
      <c r="V712" s="3714"/>
      <c r="W712" s="3714"/>
      <c r="X712" s="3714"/>
      <c r="Y712" s="3714"/>
      <c r="Z712" s="3714"/>
      <c r="AA712" s="3714"/>
      <c r="AB712" s="3714"/>
      <c r="AC712" s="3714"/>
    </row>
    <row r="713" spans="1:29">
      <c r="A713" s="3714"/>
      <c r="B713" s="3714"/>
      <c r="C713" s="3714"/>
      <c r="D713" s="3714"/>
      <c r="E713" s="3714"/>
      <c r="F713" s="3714"/>
      <c r="G713" s="3714"/>
      <c r="H713" s="3714"/>
      <c r="I713" s="3714"/>
      <c r="J713" s="3714"/>
      <c r="K713" s="3715"/>
      <c r="L713" s="3716"/>
      <c r="M713" s="3714"/>
      <c r="N713" s="3714"/>
      <c r="O713" s="3714"/>
      <c r="P713" s="3756"/>
      <c r="Q713" s="3714"/>
      <c r="R713" s="3714"/>
      <c r="S713" s="3714"/>
      <c r="T713" s="3714"/>
      <c r="U713" s="3714"/>
      <c r="V713" s="3714"/>
      <c r="W713" s="3714"/>
      <c r="X713" s="3714"/>
      <c r="Y713" s="3714"/>
      <c r="Z713" s="3714"/>
      <c r="AA713" s="3714"/>
      <c r="AB713" s="3714"/>
      <c r="AC713" s="3714"/>
    </row>
    <row r="714" spans="1:29">
      <c r="A714" s="3714"/>
      <c r="B714" s="3714"/>
      <c r="C714" s="3714"/>
      <c r="D714" s="3714"/>
      <c r="E714" s="3714"/>
      <c r="F714" s="3714"/>
      <c r="G714" s="3714"/>
      <c r="H714" s="3714"/>
      <c r="I714" s="3714"/>
      <c r="J714" s="3714"/>
      <c r="K714" s="3715"/>
      <c r="L714" s="3716"/>
      <c r="M714" s="3714"/>
      <c r="N714" s="3714"/>
      <c r="O714" s="3714"/>
      <c r="P714" s="3756"/>
      <c r="Q714" s="3714"/>
      <c r="R714" s="3714"/>
      <c r="S714" s="3714"/>
      <c r="T714" s="3714"/>
      <c r="U714" s="3714"/>
      <c r="V714" s="3714"/>
      <c r="W714" s="3714"/>
      <c r="X714" s="3714"/>
      <c r="Y714" s="3714"/>
      <c r="Z714" s="3714"/>
      <c r="AA714" s="3714"/>
      <c r="AB714" s="3714"/>
      <c r="AC714" s="3714"/>
    </row>
    <row r="715" spans="1:29">
      <c r="A715" s="3714"/>
      <c r="B715" s="3714"/>
      <c r="C715" s="3714"/>
      <c r="D715" s="3714"/>
      <c r="E715" s="3714"/>
      <c r="F715" s="3714"/>
      <c r="G715" s="3714"/>
      <c r="H715" s="3714"/>
      <c r="I715" s="3714"/>
      <c r="J715" s="3714"/>
      <c r="K715" s="3715"/>
      <c r="L715" s="3716"/>
      <c r="M715" s="3714"/>
      <c r="N715" s="3714"/>
      <c r="O715" s="3714"/>
      <c r="P715" s="3756"/>
      <c r="Q715" s="3714"/>
      <c r="R715" s="3714"/>
      <c r="S715" s="3714"/>
      <c r="T715" s="3714"/>
      <c r="U715" s="3714"/>
      <c r="V715" s="3714"/>
      <c r="W715" s="3714"/>
      <c r="X715" s="3714"/>
      <c r="Y715" s="3714"/>
      <c r="Z715" s="3714"/>
      <c r="AA715" s="3714"/>
      <c r="AB715" s="3714"/>
      <c r="AC715" s="3714"/>
    </row>
    <row r="716" spans="1:29">
      <c r="A716" s="3714"/>
      <c r="B716" s="3714"/>
      <c r="C716" s="3714"/>
      <c r="D716" s="3714"/>
      <c r="E716" s="3714"/>
      <c r="F716" s="3714"/>
      <c r="G716" s="3714"/>
      <c r="H716" s="3714"/>
      <c r="I716" s="3714"/>
      <c r="J716" s="3714"/>
      <c r="K716" s="3715"/>
      <c r="L716" s="3716"/>
      <c r="M716" s="3714"/>
      <c r="N716" s="3714"/>
      <c r="O716" s="3714"/>
      <c r="P716" s="3756"/>
      <c r="Q716" s="3714"/>
      <c r="R716" s="3714"/>
      <c r="S716" s="3714"/>
      <c r="T716" s="3714"/>
      <c r="U716" s="3714"/>
      <c r="V716" s="3714"/>
      <c r="W716" s="3714"/>
      <c r="X716" s="3714"/>
      <c r="Y716" s="3714"/>
      <c r="Z716" s="3714"/>
      <c r="AA716" s="3714"/>
      <c r="AB716" s="3714"/>
      <c r="AC716" s="3714"/>
    </row>
    <row r="717" spans="1:29">
      <c r="A717" s="3714"/>
      <c r="B717" s="3714"/>
      <c r="C717" s="3714"/>
      <c r="D717" s="3714"/>
      <c r="E717" s="3714"/>
      <c r="F717" s="3714"/>
      <c r="G717" s="3714"/>
      <c r="H717" s="3714"/>
      <c r="I717" s="3714"/>
      <c r="J717" s="3714"/>
      <c r="K717" s="3715"/>
      <c r="L717" s="3716"/>
      <c r="M717" s="3714"/>
      <c r="N717" s="3714"/>
      <c r="O717" s="3714"/>
      <c r="P717" s="3756"/>
      <c r="Q717" s="3714"/>
      <c r="R717" s="3714"/>
      <c r="S717" s="3714"/>
      <c r="T717" s="3714"/>
      <c r="U717" s="3714"/>
      <c r="V717" s="3714"/>
      <c r="W717" s="3714"/>
      <c r="X717" s="3714"/>
      <c r="Y717" s="3714"/>
      <c r="Z717" s="3714"/>
      <c r="AA717" s="3714"/>
      <c r="AB717" s="3714"/>
      <c r="AC717" s="3714"/>
    </row>
    <row r="718" spans="1:29">
      <c r="A718" s="3714"/>
      <c r="B718" s="3714"/>
      <c r="C718" s="3714"/>
      <c r="D718" s="3714"/>
      <c r="E718" s="3714"/>
      <c r="F718" s="3714"/>
      <c r="G718" s="3714"/>
      <c r="H718" s="3714"/>
      <c r="I718" s="3714"/>
      <c r="J718" s="3714"/>
      <c r="K718" s="3715"/>
      <c r="L718" s="3716"/>
      <c r="M718" s="3714"/>
      <c r="N718" s="3714"/>
      <c r="O718" s="3714"/>
      <c r="P718" s="3756"/>
      <c r="Q718" s="3714"/>
      <c r="R718" s="3714"/>
      <c r="S718" s="3714"/>
      <c r="T718" s="3714"/>
      <c r="U718" s="3714"/>
      <c r="V718" s="3714"/>
      <c r="W718" s="3714"/>
      <c r="X718" s="3714"/>
      <c r="Y718" s="3714"/>
      <c r="Z718" s="3714"/>
      <c r="AA718" s="3714"/>
      <c r="AB718" s="3714"/>
      <c r="AC718" s="3714"/>
    </row>
    <row r="719" spans="1:29">
      <c r="A719" s="3714"/>
      <c r="B719" s="3714"/>
      <c r="C719" s="3714"/>
      <c r="D719" s="3714"/>
      <c r="E719" s="3714"/>
      <c r="F719" s="3714"/>
      <c r="G719" s="3714"/>
      <c r="H719" s="3714"/>
      <c r="I719" s="3714"/>
      <c r="J719" s="3714"/>
      <c r="K719" s="3715"/>
      <c r="L719" s="3716"/>
      <c r="M719" s="3714"/>
      <c r="N719" s="3714"/>
      <c r="O719" s="3714"/>
      <c r="P719" s="3756"/>
      <c r="Q719" s="3714"/>
      <c r="R719" s="3714"/>
      <c r="S719" s="3714"/>
      <c r="T719" s="3714"/>
      <c r="U719" s="3714"/>
      <c r="V719" s="3714"/>
      <c r="W719" s="3714"/>
      <c r="X719" s="3714"/>
      <c r="Y719" s="3714"/>
      <c r="Z719" s="3714"/>
      <c r="AA719" s="3714"/>
      <c r="AB719" s="3714"/>
      <c r="AC719" s="3714"/>
    </row>
    <row r="720" spans="1:29">
      <c r="A720" s="3714"/>
      <c r="B720" s="3714"/>
      <c r="C720" s="3714"/>
      <c r="D720" s="3714"/>
      <c r="E720" s="3714"/>
      <c r="F720" s="3714"/>
      <c r="G720" s="3714"/>
      <c r="H720" s="3714"/>
      <c r="I720" s="3714"/>
      <c r="J720" s="3714"/>
      <c r="K720" s="3715"/>
      <c r="L720" s="3716"/>
      <c r="M720" s="3714"/>
      <c r="N720" s="3714"/>
      <c r="O720" s="3714"/>
      <c r="P720" s="3756"/>
      <c r="Q720" s="3714"/>
      <c r="R720" s="3714"/>
      <c r="S720" s="3714"/>
      <c r="T720" s="3714"/>
      <c r="U720" s="3714"/>
      <c r="V720" s="3714"/>
      <c r="W720" s="3714"/>
      <c r="X720" s="3714"/>
      <c r="Y720" s="3714"/>
      <c r="Z720" s="3714"/>
      <c r="AA720" s="3714"/>
      <c r="AB720" s="3714"/>
      <c r="AC720" s="3714"/>
    </row>
    <row r="721" spans="1:29">
      <c r="A721" s="3714"/>
      <c r="B721" s="3714"/>
      <c r="C721" s="3714"/>
      <c r="D721" s="3714"/>
      <c r="E721" s="3714"/>
      <c r="F721" s="3714"/>
      <c r="G721" s="3714"/>
      <c r="H721" s="3714"/>
      <c r="I721" s="3714"/>
      <c r="J721" s="3714"/>
      <c r="K721" s="3715"/>
      <c r="L721" s="3716"/>
      <c r="M721" s="3714"/>
      <c r="N721" s="3714"/>
      <c r="O721" s="3714"/>
      <c r="P721" s="3756"/>
      <c r="Q721" s="3714"/>
      <c r="R721" s="3714"/>
      <c r="S721" s="3714"/>
      <c r="T721" s="3714"/>
      <c r="U721" s="3714"/>
      <c r="V721" s="3714"/>
      <c r="W721" s="3714"/>
      <c r="X721" s="3714"/>
      <c r="Y721" s="3714"/>
      <c r="Z721" s="3714"/>
      <c r="AA721" s="3714"/>
      <c r="AB721" s="3714"/>
      <c r="AC721" s="3714"/>
    </row>
    <row r="722" spans="1:29">
      <c r="A722" s="3714"/>
      <c r="B722" s="3714"/>
      <c r="C722" s="3714"/>
      <c r="D722" s="3714"/>
      <c r="E722" s="3714"/>
      <c r="F722" s="3714"/>
      <c r="G722" s="3714"/>
      <c r="H722" s="3714"/>
      <c r="I722" s="3714"/>
      <c r="J722" s="3714"/>
      <c r="K722" s="3715"/>
      <c r="L722" s="3716"/>
      <c r="M722" s="3714"/>
      <c r="N722" s="3714"/>
      <c r="O722" s="3714"/>
      <c r="P722" s="3756"/>
      <c r="Q722" s="3714"/>
      <c r="R722" s="3714"/>
      <c r="S722" s="3714"/>
      <c r="T722" s="3714"/>
      <c r="U722" s="3714"/>
      <c r="V722" s="3714"/>
      <c r="W722" s="3714"/>
      <c r="X722" s="3714"/>
      <c r="Y722" s="3714"/>
      <c r="Z722" s="3714"/>
      <c r="AA722" s="3714"/>
      <c r="AB722" s="3714"/>
      <c r="AC722" s="3714"/>
    </row>
    <row r="723" spans="1:29">
      <c r="A723" s="3714"/>
      <c r="B723" s="3714"/>
      <c r="C723" s="3714"/>
      <c r="D723" s="3714"/>
      <c r="E723" s="3714"/>
      <c r="F723" s="3714"/>
      <c r="G723" s="3714"/>
      <c r="H723" s="3714"/>
      <c r="I723" s="3714"/>
      <c r="J723" s="3714"/>
      <c r="K723" s="3715"/>
      <c r="L723" s="3716"/>
      <c r="M723" s="3714"/>
      <c r="N723" s="3714"/>
      <c r="O723" s="3714"/>
      <c r="P723" s="3756"/>
      <c r="Q723" s="3714"/>
      <c r="R723" s="3714"/>
      <c r="S723" s="3714"/>
      <c r="T723" s="3714"/>
      <c r="U723" s="3714"/>
      <c r="V723" s="3714"/>
      <c r="W723" s="3714"/>
      <c r="X723" s="3714"/>
      <c r="Y723" s="3714"/>
      <c r="Z723" s="3714"/>
      <c r="AA723" s="3714"/>
      <c r="AB723" s="3714"/>
      <c r="AC723" s="3714"/>
    </row>
    <row r="724" spans="1:29">
      <c r="A724" s="3714"/>
      <c r="B724" s="3714"/>
      <c r="C724" s="3714"/>
      <c r="D724" s="3714"/>
      <c r="E724" s="3714"/>
      <c r="F724" s="3714"/>
      <c r="G724" s="3714"/>
      <c r="H724" s="3714"/>
      <c r="I724" s="3714"/>
      <c r="J724" s="3714"/>
      <c r="K724" s="3715"/>
      <c r="L724" s="3716"/>
      <c r="M724" s="3714"/>
      <c r="N724" s="3714"/>
      <c r="O724" s="3714"/>
      <c r="P724" s="3756"/>
      <c r="Q724" s="3714"/>
      <c r="R724" s="3714"/>
      <c r="S724" s="3714"/>
      <c r="T724" s="3714"/>
      <c r="U724" s="3714"/>
      <c r="V724" s="3714"/>
      <c r="W724" s="3714"/>
      <c r="X724" s="3714"/>
      <c r="Y724" s="3714"/>
      <c r="Z724" s="3714"/>
      <c r="AA724" s="3714"/>
      <c r="AB724" s="3714"/>
      <c r="AC724" s="3714"/>
    </row>
    <row r="725" spans="1:29">
      <c r="A725" s="3714"/>
      <c r="B725" s="3714"/>
      <c r="C725" s="3714"/>
      <c r="D725" s="3714"/>
      <c r="E725" s="3714"/>
      <c r="F725" s="3714"/>
      <c r="G725" s="3714"/>
      <c r="H725" s="3714"/>
      <c r="I725" s="3714"/>
      <c r="J725" s="3714"/>
      <c r="K725" s="3715"/>
      <c r="L725" s="3716"/>
      <c r="M725" s="3714"/>
      <c r="N725" s="3714"/>
      <c r="O725" s="3714"/>
      <c r="P725" s="3756"/>
      <c r="Q725" s="3714"/>
      <c r="R725" s="3714"/>
      <c r="S725" s="3714"/>
      <c r="T725" s="3714"/>
      <c r="U725" s="3714"/>
      <c r="V725" s="3714"/>
      <c r="W725" s="3714"/>
      <c r="X725" s="3714"/>
      <c r="Y725" s="3714"/>
      <c r="Z725" s="3714"/>
      <c r="AA725" s="3714"/>
      <c r="AB725" s="3714"/>
      <c r="AC725" s="3714"/>
    </row>
    <row r="726" spans="1:29">
      <c r="A726" s="3714"/>
      <c r="B726" s="3714"/>
      <c r="C726" s="3714"/>
      <c r="D726" s="3714"/>
      <c r="E726" s="3714"/>
      <c r="F726" s="3714"/>
      <c r="G726" s="3714"/>
      <c r="H726" s="3714"/>
      <c r="I726" s="3714"/>
      <c r="J726" s="3714"/>
      <c r="K726" s="3715"/>
      <c r="L726" s="3716"/>
      <c r="M726" s="3714"/>
      <c r="N726" s="3714"/>
      <c r="O726" s="3714"/>
      <c r="P726" s="3756"/>
      <c r="Q726" s="3714"/>
      <c r="R726" s="3714"/>
      <c r="S726" s="3714"/>
      <c r="T726" s="3714"/>
      <c r="U726" s="3714"/>
      <c r="V726" s="3714"/>
      <c r="W726" s="3714"/>
      <c r="X726" s="3714"/>
      <c r="Y726" s="3714"/>
      <c r="Z726" s="3714"/>
      <c r="AA726" s="3714"/>
      <c r="AB726" s="3714"/>
      <c r="AC726" s="3714"/>
    </row>
    <row r="727" spans="1:29">
      <c r="A727" s="3714"/>
      <c r="B727" s="3714"/>
      <c r="C727" s="3714"/>
      <c r="D727" s="3714"/>
      <c r="E727" s="3714"/>
      <c r="F727" s="3714"/>
      <c r="G727" s="3714"/>
      <c r="H727" s="3714"/>
      <c r="I727" s="3714"/>
      <c r="J727" s="3714"/>
      <c r="K727" s="3715"/>
      <c r="L727" s="3716"/>
      <c r="M727" s="3714"/>
      <c r="N727" s="3714"/>
      <c r="O727" s="3714"/>
      <c r="P727" s="3756"/>
      <c r="Q727" s="3714"/>
      <c r="R727" s="3714"/>
      <c r="S727" s="3714"/>
      <c r="T727" s="3714"/>
      <c r="U727" s="3714"/>
      <c r="V727" s="3714"/>
      <c r="W727" s="3714"/>
      <c r="X727" s="3714"/>
      <c r="Y727" s="3714"/>
      <c r="Z727" s="3714"/>
      <c r="AA727" s="3714"/>
      <c r="AB727" s="3714"/>
      <c r="AC727" s="3714"/>
    </row>
    <row r="728" spans="1:29">
      <c r="A728" s="3714"/>
      <c r="B728" s="3714"/>
      <c r="C728" s="3714"/>
      <c r="D728" s="3714"/>
      <c r="E728" s="3714"/>
      <c r="F728" s="3714"/>
      <c r="G728" s="3714"/>
      <c r="H728" s="3714"/>
      <c r="I728" s="3714"/>
      <c r="J728" s="3714"/>
      <c r="K728" s="3715"/>
      <c r="L728" s="3716"/>
      <c r="M728" s="3714"/>
      <c r="N728" s="3714"/>
      <c r="O728" s="3714"/>
      <c r="P728" s="3756"/>
      <c r="Q728" s="3714"/>
      <c r="R728" s="3714"/>
      <c r="S728" s="3714"/>
      <c r="T728" s="3714"/>
      <c r="U728" s="3714"/>
      <c r="V728" s="3714"/>
      <c r="W728" s="3714"/>
      <c r="X728" s="3714"/>
      <c r="Y728" s="3714"/>
      <c r="Z728" s="3714"/>
      <c r="AA728" s="3714"/>
      <c r="AB728" s="3714"/>
      <c r="AC728" s="3714"/>
    </row>
    <row r="729" spans="1:29">
      <c r="A729" s="3714"/>
      <c r="B729" s="3714"/>
      <c r="C729" s="3714"/>
      <c r="D729" s="3714"/>
      <c r="E729" s="3714"/>
      <c r="F729" s="3714"/>
      <c r="G729" s="3714"/>
      <c r="H729" s="3714"/>
      <c r="I729" s="3714"/>
      <c r="J729" s="3714"/>
      <c r="K729" s="3715"/>
      <c r="L729" s="3716"/>
      <c r="M729" s="3714"/>
      <c r="N729" s="3714"/>
      <c r="O729" s="3714"/>
      <c r="P729" s="3756"/>
      <c r="Q729" s="3714"/>
      <c r="R729" s="3714"/>
      <c r="S729" s="3714"/>
      <c r="T729" s="3714"/>
      <c r="U729" s="3714"/>
      <c r="V729" s="3714"/>
      <c r="W729" s="3714"/>
      <c r="X729" s="3714"/>
      <c r="Y729" s="3714"/>
      <c r="Z729" s="3714"/>
      <c r="AA729" s="3714"/>
      <c r="AB729" s="3714"/>
      <c r="AC729" s="3714"/>
    </row>
    <row r="730" spans="1:29">
      <c r="A730" s="3714"/>
      <c r="B730" s="3714"/>
      <c r="C730" s="3714"/>
      <c r="D730" s="3714"/>
      <c r="E730" s="3714"/>
      <c r="F730" s="3714"/>
      <c r="G730" s="3714"/>
      <c r="H730" s="3714"/>
      <c r="I730" s="3714"/>
      <c r="J730" s="3714"/>
      <c r="K730" s="3715"/>
      <c r="L730" s="3716"/>
      <c r="M730" s="3714"/>
      <c r="N730" s="3714"/>
      <c r="O730" s="3714"/>
      <c r="P730" s="3756"/>
      <c r="Q730" s="3714"/>
      <c r="R730" s="3714"/>
      <c r="S730" s="3714"/>
      <c r="T730" s="3714"/>
      <c r="U730" s="3714"/>
      <c r="V730" s="3714"/>
      <c r="W730" s="3714"/>
      <c r="X730" s="3714"/>
      <c r="Y730" s="3714"/>
      <c r="Z730" s="3714"/>
      <c r="AA730" s="3714"/>
      <c r="AB730" s="3714"/>
      <c r="AC730" s="3714"/>
    </row>
    <row r="731" spans="1:29">
      <c r="A731" s="3714"/>
      <c r="B731" s="3714"/>
      <c r="C731" s="3714"/>
      <c r="D731" s="3714"/>
      <c r="E731" s="3714"/>
      <c r="F731" s="3714"/>
      <c r="G731" s="3714"/>
      <c r="H731" s="3714"/>
      <c r="I731" s="3714"/>
      <c r="J731" s="3714"/>
      <c r="K731" s="3715"/>
      <c r="L731" s="3716"/>
      <c r="M731" s="3714"/>
      <c r="N731" s="3714"/>
      <c r="O731" s="3714"/>
      <c r="P731" s="3756"/>
      <c r="Q731" s="3714"/>
      <c r="R731" s="3714"/>
      <c r="S731" s="3714"/>
      <c r="T731" s="3714"/>
      <c r="U731" s="3714"/>
      <c r="V731" s="3714"/>
      <c r="W731" s="3714"/>
      <c r="X731" s="3714"/>
      <c r="Y731" s="3714"/>
      <c r="Z731" s="3714"/>
      <c r="AA731" s="3714"/>
      <c r="AB731" s="3714"/>
      <c r="AC731" s="3714"/>
    </row>
    <row r="732" spans="1:29">
      <c r="A732" s="3714"/>
      <c r="B732" s="3714"/>
      <c r="C732" s="3714"/>
      <c r="D732" s="3714"/>
      <c r="E732" s="3714"/>
      <c r="F732" s="3714"/>
      <c r="G732" s="3714"/>
      <c r="H732" s="3714"/>
      <c r="I732" s="3714"/>
      <c r="J732" s="3714"/>
      <c r="K732" s="3715"/>
      <c r="L732" s="3716"/>
      <c r="M732" s="3714"/>
      <c r="N732" s="3714"/>
      <c r="O732" s="3714"/>
      <c r="P732" s="3756"/>
      <c r="Q732" s="3714"/>
      <c r="R732" s="3714"/>
      <c r="S732" s="3714"/>
      <c r="T732" s="3714"/>
      <c r="U732" s="3714"/>
      <c r="V732" s="3714"/>
      <c r="W732" s="3714"/>
      <c r="X732" s="3714"/>
      <c r="Y732" s="3714"/>
      <c r="Z732" s="3714"/>
      <c r="AA732" s="3714"/>
      <c r="AB732" s="3714"/>
      <c r="AC732" s="3714"/>
    </row>
    <row r="733" spans="1:29">
      <c r="A733" s="3714"/>
      <c r="B733" s="3714"/>
      <c r="C733" s="3714"/>
      <c r="D733" s="3714"/>
      <c r="E733" s="3714"/>
      <c r="F733" s="3714"/>
      <c r="G733" s="3714"/>
      <c r="H733" s="3714"/>
      <c r="I733" s="3714"/>
      <c r="J733" s="3714"/>
      <c r="K733" s="3715"/>
      <c r="L733" s="3716"/>
      <c r="M733" s="3714"/>
      <c r="N733" s="3714"/>
      <c r="O733" s="3714"/>
      <c r="P733" s="3756"/>
      <c r="Q733" s="3714"/>
      <c r="R733" s="3714"/>
      <c r="S733" s="3714"/>
      <c r="T733" s="3714"/>
      <c r="U733" s="3714"/>
      <c r="V733" s="3714"/>
      <c r="W733" s="3714"/>
      <c r="X733" s="3714"/>
      <c r="Y733" s="3714"/>
      <c r="Z733" s="3714"/>
      <c r="AA733" s="3714"/>
      <c r="AB733" s="3714"/>
      <c r="AC733" s="3714"/>
    </row>
    <row r="734" spans="1:29">
      <c r="A734" s="3714"/>
      <c r="B734" s="3714"/>
      <c r="C734" s="3714"/>
      <c r="D734" s="3714"/>
      <c r="E734" s="3714"/>
      <c r="F734" s="3714"/>
      <c r="G734" s="3714"/>
      <c r="H734" s="3714"/>
      <c r="I734" s="3714"/>
      <c r="J734" s="3714"/>
      <c r="K734" s="3715"/>
      <c r="L734" s="3716"/>
      <c r="M734" s="3714"/>
      <c r="N734" s="3714"/>
      <c r="O734" s="3714"/>
      <c r="P734" s="3756"/>
      <c r="Q734" s="3714"/>
      <c r="R734" s="3714"/>
      <c r="S734" s="3714"/>
      <c r="T734" s="3714"/>
      <c r="U734" s="3714"/>
      <c r="V734" s="3714"/>
      <c r="W734" s="3714"/>
      <c r="X734" s="3714"/>
      <c r="Y734" s="3714"/>
      <c r="Z734" s="3714"/>
      <c r="AA734" s="3714"/>
      <c r="AB734" s="3714"/>
      <c r="AC734" s="3714"/>
    </row>
    <row r="735" spans="1:29">
      <c r="A735" s="3714"/>
      <c r="B735" s="3714"/>
      <c r="C735" s="3714"/>
      <c r="D735" s="3714"/>
      <c r="E735" s="3714"/>
      <c r="F735" s="3714"/>
      <c r="G735" s="3714"/>
      <c r="H735" s="3714"/>
      <c r="I735" s="3714"/>
      <c r="J735" s="3714"/>
      <c r="K735" s="3715"/>
      <c r="L735" s="3716"/>
      <c r="M735" s="3714"/>
      <c r="N735" s="3714"/>
      <c r="O735" s="3714"/>
      <c r="P735" s="3756"/>
      <c r="Q735" s="3714"/>
      <c r="R735" s="3714"/>
      <c r="S735" s="3714"/>
      <c r="T735" s="3714"/>
      <c r="U735" s="3714"/>
      <c r="V735" s="3714"/>
      <c r="W735" s="3714"/>
      <c r="X735" s="3714"/>
      <c r="Y735" s="3714"/>
      <c r="Z735" s="3714"/>
      <c r="AA735" s="3714"/>
      <c r="AB735" s="3714"/>
      <c r="AC735" s="3714"/>
    </row>
    <row r="736" spans="1:29">
      <c r="A736" s="3714"/>
      <c r="B736" s="3714"/>
      <c r="C736" s="3714"/>
      <c r="D736" s="3714"/>
      <c r="E736" s="3714"/>
      <c r="F736" s="3714"/>
      <c r="G736" s="3714"/>
      <c r="H736" s="3714"/>
      <c r="I736" s="3714"/>
      <c r="J736" s="3714"/>
      <c r="K736" s="3715"/>
      <c r="L736" s="3716"/>
      <c r="M736" s="3714"/>
      <c r="N736" s="3714"/>
      <c r="O736" s="3714"/>
      <c r="P736" s="3756"/>
      <c r="Q736" s="3714"/>
      <c r="R736" s="3714"/>
      <c r="S736" s="3714"/>
      <c r="T736" s="3714"/>
      <c r="U736" s="3714"/>
      <c r="V736" s="3714"/>
      <c r="W736" s="3714"/>
      <c r="X736" s="3714"/>
      <c r="Y736" s="3714"/>
      <c r="Z736" s="3714"/>
      <c r="AA736" s="3714"/>
      <c r="AB736" s="3714"/>
      <c r="AC736" s="3714"/>
    </row>
    <row r="737" spans="1:29">
      <c r="A737" s="3714"/>
      <c r="B737" s="3714"/>
      <c r="C737" s="3714"/>
      <c r="D737" s="3714"/>
      <c r="E737" s="3714"/>
      <c r="F737" s="3714"/>
      <c r="G737" s="3714"/>
      <c r="H737" s="3714"/>
      <c r="I737" s="3714"/>
      <c r="J737" s="3714"/>
      <c r="K737" s="3715"/>
      <c r="L737" s="3716"/>
      <c r="M737" s="3714"/>
      <c r="N737" s="3714"/>
      <c r="O737" s="3714"/>
      <c r="P737" s="3756"/>
      <c r="Q737" s="3714"/>
      <c r="R737" s="3714"/>
      <c r="S737" s="3714"/>
      <c r="T737" s="3714"/>
      <c r="U737" s="3714"/>
      <c r="V737" s="3714"/>
      <c r="W737" s="3714"/>
      <c r="X737" s="3714"/>
      <c r="Y737" s="3714"/>
      <c r="Z737" s="3714"/>
      <c r="AA737" s="3714"/>
      <c r="AB737" s="3714"/>
      <c r="AC737" s="3714"/>
    </row>
    <row r="738" spans="1:29">
      <c r="A738" s="3714"/>
      <c r="B738" s="3714"/>
      <c r="C738" s="3714"/>
      <c r="D738" s="3714"/>
      <c r="E738" s="3714"/>
      <c r="F738" s="3714"/>
      <c r="G738" s="3714"/>
      <c r="H738" s="3714"/>
      <c r="I738" s="3714"/>
      <c r="J738" s="3714"/>
      <c r="K738" s="3715"/>
      <c r="L738" s="3716"/>
      <c r="M738" s="3714"/>
      <c r="N738" s="3714"/>
      <c r="O738" s="3714"/>
      <c r="P738" s="3756"/>
      <c r="Q738" s="3714"/>
      <c r="R738" s="3714"/>
      <c r="S738" s="3714"/>
      <c r="T738" s="3714"/>
      <c r="U738" s="3714"/>
      <c r="V738" s="3714"/>
      <c r="W738" s="3714"/>
      <c r="X738" s="3714"/>
      <c r="Y738" s="3714"/>
      <c r="Z738" s="3714"/>
      <c r="AA738" s="3714"/>
      <c r="AB738" s="3714"/>
      <c r="AC738" s="3714"/>
    </row>
    <row r="739" spans="1:29">
      <c r="A739" s="3714"/>
      <c r="B739" s="3714"/>
      <c r="C739" s="3714"/>
      <c r="D739" s="3714"/>
      <c r="E739" s="3714"/>
      <c r="F739" s="3714"/>
      <c r="G739" s="3714"/>
      <c r="H739" s="3714"/>
      <c r="I739" s="3714"/>
      <c r="J739" s="3714"/>
      <c r="K739" s="3715"/>
      <c r="L739" s="3716"/>
      <c r="M739" s="3714"/>
      <c r="N739" s="3714"/>
      <c r="O739" s="3714"/>
      <c r="P739" s="3756"/>
      <c r="Q739" s="3714"/>
      <c r="R739" s="3714"/>
      <c r="S739" s="3714"/>
      <c r="T739" s="3714"/>
      <c r="U739" s="3714"/>
      <c r="V739" s="3714"/>
      <c r="W739" s="3714"/>
      <c r="X739" s="3714"/>
      <c r="Y739" s="3714"/>
      <c r="Z739" s="3714"/>
      <c r="AA739" s="3714"/>
      <c r="AB739" s="3714"/>
      <c r="AC739" s="3714"/>
    </row>
    <row r="740" spans="1:29">
      <c r="A740" s="3714"/>
      <c r="B740" s="3714"/>
      <c r="C740" s="3714"/>
      <c r="D740" s="3714"/>
      <c r="E740" s="3714"/>
      <c r="F740" s="3714"/>
      <c r="G740" s="3714"/>
      <c r="H740" s="3714"/>
      <c r="I740" s="3714"/>
      <c r="J740" s="3714"/>
      <c r="K740" s="3715"/>
      <c r="L740" s="3716"/>
      <c r="M740" s="3714"/>
      <c r="N740" s="3714"/>
      <c r="O740" s="3714"/>
      <c r="P740" s="3756"/>
      <c r="Q740" s="3714"/>
      <c r="R740" s="3714"/>
      <c r="S740" s="3714"/>
      <c r="T740" s="3714"/>
      <c r="U740" s="3714"/>
      <c r="V740" s="3714"/>
      <c r="W740" s="3714"/>
      <c r="X740" s="3714"/>
      <c r="Y740" s="3714"/>
      <c r="Z740" s="3714"/>
      <c r="AA740" s="3714"/>
      <c r="AB740" s="3714"/>
      <c r="AC740" s="3714"/>
    </row>
    <row r="741" spans="1:29">
      <c r="A741" s="3714"/>
      <c r="B741" s="3714"/>
      <c r="C741" s="3714"/>
      <c r="D741" s="3714"/>
      <c r="E741" s="3714"/>
      <c r="F741" s="3714"/>
      <c r="G741" s="3714"/>
      <c r="H741" s="3714"/>
      <c r="I741" s="3714"/>
      <c r="J741" s="3714"/>
      <c r="K741" s="3715"/>
      <c r="L741" s="3716"/>
      <c r="M741" s="3714"/>
      <c r="N741" s="3714"/>
      <c r="O741" s="3714"/>
      <c r="P741" s="3756"/>
      <c r="Q741" s="3714"/>
      <c r="R741" s="3714"/>
      <c r="S741" s="3714"/>
      <c r="T741" s="3714"/>
      <c r="U741" s="3714"/>
      <c r="V741" s="3714"/>
      <c r="W741" s="3714"/>
      <c r="X741" s="3714"/>
      <c r="Y741" s="3714"/>
      <c r="Z741" s="3714"/>
      <c r="AA741" s="3714"/>
      <c r="AB741" s="3714"/>
      <c r="AC741" s="3714"/>
    </row>
    <row r="742" spans="1:29">
      <c r="A742" s="3714"/>
      <c r="B742" s="3714"/>
      <c r="C742" s="3714"/>
      <c r="D742" s="3714"/>
      <c r="E742" s="3714"/>
      <c r="F742" s="3714"/>
      <c r="G742" s="3714"/>
      <c r="H742" s="3714"/>
      <c r="I742" s="3714"/>
      <c r="J742" s="3714"/>
      <c r="K742" s="3715"/>
      <c r="L742" s="3716"/>
      <c r="M742" s="3714"/>
      <c r="N742" s="3714"/>
      <c r="O742" s="3714"/>
      <c r="P742" s="3756"/>
      <c r="Q742" s="3714"/>
      <c r="R742" s="3714"/>
      <c r="S742" s="3714"/>
      <c r="T742" s="3714"/>
      <c r="U742" s="3714"/>
      <c r="V742" s="3714"/>
      <c r="W742" s="3714"/>
      <c r="X742" s="3714"/>
      <c r="Y742" s="3714"/>
      <c r="Z742" s="3714"/>
      <c r="AA742" s="3714"/>
      <c r="AB742" s="3714"/>
      <c r="AC742" s="3714"/>
    </row>
    <row r="743" spans="1:29">
      <c r="A743" s="3714"/>
      <c r="B743" s="3714"/>
      <c r="C743" s="3714"/>
      <c r="D743" s="3714"/>
      <c r="E743" s="3714"/>
      <c r="F743" s="3714"/>
      <c r="G743" s="3714"/>
      <c r="H743" s="3714"/>
      <c r="I743" s="3714"/>
      <c r="J743" s="3714"/>
      <c r="K743" s="3715"/>
      <c r="L743" s="3716"/>
      <c r="M743" s="3714"/>
      <c r="N743" s="3714"/>
      <c r="O743" s="3714"/>
      <c r="P743" s="3756"/>
      <c r="Q743" s="3714"/>
      <c r="R743" s="3714"/>
      <c r="S743" s="3714"/>
      <c r="T743" s="3714"/>
      <c r="U743" s="3714"/>
      <c r="V743" s="3714"/>
      <c r="W743" s="3714"/>
      <c r="X743" s="3714"/>
      <c r="Y743" s="3714"/>
      <c r="Z743" s="3714"/>
      <c r="AA743" s="3714"/>
      <c r="AB743" s="3714"/>
      <c r="AC743" s="3714"/>
    </row>
    <row r="744" spans="1:29">
      <c r="A744" s="3714"/>
      <c r="B744" s="3714"/>
      <c r="C744" s="3714"/>
      <c r="D744" s="3714"/>
      <c r="E744" s="3714"/>
      <c r="F744" s="3714"/>
      <c r="G744" s="3714"/>
      <c r="H744" s="3714"/>
      <c r="I744" s="3714"/>
      <c r="J744" s="3714"/>
      <c r="K744" s="3715"/>
      <c r="L744" s="3716"/>
      <c r="M744" s="3714"/>
      <c r="N744" s="3714"/>
      <c r="O744" s="3714"/>
      <c r="P744" s="3756"/>
      <c r="Q744" s="3714"/>
      <c r="R744" s="3714"/>
      <c r="S744" s="3714"/>
      <c r="T744" s="3714"/>
      <c r="U744" s="3714"/>
      <c r="V744" s="3714"/>
      <c r="W744" s="3714"/>
      <c r="X744" s="3714"/>
      <c r="Y744" s="3714"/>
      <c r="Z744" s="3714"/>
      <c r="AA744" s="3714"/>
      <c r="AB744" s="3714"/>
      <c r="AC744" s="3714"/>
    </row>
    <row r="745" spans="1:29">
      <c r="A745" s="3714"/>
      <c r="B745" s="3714"/>
      <c r="C745" s="3714"/>
      <c r="D745" s="3714"/>
      <c r="E745" s="3714"/>
      <c r="F745" s="3714"/>
      <c r="G745" s="3714"/>
      <c r="H745" s="3714"/>
      <c r="I745" s="3714"/>
      <c r="J745" s="3714"/>
      <c r="K745" s="3715"/>
      <c r="L745" s="3716"/>
      <c r="M745" s="3714"/>
      <c r="N745" s="3714"/>
      <c r="O745" s="3714"/>
      <c r="P745" s="3756"/>
      <c r="Q745" s="3714"/>
      <c r="R745" s="3714"/>
      <c r="S745" s="3714"/>
      <c r="T745" s="3714"/>
      <c r="U745" s="3714"/>
      <c r="V745" s="3714"/>
      <c r="W745" s="3714"/>
      <c r="X745" s="3714"/>
      <c r="Y745" s="3714"/>
      <c r="Z745" s="3714"/>
      <c r="AA745" s="3714"/>
      <c r="AB745" s="3714"/>
      <c r="AC745" s="3714"/>
    </row>
    <row r="746" spans="1:29">
      <c r="A746" s="3714"/>
      <c r="B746" s="3714"/>
      <c r="C746" s="3714"/>
      <c r="D746" s="3714"/>
      <c r="E746" s="3714"/>
      <c r="F746" s="3714"/>
      <c r="G746" s="3714"/>
      <c r="H746" s="3714"/>
      <c r="I746" s="3714"/>
      <c r="J746" s="3714"/>
      <c r="K746" s="3715"/>
      <c r="L746" s="3716"/>
      <c r="M746" s="3714"/>
      <c r="N746" s="3714"/>
      <c r="O746" s="3714"/>
      <c r="P746" s="3756"/>
      <c r="Q746" s="3714"/>
      <c r="R746" s="3714"/>
      <c r="S746" s="3714"/>
      <c r="T746" s="3714"/>
      <c r="U746" s="3714"/>
      <c r="V746" s="3714"/>
      <c r="W746" s="3714"/>
      <c r="X746" s="3714"/>
      <c r="Y746" s="3714"/>
      <c r="Z746" s="3714"/>
      <c r="AA746" s="3714"/>
      <c r="AB746" s="3714"/>
      <c r="AC746" s="3714"/>
    </row>
    <row r="747" spans="1:29">
      <c r="A747" s="3714"/>
      <c r="B747" s="3714"/>
      <c r="C747" s="3714"/>
      <c r="D747" s="3714"/>
      <c r="E747" s="3714"/>
      <c r="F747" s="3714"/>
      <c r="G747" s="3714"/>
      <c r="H747" s="3714"/>
      <c r="I747" s="3714"/>
      <c r="J747" s="3714"/>
      <c r="K747" s="3715"/>
      <c r="L747" s="3716"/>
      <c r="M747" s="3714"/>
      <c r="N747" s="3714"/>
      <c r="O747" s="3714"/>
      <c r="P747" s="3756"/>
      <c r="Q747" s="3714"/>
      <c r="R747" s="3714"/>
      <c r="S747" s="3714"/>
      <c r="T747" s="3714"/>
      <c r="U747" s="3714"/>
      <c r="V747" s="3714"/>
      <c r="W747" s="3714"/>
      <c r="X747" s="3714"/>
      <c r="Y747" s="3714"/>
      <c r="Z747" s="3714"/>
      <c r="AA747" s="3714"/>
      <c r="AB747" s="3714"/>
      <c r="AC747" s="3714"/>
    </row>
    <row r="748" spans="1:29">
      <c r="A748" s="3714"/>
      <c r="B748" s="3714"/>
      <c r="C748" s="3714"/>
      <c r="D748" s="3714"/>
      <c r="E748" s="3714"/>
      <c r="F748" s="3714"/>
      <c r="G748" s="3714"/>
      <c r="H748" s="3714"/>
      <c r="I748" s="3714"/>
      <c r="J748" s="3714"/>
      <c r="K748" s="3715"/>
      <c r="L748" s="3716"/>
      <c r="M748" s="3714"/>
      <c r="N748" s="3714"/>
      <c r="O748" s="3714"/>
      <c r="P748" s="3756"/>
      <c r="Q748" s="3714"/>
      <c r="R748" s="3714"/>
      <c r="S748" s="3714"/>
      <c r="T748" s="3714"/>
      <c r="U748" s="3714"/>
      <c r="V748" s="3714"/>
      <c r="W748" s="3714"/>
      <c r="X748" s="3714"/>
      <c r="Y748" s="3714"/>
      <c r="Z748" s="3714"/>
      <c r="AA748" s="3714"/>
      <c r="AB748" s="3714"/>
      <c r="AC748" s="3714"/>
    </row>
    <row r="749" spans="1:29">
      <c r="A749" s="3714"/>
      <c r="B749" s="3714"/>
      <c r="C749" s="3714"/>
      <c r="D749" s="3714"/>
      <c r="E749" s="3714"/>
      <c r="F749" s="3714"/>
      <c r="G749" s="3714"/>
      <c r="H749" s="3714"/>
      <c r="I749" s="3714"/>
      <c r="J749" s="3714"/>
      <c r="K749" s="3715"/>
      <c r="L749" s="3716"/>
      <c r="M749" s="3714"/>
      <c r="N749" s="3714"/>
      <c r="O749" s="3714"/>
      <c r="P749" s="3756"/>
      <c r="Q749" s="3714"/>
      <c r="R749" s="3714"/>
      <c r="S749" s="3714"/>
      <c r="T749" s="3714"/>
      <c r="U749" s="3714"/>
      <c r="V749" s="3714"/>
      <c r="W749" s="3714"/>
      <c r="X749" s="3714"/>
      <c r="Y749" s="3714"/>
      <c r="Z749" s="3714"/>
      <c r="AA749" s="3714"/>
      <c r="AB749" s="3714"/>
      <c r="AC749" s="3714"/>
    </row>
    <row r="750" spans="1:29">
      <c r="A750" s="3714"/>
      <c r="B750" s="3714"/>
      <c r="C750" s="3714"/>
      <c r="D750" s="3714"/>
      <c r="E750" s="3714"/>
      <c r="F750" s="3714"/>
      <c r="G750" s="3714"/>
      <c r="H750" s="3714"/>
      <c r="I750" s="3714"/>
      <c r="J750" s="3714"/>
      <c r="K750" s="3715"/>
      <c r="L750" s="3716"/>
      <c r="M750" s="3714"/>
      <c r="N750" s="3714"/>
      <c r="O750" s="3714"/>
      <c r="P750" s="3756"/>
      <c r="Q750" s="3714"/>
      <c r="R750" s="3714"/>
      <c r="S750" s="3714"/>
      <c r="T750" s="3714"/>
      <c r="U750" s="3714"/>
      <c r="V750" s="3714"/>
      <c r="W750" s="3714"/>
      <c r="X750" s="3714"/>
      <c r="Y750" s="3714"/>
      <c r="Z750" s="3714"/>
      <c r="AA750" s="3714"/>
      <c r="AB750" s="3714"/>
      <c r="AC750" s="3714"/>
    </row>
    <row r="751" spans="1:29">
      <c r="A751" s="3714"/>
      <c r="B751" s="3714"/>
      <c r="C751" s="3714"/>
      <c r="D751" s="3714"/>
      <c r="E751" s="3714"/>
      <c r="F751" s="3714"/>
      <c r="G751" s="3714"/>
      <c r="H751" s="3714"/>
      <c r="I751" s="3714"/>
      <c r="J751" s="3714"/>
      <c r="K751" s="3715"/>
      <c r="L751" s="3716"/>
      <c r="M751" s="3714"/>
      <c r="N751" s="3714"/>
      <c r="O751" s="3714"/>
      <c r="P751" s="3756"/>
      <c r="Q751" s="3714"/>
      <c r="R751" s="3714"/>
      <c r="S751" s="3714"/>
      <c r="T751" s="3714"/>
      <c r="U751" s="3714"/>
      <c r="V751" s="3714"/>
      <c r="W751" s="3714"/>
      <c r="X751" s="3714"/>
      <c r="Y751" s="3714"/>
      <c r="Z751" s="3714"/>
      <c r="AA751" s="3714"/>
      <c r="AB751" s="3714"/>
      <c r="AC751" s="3714"/>
    </row>
    <row r="752" spans="1:29">
      <c r="A752" s="3714"/>
      <c r="B752" s="3714"/>
      <c r="C752" s="3714"/>
      <c r="D752" s="3714"/>
      <c r="E752" s="3714"/>
      <c r="F752" s="3714"/>
      <c r="G752" s="3714"/>
      <c r="H752" s="3714"/>
      <c r="I752" s="3714"/>
      <c r="J752" s="3714"/>
      <c r="K752" s="3715"/>
      <c r="L752" s="3716"/>
      <c r="M752" s="3714"/>
      <c r="N752" s="3714"/>
      <c r="O752" s="3714"/>
      <c r="P752" s="3756"/>
      <c r="Q752" s="3714"/>
      <c r="R752" s="3714"/>
      <c r="S752" s="3714"/>
      <c r="T752" s="3714"/>
      <c r="U752" s="3714"/>
      <c r="V752" s="3714"/>
      <c r="W752" s="3714"/>
      <c r="X752" s="3714"/>
      <c r="Y752" s="3714"/>
      <c r="Z752" s="3714"/>
      <c r="AA752" s="3714"/>
      <c r="AB752" s="3714"/>
      <c r="AC752" s="3714"/>
    </row>
    <row r="753" spans="1:29">
      <c r="A753" s="3714"/>
      <c r="B753" s="3714"/>
      <c r="C753" s="3714"/>
      <c r="D753" s="3714"/>
      <c r="E753" s="3714"/>
      <c r="F753" s="3714"/>
      <c r="G753" s="3714"/>
      <c r="H753" s="3714"/>
      <c r="I753" s="3714"/>
      <c r="J753" s="3714"/>
      <c r="K753" s="3715"/>
      <c r="L753" s="3716"/>
      <c r="M753" s="3714"/>
      <c r="N753" s="3714"/>
      <c r="O753" s="3714"/>
      <c r="P753" s="3756"/>
      <c r="Q753" s="3714"/>
      <c r="R753" s="3714"/>
      <c r="S753" s="3714"/>
      <c r="T753" s="3714"/>
      <c r="U753" s="3714"/>
      <c r="V753" s="3714"/>
      <c r="W753" s="3714"/>
      <c r="X753" s="3714"/>
      <c r="Y753" s="3714"/>
      <c r="Z753" s="3714"/>
      <c r="AA753" s="3714"/>
      <c r="AB753" s="3714"/>
      <c r="AC753" s="3714"/>
    </row>
    <row r="754" spans="1:29">
      <c r="A754" s="3714"/>
      <c r="B754" s="3714"/>
      <c r="C754" s="3714"/>
      <c r="D754" s="3714"/>
      <c r="E754" s="3714"/>
      <c r="F754" s="3714"/>
      <c r="G754" s="3714"/>
      <c r="H754" s="3714"/>
      <c r="I754" s="3714"/>
      <c r="J754" s="3714"/>
      <c r="K754" s="3715"/>
      <c r="L754" s="3716"/>
      <c r="M754" s="3714"/>
      <c r="N754" s="3714"/>
      <c r="O754" s="3714"/>
      <c r="P754" s="3756"/>
      <c r="Q754" s="3714"/>
      <c r="R754" s="3714"/>
      <c r="S754" s="3714"/>
      <c r="T754" s="3714"/>
      <c r="U754" s="3714"/>
      <c r="V754" s="3714"/>
      <c r="W754" s="3714"/>
      <c r="X754" s="3714"/>
      <c r="Y754" s="3714"/>
      <c r="Z754" s="3714"/>
      <c r="AA754" s="3714"/>
      <c r="AB754" s="3714"/>
      <c r="AC754" s="3714"/>
    </row>
    <row r="755" spans="1:29">
      <c r="A755" s="3714"/>
      <c r="B755" s="3714"/>
      <c r="C755" s="3714"/>
      <c r="D755" s="3714"/>
      <c r="E755" s="3714"/>
      <c r="F755" s="3714"/>
      <c r="G755" s="3714"/>
      <c r="H755" s="3714"/>
      <c r="I755" s="3714"/>
      <c r="J755" s="3714"/>
      <c r="K755" s="3715"/>
      <c r="L755" s="3716"/>
      <c r="M755" s="3714"/>
      <c r="N755" s="3714"/>
      <c r="O755" s="3714"/>
      <c r="P755" s="3756"/>
      <c r="Q755" s="3714"/>
      <c r="R755" s="3714"/>
      <c r="S755" s="3714"/>
      <c r="T755" s="3714"/>
      <c r="U755" s="3714"/>
      <c r="V755" s="3714"/>
      <c r="W755" s="3714"/>
      <c r="X755" s="3714"/>
      <c r="Y755" s="3714"/>
      <c r="Z755" s="3714"/>
      <c r="AA755" s="3714"/>
      <c r="AB755" s="3714"/>
      <c r="AC755" s="3714"/>
    </row>
    <row r="756" spans="1:29">
      <c r="A756" s="3714"/>
      <c r="B756" s="3714"/>
      <c r="C756" s="3714"/>
      <c r="D756" s="3714"/>
      <c r="E756" s="3714"/>
      <c r="F756" s="3714"/>
      <c r="G756" s="3714"/>
      <c r="H756" s="3714"/>
      <c r="I756" s="3714"/>
      <c r="J756" s="3714"/>
      <c r="K756" s="3715"/>
      <c r="L756" s="3716"/>
      <c r="M756" s="3714"/>
      <c r="N756" s="3714"/>
      <c r="O756" s="3714"/>
      <c r="P756" s="3756"/>
      <c r="Q756" s="3714"/>
      <c r="R756" s="3714"/>
      <c r="S756" s="3714"/>
      <c r="T756" s="3714"/>
      <c r="U756" s="3714"/>
      <c r="V756" s="3714"/>
      <c r="W756" s="3714"/>
      <c r="X756" s="3714"/>
      <c r="Y756" s="3714"/>
      <c r="Z756" s="3714"/>
      <c r="AA756" s="3714"/>
      <c r="AB756" s="3714"/>
      <c r="AC756" s="3714"/>
    </row>
    <row r="757" spans="1:29">
      <c r="A757" s="3714"/>
      <c r="B757" s="3714"/>
      <c r="C757" s="3714"/>
      <c r="D757" s="3714"/>
      <c r="E757" s="3714"/>
      <c r="F757" s="3714"/>
      <c r="G757" s="3714"/>
      <c r="H757" s="3714"/>
      <c r="I757" s="3714"/>
      <c r="J757" s="3714"/>
      <c r="K757" s="3715"/>
      <c r="L757" s="3716"/>
      <c r="M757" s="3714"/>
      <c r="N757" s="3714"/>
      <c r="O757" s="3714"/>
      <c r="P757" s="3756"/>
      <c r="Q757" s="3714"/>
      <c r="R757" s="3714"/>
      <c r="S757" s="3714"/>
      <c r="T757" s="3714"/>
      <c r="U757" s="3714"/>
      <c r="V757" s="3714"/>
      <c r="W757" s="3714"/>
      <c r="X757" s="3714"/>
      <c r="Y757" s="3714"/>
      <c r="Z757" s="3714"/>
      <c r="AA757" s="3714"/>
      <c r="AB757" s="3714"/>
      <c r="AC757" s="3714"/>
    </row>
    <row r="758" spans="1:29">
      <c r="A758" s="3714"/>
      <c r="B758" s="3714"/>
      <c r="C758" s="3714"/>
      <c r="D758" s="3714"/>
      <c r="E758" s="3714"/>
      <c r="F758" s="3714"/>
      <c r="G758" s="3714"/>
      <c r="H758" s="3714"/>
      <c r="I758" s="3714"/>
      <c r="J758" s="3714"/>
      <c r="K758" s="3715"/>
      <c r="L758" s="3716"/>
      <c r="M758" s="3714"/>
      <c r="N758" s="3714"/>
      <c r="O758" s="3714"/>
      <c r="P758" s="3756"/>
      <c r="Q758" s="3714"/>
      <c r="R758" s="3714"/>
      <c r="S758" s="3714"/>
      <c r="T758" s="3714"/>
      <c r="U758" s="3714"/>
      <c r="V758" s="3714"/>
      <c r="W758" s="3714"/>
      <c r="X758" s="3714"/>
      <c r="Y758" s="3714"/>
      <c r="Z758" s="3714"/>
      <c r="AA758" s="3714"/>
      <c r="AB758" s="3714"/>
      <c r="AC758" s="3714"/>
    </row>
    <row r="759" spans="1:29">
      <c r="A759" s="3714"/>
      <c r="B759" s="3714"/>
      <c r="C759" s="3714"/>
      <c r="D759" s="3714"/>
      <c r="E759" s="3714"/>
      <c r="F759" s="3714"/>
      <c r="G759" s="3714"/>
      <c r="H759" s="3714"/>
      <c r="I759" s="3714"/>
      <c r="J759" s="3714"/>
      <c r="K759" s="3715"/>
      <c r="L759" s="3716"/>
      <c r="M759" s="3714"/>
      <c r="N759" s="3714"/>
      <c r="O759" s="3714"/>
      <c r="P759" s="3756"/>
      <c r="Q759" s="3714"/>
      <c r="R759" s="3714"/>
      <c r="S759" s="3714"/>
      <c r="T759" s="3714"/>
      <c r="U759" s="3714"/>
      <c r="V759" s="3714"/>
      <c r="W759" s="3714"/>
      <c r="X759" s="3714"/>
      <c r="Y759" s="3714"/>
      <c r="Z759" s="3714"/>
      <c r="AA759" s="3714"/>
      <c r="AB759" s="3714"/>
      <c r="AC759" s="3714"/>
    </row>
    <row r="760" spans="1:29">
      <c r="A760" s="3714"/>
      <c r="B760" s="3714"/>
      <c r="C760" s="3714"/>
      <c r="D760" s="3714"/>
      <c r="E760" s="3714"/>
      <c r="F760" s="3714"/>
      <c r="G760" s="3714"/>
      <c r="H760" s="3714"/>
      <c r="I760" s="3714"/>
      <c r="J760" s="3714"/>
      <c r="K760" s="3715"/>
      <c r="L760" s="3716"/>
      <c r="M760" s="3714"/>
      <c r="N760" s="3714"/>
      <c r="O760" s="3714"/>
      <c r="P760" s="3756"/>
      <c r="Q760" s="3714"/>
      <c r="R760" s="3714"/>
      <c r="S760" s="3714"/>
      <c r="T760" s="3714"/>
      <c r="U760" s="3714"/>
      <c r="V760" s="3714"/>
      <c r="W760" s="3714"/>
      <c r="X760" s="3714"/>
      <c r="Y760" s="3714"/>
      <c r="Z760" s="3714"/>
      <c r="AA760" s="3714"/>
      <c r="AB760" s="3714"/>
      <c r="AC760" s="3714"/>
    </row>
    <row r="761" spans="1:29">
      <c r="A761" s="3714"/>
      <c r="B761" s="3714"/>
      <c r="C761" s="3714"/>
      <c r="D761" s="3714"/>
      <c r="E761" s="3714"/>
      <c r="F761" s="3714"/>
      <c r="G761" s="3714"/>
      <c r="H761" s="3714"/>
      <c r="I761" s="3714"/>
      <c r="J761" s="3714"/>
      <c r="K761" s="3715"/>
      <c r="L761" s="3716"/>
      <c r="M761" s="3714"/>
      <c r="N761" s="3714"/>
      <c r="O761" s="3714"/>
      <c r="P761" s="3756"/>
      <c r="Q761" s="3714"/>
      <c r="R761" s="3714"/>
      <c r="S761" s="3714"/>
      <c r="T761" s="3714"/>
      <c r="U761" s="3714"/>
      <c r="V761" s="3714"/>
      <c r="W761" s="3714"/>
      <c r="X761" s="3714"/>
      <c r="Y761" s="3714"/>
      <c r="Z761" s="3714"/>
      <c r="AA761" s="3714"/>
      <c r="AB761" s="3714"/>
      <c r="AC761" s="3714"/>
    </row>
    <row r="762" spans="1:29">
      <c r="A762" s="3714"/>
      <c r="B762" s="3714"/>
      <c r="C762" s="3714"/>
      <c r="D762" s="3714"/>
      <c r="E762" s="3714"/>
      <c r="F762" s="3714"/>
      <c r="G762" s="3714"/>
      <c r="H762" s="3714"/>
      <c r="I762" s="3714"/>
      <c r="J762" s="3714"/>
      <c r="K762" s="3715"/>
      <c r="L762" s="3716"/>
      <c r="M762" s="3714"/>
      <c r="N762" s="3714"/>
      <c r="O762" s="3714"/>
      <c r="P762" s="3756"/>
      <c r="Q762" s="3714"/>
      <c r="R762" s="3714"/>
      <c r="S762" s="3714"/>
      <c r="T762" s="3714"/>
      <c r="U762" s="3714"/>
      <c r="V762" s="3714"/>
      <c r="W762" s="3714"/>
      <c r="X762" s="3714"/>
      <c r="Y762" s="3714"/>
      <c r="Z762" s="3714"/>
      <c r="AA762" s="3714"/>
      <c r="AB762" s="3714"/>
      <c r="AC762" s="3714"/>
    </row>
    <row r="763" spans="1:29">
      <c r="A763" s="3714"/>
      <c r="B763" s="3714"/>
      <c r="C763" s="3714"/>
      <c r="D763" s="3714"/>
      <c r="E763" s="3714"/>
      <c r="F763" s="3714"/>
      <c r="G763" s="3714"/>
      <c r="H763" s="3714"/>
      <c r="I763" s="3714"/>
      <c r="J763" s="3714"/>
      <c r="K763" s="3715"/>
      <c r="L763" s="3716"/>
      <c r="M763" s="3714"/>
      <c r="N763" s="3714"/>
      <c r="O763" s="3714"/>
      <c r="P763" s="3756"/>
      <c r="Q763" s="3714"/>
      <c r="R763" s="3714"/>
      <c r="S763" s="3714"/>
      <c r="T763" s="3714"/>
      <c r="U763" s="3714"/>
      <c r="V763" s="3714"/>
      <c r="W763" s="3714"/>
      <c r="X763" s="3714"/>
      <c r="Y763" s="3714"/>
      <c r="Z763" s="3714"/>
      <c r="AA763" s="3714"/>
      <c r="AB763" s="3714"/>
      <c r="AC763" s="3714"/>
    </row>
    <row r="764" spans="1:29">
      <c r="A764" s="3714"/>
      <c r="B764" s="3714"/>
      <c r="C764" s="3714"/>
      <c r="D764" s="3714"/>
      <c r="E764" s="3714"/>
      <c r="F764" s="3714"/>
      <c r="G764" s="3714"/>
      <c r="H764" s="3714"/>
      <c r="I764" s="3714"/>
      <c r="J764" s="3714"/>
      <c r="K764" s="3715"/>
      <c r="L764" s="3716"/>
      <c r="M764" s="3714"/>
      <c r="N764" s="3714"/>
      <c r="O764" s="3714"/>
      <c r="P764" s="3756"/>
      <c r="Q764" s="3714"/>
      <c r="R764" s="3714"/>
      <c r="S764" s="3714"/>
      <c r="T764" s="3714"/>
      <c r="U764" s="3714"/>
      <c r="V764" s="3714"/>
      <c r="W764" s="3714"/>
      <c r="X764" s="3714"/>
      <c r="Y764" s="3714"/>
      <c r="Z764" s="3714"/>
      <c r="AA764" s="3714"/>
      <c r="AB764" s="3714"/>
      <c r="AC764" s="3714"/>
    </row>
    <row r="765" spans="1:29">
      <c r="A765" s="3714"/>
      <c r="B765" s="3714"/>
      <c r="C765" s="3714"/>
      <c r="D765" s="3714"/>
      <c r="E765" s="3714"/>
      <c r="F765" s="3714"/>
      <c r="G765" s="3714"/>
      <c r="H765" s="3714"/>
      <c r="I765" s="3714"/>
      <c r="J765" s="3714"/>
      <c r="K765" s="3715"/>
      <c r="L765" s="3716"/>
      <c r="M765" s="3714"/>
      <c r="N765" s="3714"/>
      <c r="O765" s="3714"/>
      <c r="P765" s="3756"/>
      <c r="Q765" s="3714"/>
      <c r="R765" s="3714"/>
      <c r="S765" s="3714"/>
      <c r="T765" s="3714"/>
      <c r="U765" s="3714"/>
      <c r="V765" s="3714"/>
      <c r="W765" s="3714"/>
      <c r="X765" s="3714"/>
      <c r="Y765" s="3714"/>
      <c r="Z765" s="3714"/>
      <c r="AA765" s="3714"/>
      <c r="AB765" s="3714"/>
      <c r="AC765" s="3714"/>
    </row>
    <row r="766" spans="1:29">
      <c r="A766" s="3714"/>
      <c r="B766" s="3714"/>
      <c r="C766" s="3714"/>
      <c r="D766" s="3714"/>
      <c r="E766" s="3714"/>
      <c r="F766" s="3714"/>
      <c r="G766" s="3714"/>
      <c r="H766" s="3714"/>
      <c r="I766" s="3714"/>
      <c r="J766" s="3714"/>
      <c r="K766" s="3715"/>
      <c r="L766" s="3716"/>
      <c r="M766" s="3714"/>
      <c r="N766" s="3714"/>
      <c r="O766" s="3714"/>
      <c r="P766" s="3756"/>
      <c r="Q766" s="3714"/>
      <c r="R766" s="3714"/>
      <c r="S766" s="3714"/>
      <c r="T766" s="3714"/>
      <c r="U766" s="3714"/>
      <c r="V766" s="3714"/>
      <c r="W766" s="3714"/>
      <c r="X766" s="3714"/>
      <c r="Y766" s="3714"/>
      <c r="Z766" s="3714"/>
      <c r="AA766" s="3714"/>
      <c r="AB766" s="3714"/>
      <c r="AC766" s="3714"/>
    </row>
    <row r="767" spans="1:29">
      <c r="A767" s="3714"/>
      <c r="B767" s="3714"/>
      <c r="C767" s="3714"/>
      <c r="D767" s="3714"/>
      <c r="E767" s="3714"/>
      <c r="F767" s="3714"/>
      <c r="G767" s="3714"/>
      <c r="H767" s="3714"/>
      <c r="I767" s="3714"/>
      <c r="J767" s="3714"/>
      <c r="K767" s="3715"/>
      <c r="L767" s="3716"/>
      <c r="M767" s="3714"/>
      <c r="N767" s="3714"/>
      <c r="O767" s="3714"/>
      <c r="P767" s="3756"/>
      <c r="Q767" s="3714"/>
      <c r="R767" s="3714"/>
      <c r="S767" s="3714"/>
      <c r="T767" s="3714"/>
      <c r="U767" s="3714"/>
      <c r="V767" s="3714"/>
      <c r="W767" s="3714"/>
      <c r="X767" s="3714"/>
      <c r="Y767" s="3714"/>
      <c r="Z767" s="3714"/>
      <c r="AA767" s="3714"/>
      <c r="AB767" s="3714"/>
      <c r="AC767" s="3714"/>
    </row>
    <row r="768" spans="1:29">
      <c r="A768" s="3714"/>
      <c r="B768" s="3714"/>
      <c r="C768" s="3714"/>
      <c r="D768" s="3714"/>
      <c r="E768" s="3714"/>
      <c r="F768" s="3714"/>
      <c r="G768" s="3714"/>
      <c r="H768" s="3714"/>
      <c r="I768" s="3714"/>
      <c r="J768" s="3714"/>
      <c r="K768" s="3715"/>
      <c r="L768" s="3716"/>
      <c r="M768" s="3714"/>
      <c r="N768" s="3714"/>
      <c r="O768" s="3714"/>
      <c r="P768" s="3756"/>
      <c r="Q768" s="3714"/>
      <c r="R768" s="3714"/>
      <c r="S768" s="3714"/>
      <c r="T768" s="3714"/>
      <c r="U768" s="3714"/>
      <c r="V768" s="3714"/>
      <c r="W768" s="3714"/>
      <c r="X768" s="3714"/>
      <c r="Y768" s="3714"/>
      <c r="Z768" s="3714"/>
      <c r="AA768" s="3714"/>
      <c r="AB768" s="3714"/>
      <c r="AC768" s="3714"/>
    </row>
    <row r="769" spans="1:29">
      <c r="A769" s="3714"/>
      <c r="B769" s="3714"/>
      <c r="C769" s="3714"/>
      <c r="D769" s="3714"/>
      <c r="E769" s="3714"/>
      <c r="F769" s="3714"/>
      <c r="G769" s="3714"/>
      <c r="H769" s="3714"/>
      <c r="I769" s="3714"/>
      <c r="J769" s="3714"/>
      <c r="K769" s="3715"/>
      <c r="L769" s="3716"/>
      <c r="M769" s="3714"/>
      <c r="N769" s="3714"/>
      <c r="O769" s="3714"/>
      <c r="P769" s="3756"/>
      <c r="Q769" s="3714"/>
      <c r="R769" s="3714"/>
      <c r="S769" s="3714"/>
      <c r="T769" s="3714"/>
      <c r="U769" s="3714"/>
      <c r="V769" s="3714"/>
      <c r="W769" s="3714"/>
      <c r="X769" s="3714"/>
      <c r="Y769" s="3714"/>
      <c r="Z769" s="3714"/>
      <c r="AA769" s="3714"/>
      <c r="AB769" s="3714"/>
      <c r="AC769" s="3714"/>
    </row>
    <row r="770" spans="1:29">
      <c r="A770" s="3714"/>
      <c r="B770" s="3714"/>
      <c r="C770" s="3714"/>
      <c r="D770" s="3714"/>
      <c r="E770" s="3714"/>
      <c r="F770" s="3714"/>
      <c r="G770" s="3714"/>
      <c r="H770" s="3714"/>
      <c r="I770" s="3714"/>
      <c r="J770" s="3714"/>
      <c r="K770" s="3715"/>
      <c r="L770" s="3716"/>
      <c r="M770" s="3714"/>
      <c r="N770" s="3714"/>
      <c r="O770" s="3714"/>
      <c r="P770" s="3756"/>
      <c r="Q770" s="3714"/>
      <c r="R770" s="3714"/>
      <c r="S770" s="3714"/>
      <c r="T770" s="3714"/>
      <c r="U770" s="3714"/>
      <c r="V770" s="3714"/>
      <c r="W770" s="3714"/>
      <c r="X770" s="3714"/>
      <c r="Y770" s="3714"/>
      <c r="Z770" s="3714"/>
      <c r="AA770" s="3714"/>
      <c r="AB770" s="3714"/>
      <c r="AC770" s="3714"/>
    </row>
    <row r="771" spans="1:29">
      <c r="A771" s="3714"/>
      <c r="B771" s="3714"/>
      <c r="C771" s="3714"/>
      <c r="D771" s="3714"/>
      <c r="E771" s="3714"/>
      <c r="F771" s="3714"/>
      <c r="G771" s="3714"/>
      <c r="H771" s="3714"/>
      <c r="I771" s="3714"/>
      <c r="J771" s="3714"/>
      <c r="K771" s="3715"/>
      <c r="L771" s="3716"/>
      <c r="M771" s="3714"/>
      <c r="N771" s="3714"/>
      <c r="O771" s="3714"/>
      <c r="P771" s="3756"/>
      <c r="Q771" s="3714"/>
      <c r="R771" s="3714"/>
      <c r="S771" s="3714"/>
      <c r="T771" s="3714"/>
      <c r="U771" s="3714"/>
      <c r="V771" s="3714"/>
      <c r="W771" s="3714"/>
      <c r="X771" s="3714"/>
      <c r="Y771" s="3714"/>
      <c r="Z771" s="3714"/>
      <c r="AA771" s="3714"/>
      <c r="AB771" s="3714"/>
      <c r="AC771" s="3714"/>
    </row>
    <row r="772" spans="1:29">
      <c r="A772" s="3714"/>
      <c r="B772" s="3714"/>
      <c r="C772" s="3714"/>
      <c r="D772" s="3714"/>
      <c r="E772" s="3714"/>
      <c r="F772" s="3714"/>
      <c r="G772" s="3714"/>
      <c r="H772" s="3714"/>
      <c r="I772" s="3714"/>
      <c r="J772" s="3714"/>
      <c r="K772" s="3715"/>
      <c r="L772" s="3716"/>
      <c r="M772" s="3714"/>
      <c r="N772" s="3714"/>
      <c r="O772" s="3714"/>
      <c r="P772" s="3756"/>
      <c r="Q772" s="3714"/>
      <c r="R772" s="3714"/>
      <c r="S772" s="3714"/>
      <c r="T772" s="3714"/>
      <c r="U772" s="3714"/>
      <c r="V772" s="3714"/>
      <c r="W772" s="3714"/>
      <c r="X772" s="3714"/>
      <c r="Y772" s="3714"/>
      <c r="Z772" s="3714"/>
      <c r="AA772" s="3714"/>
      <c r="AB772" s="3714"/>
      <c r="AC772" s="3714"/>
    </row>
    <row r="773" spans="1:29">
      <c r="A773" s="3714"/>
      <c r="B773" s="3714"/>
      <c r="C773" s="3714"/>
      <c r="D773" s="3714"/>
      <c r="E773" s="3714"/>
      <c r="F773" s="3714"/>
      <c r="G773" s="3714"/>
      <c r="H773" s="3714"/>
      <c r="I773" s="3714"/>
      <c r="J773" s="3714"/>
      <c r="K773" s="3715"/>
      <c r="L773" s="3716"/>
      <c r="M773" s="3714"/>
      <c r="N773" s="3714"/>
      <c r="O773" s="3714"/>
      <c r="P773" s="3756"/>
      <c r="Q773" s="3714"/>
      <c r="R773" s="3714"/>
      <c r="S773" s="3714"/>
      <c r="T773" s="3714"/>
      <c r="U773" s="3714"/>
      <c r="V773" s="3714"/>
      <c r="W773" s="3714"/>
      <c r="X773" s="3714"/>
      <c r="Y773" s="3714"/>
      <c r="Z773" s="3714"/>
      <c r="AA773" s="3714"/>
      <c r="AB773" s="3714"/>
      <c r="AC773" s="3714"/>
    </row>
    <row r="774" spans="1:29">
      <c r="A774" s="3714"/>
      <c r="B774" s="3714"/>
      <c r="C774" s="3714"/>
      <c r="D774" s="3714"/>
      <c r="E774" s="3714"/>
      <c r="F774" s="3714"/>
      <c r="G774" s="3714"/>
      <c r="H774" s="3714"/>
      <c r="I774" s="3714"/>
      <c r="J774" s="3714"/>
      <c r="K774" s="3715"/>
      <c r="L774" s="3716"/>
      <c r="M774" s="3714"/>
      <c r="N774" s="3714"/>
      <c r="O774" s="3714"/>
      <c r="P774" s="3756"/>
      <c r="Q774" s="3714"/>
      <c r="R774" s="3714"/>
      <c r="S774" s="3714"/>
      <c r="T774" s="3714"/>
      <c r="U774" s="3714"/>
      <c r="V774" s="3714"/>
      <c r="W774" s="3714"/>
      <c r="X774" s="3714"/>
      <c r="Y774" s="3714"/>
      <c r="Z774" s="3714"/>
      <c r="AA774" s="3714"/>
      <c r="AB774" s="3714"/>
      <c r="AC774" s="3714"/>
    </row>
    <row r="775" spans="1:29">
      <c r="A775" s="3714"/>
      <c r="B775" s="3714"/>
      <c r="C775" s="3714"/>
      <c r="D775" s="3714"/>
      <c r="E775" s="3714"/>
      <c r="F775" s="3714"/>
      <c r="G775" s="3714"/>
      <c r="H775" s="3714"/>
      <c r="I775" s="3714"/>
      <c r="J775" s="3714"/>
      <c r="K775" s="3715"/>
      <c r="L775" s="3716"/>
      <c r="M775" s="3714"/>
      <c r="N775" s="3714"/>
      <c r="O775" s="3714"/>
      <c r="P775" s="3756"/>
      <c r="Q775" s="3714"/>
      <c r="R775" s="3714"/>
      <c r="S775" s="3714"/>
      <c r="T775" s="3714"/>
      <c r="U775" s="3714"/>
      <c r="V775" s="3714"/>
      <c r="W775" s="3714"/>
      <c r="X775" s="3714"/>
      <c r="Y775" s="3714"/>
      <c r="Z775" s="3714"/>
      <c r="AA775" s="3714"/>
      <c r="AB775" s="3714"/>
      <c r="AC775" s="3714"/>
    </row>
    <row r="776" spans="1:29">
      <c r="A776" s="3714"/>
      <c r="B776" s="3714"/>
      <c r="C776" s="3714"/>
      <c r="D776" s="3714"/>
      <c r="E776" s="3714"/>
      <c r="F776" s="3714"/>
      <c r="G776" s="3714"/>
      <c r="H776" s="3714"/>
      <c r="I776" s="3714"/>
      <c r="J776" s="3714"/>
      <c r="K776" s="3715"/>
      <c r="L776" s="3716"/>
      <c r="M776" s="3714"/>
      <c r="N776" s="3714"/>
      <c r="O776" s="3714"/>
      <c r="P776" s="3756"/>
      <c r="Q776" s="3714"/>
      <c r="R776" s="3714"/>
      <c r="S776" s="3714"/>
      <c r="T776" s="3714"/>
      <c r="U776" s="3714"/>
      <c r="V776" s="3714"/>
      <c r="W776" s="3714"/>
      <c r="X776" s="3714"/>
      <c r="Y776" s="3714"/>
      <c r="Z776" s="3714"/>
      <c r="AA776" s="3714"/>
      <c r="AB776" s="3714"/>
      <c r="AC776" s="3714"/>
    </row>
    <row r="777" spans="1:29">
      <c r="A777" s="3714"/>
      <c r="B777" s="3714"/>
      <c r="C777" s="3714"/>
      <c r="D777" s="3714"/>
      <c r="E777" s="3714"/>
      <c r="F777" s="3714"/>
      <c r="G777" s="3714"/>
      <c r="H777" s="3714"/>
      <c r="I777" s="3714"/>
      <c r="J777" s="3714"/>
      <c r="K777" s="3715"/>
      <c r="L777" s="3716"/>
      <c r="M777" s="3714"/>
      <c r="N777" s="3714"/>
      <c r="O777" s="3714"/>
      <c r="P777" s="3756"/>
      <c r="Q777" s="3714"/>
      <c r="R777" s="3714"/>
      <c r="S777" s="3714"/>
      <c r="T777" s="3714"/>
      <c r="U777" s="3714"/>
      <c r="V777" s="3714"/>
      <c r="W777" s="3714"/>
      <c r="X777" s="3714"/>
      <c r="Y777" s="3714"/>
      <c r="Z777" s="3714"/>
      <c r="AA777" s="3714"/>
      <c r="AB777" s="3714"/>
      <c r="AC777" s="3714"/>
    </row>
    <row r="778" spans="1:29">
      <c r="A778" s="3714"/>
      <c r="B778" s="3714"/>
      <c r="C778" s="3714"/>
      <c r="D778" s="3714"/>
      <c r="E778" s="3714"/>
      <c r="F778" s="3714"/>
      <c r="G778" s="3714"/>
      <c r="H778" s="3714"/>
      <c r="I778" s="3714"/>
      <c r="J778" s="3714"/>
      <c r="K778" s="3715"/>
      <c r="L778" s="3716"/>
      <c r="M778" s="3714"/>
      <c r="N778" s="3714"/>
      <c r="O778" s="3714"/>
      <c r="P778" s="3756"/>
      <c r="Q778" s="3714"/>
      <c r="R778" s="3714"/>
      <c r="S778" s="3714"/>
      <c r="T778" s="3714"/>
      <c r="U778" s="3714"/>
      <c r="V778" s="3714"/>
      <c r="W778" s="3714"/>
      <c r="X778" s="3714"/>
      <c r="Y778" s="3714"/>
      <c r="Z778" s="3714"/>
      <c r="AA778" s="3714"/>
      <c r="AB778" s="3714"/>
      <c r="AC778" s="3714"/>
    </row>
    <row r="779" spans="1:29">
      <c r="A779" s="3714"/>
      <c r="B779" s="3714"/>
      <c r="C779" s="3714"/>
      <c r="D779" s="3714"/>
      <c r="E779" s="3714"/>
      <c r="F779" s="3714"/>
      <c r="G779" s="3714"/>
      <c r="H779" s="3714"/>
      <c r="I779" s="3714"/>
      <c r="J779" s="3714"/>
      <c r="K779" s="3715"/>
      <c r="L779" s="3716"/>
      <c r="M779" s="3714"/>
      <c r="N779" s="3714"/>
      <c r="O779" s="3714"/>
      <c r="P779" s="3756"/>
      <c r="Q779" s="3714"/>
      <c r="R779" s="3714"/>
      <c r="S779" s="3714"/>
      <c r="T779" s="3714"/>
      <c r="U779" s="3714"/>
      <c r="V779" s="3714"/>
      <c r="W779" s="3714"/>
      <c r="X779" s="3714"/>
      <c r="Y779" s="3714"/>
      <c r="Z779" s="3714"/>
      <c r="AA779" s="3714"/>
      <c r="AB779" s="3714"/>
      <c r="AC779" s="3714"/>
    </row>
    <row r="780" spans="1:29">
      <c r="A780" s="3714"/>
      <c r="B780" s="3714"/>
      <c r="C780" s="3714"/>
      <c r="D780" s="3714"/>
      <c r="E780" s="3714"/>
      <c r="F780" s="3714"/>
      <c r="G780" s="3714"/>
      <c r="H780" s="3714"/>
      <c r="I780" s="3714"/>
      <c r="J780" s="3714"/>
      <c r="K780" s="3715"/>
      <c r="L780" s="3716"/>
      <c r="M780" s="3714"/>
      <c r="N780" s="3714"/>
      <c r="O780" s="3714"/>
      <c r="P780" s="3756"/>
      <c r="Q780" s="3714"/>
      <c r="R780" s="3714"/>
      <c r="S780" s="3714"/>
      <c r="T780" s="3714"/>
      <c r="U780" s="3714"/>
      <c r="V780" s="3714"/>
      <c r="W780" s="3714"/>
      <c r="X780" s="3714"/>
      <c r="Y780" s="3714"/>
      <c r="Z780" s="3714"/>
      <c r="AA780" s="3714"/>
      <c r="AB780" s="3714"/>
      <c r="AC780" s="3714"/>
    </row>
    <row r="781" spans="1:29">
      <c r="A781" s="3714"/>
      <c r="B781" s="3714"/>
      <c r="C781" s="3714"/>
      <c r="D781" s="3714"/>
      <c r="E781" s="3714"/>
      <c r="F781" s="3714"/>
      <c r="G781" s="3714"/>
      <c r="H781" s="3714"/>
      <c r="I781" s="3714"/>
      <c r="J781" s="3714"/>
      <c r="K781" s="3715"/>
      <c r="L781" s="3716"/>
      <c r="M781" s="3714"/>
      <c r="N781" s="3714"/>
      <c r="O781" s="3714"/>
      <c r="P781" s="3756"/>
      <c r="Q781" s="3714"/>
      <c r="R781" s="3714"/>
      <c r="S781" s="3714"/>
      <c r="T781" s="3714"/>
      <c r="U781" s="3714"/>
      <c r="V781" s="3714"/>
      <c r="W781" s="3714"/>
      <c r="X781" s="3714"/>
      <c r="Y781" s="3714"/>
      <c r="Z781" s="3714"/>
      <c r="AA781" s="3714"/>
      <c r="AB781" s="3714"/>
      <c r="AC781" s="3714"/>
    </row>
    <row r="782" spans="1:29">
      <c r="A782" s="3714"/>
      <c r="B782" s="3714"/>
      <c r="C782" s="3714"/>
      <c r="D782" s="3714"/>
      <c r="E782" s="3714"/>
      <c r="F782" s="3714"/>
      <c r="G782" s="3714"/>
      <c r="H782" s="3714"/>
      <c r="I782" s="3714"/>
      <c r="J782" s="3714"/>
      <c r="K782" s="3715"/>
      <c r="L782" s="3716"/>
      <c r="M782" s="3714"/>
      <c r="N782" s="3714"/>
      <c r="O782" s="3714"/>
      <c r="P782" s="3756"/>
      <c r="Q782" s="3714"/>
      <c r="R782" s="3714"/>
      <c r="S782" s="3714"/>
      <c r="T782" s="3714"/>
      <c r="U782" s="3714"/>
      <c r="V782" s="3714"/>
      <c r="W782" s="3714"/>
      <c r="X782" s="3714"/>
      <c r="Y782" s="3714"/>
      <c r="Z782" s="3714"/>
      <c r="AA782" s="3714"/>
      <c r="AB782" s="3714"/>
      <c r="AC782" s="3714"/>
    </row>
    <row r="783" spans="1:29">
      <c r="A783" s="3714"/>
      <c r="B783" s="3714"/>
      <c r="C783" s="3714"/>
      <c r="D783" s="3714"/>
      <c r="E783" s="3714"/>
      <c r="F783" s="3714"/>
      <c r="G783" s="3714"/>
      <c r="H783" s="3714"/>
      <c r="I783" s="3714"/>
      <c r="J783" s="3714"/>
      <c r="K783" s="3715"/>
      <c r="L783" s="3716"/>
      <c r="M783" s="3714"/>
      <c r="N783" s="3714"/>
      <c r="O783" s="3714"/>
      <c r="P783" s="3756"/>
      <c r="Q783" s="3714"/>
      <c r="R783" s="3714"/>
      <c r="S783" s="3714"/>
      <c r="T783" s="3714"/>
      <c r="U783" s="3714"/>
      <c r="V783" s="3714"/>
      <c r="W783" s="3714"/>
      <c r="X783" s="3714"/>
      <c r="Y783" s="3714"/>
      <c r="Z783" s="3714"/>
      <c r="AA783" s="3714"/>
      <c r="AB783" s="3714"/>
      <c r="AC783" s="3714"/>
    </row>
    <row r="784" spans="1:29">
      <c r="A784" s="3714"/>
      <c r="B784" s="3714"/>
      <c r="C784" s="3714"/>
      <c r="D784" s="3714"/>
      <c r="E784" s="3714"/>
      <c r="F784" s="3714"/>
      <c r="G784" s="3714"/>
      <c r="H784" s="3714"/>
      <c r="I784" s="3714"/>
      <c r="J784" s="3714"/>
      <c r="K784" s="3715"/>
      <c r="L784" s="3716"/>
      <c r="M784" s="3714"/>
      <c r="N784" s="3714"/>
      <c r="O784" s="3714"/>
      <c r="P784" s="3756"/>
      <c r="Q784" s="3714"/>
      <c r="R784" s="3714"/>
      <c r="S784" s="3714"/>
      <c r="T784" s="3714"/>
      <c r="U784" s="3714"/>
      <c r="V784" s="3714"/>
      <c r="W784" s="3714"/>
      <c r="X784" s="3714"/>
      <c r="Y784" s="3714"/>
      <c r="Z784" s="3714"/>
      <c r="AA784" s="3714"/>
      <c r="AB784" s="3714"/>
      <c r="AC784" s="3714"/>
    </row>
    <row r="785" spans="1:29">
      <c r="A785" s="3714"/>
      <c r="B785" s="3714"/>
      <c r="C785" s="3714"/>
      <c r="D785" s="3714"/>
      <c r="E785" s="3714"/>
      <c r="F785" s="3714"/>
      <c r="G785" s="3714"/>
      <c r="H785" s="3714"/>
      <c r="I785" s="3714"/>
      <c r="J785" s="3714"/>
      <c r="K785" s="3715"/>
      <c r="L785" s="3716"/>
      <c r="M785" s="3714"/>
      <c r="N785" s="3714"/>
      <c r="O785" s="3714"/>
      <c r="P785" s="3756"/>
      <c r="Q785" s="3714"/>
      <c r="R785" s="3714"/>
      <c r="S785" s="3714"/>
      <c r="T785" s="3714"/>
      <c r="U785" s="3714"/>
      <c r="V785" s="3714"/>
      <c r="W785" s="3714"/>
      <c r="X785" s="3714"/>
      <c r="Y785" s="3714"/>
      <c r="Z785" s="3714"/>
      <c r="AA785" s="3714"/>
      <c r="AB785" s="3714"/>
      <c r="AC785" s="3714"/>
    </row>
    <row r="786" spans="1:29">
      <c r="A786" s="3714"/>
      <c r="B786" s="3714"/>
      <c r="C786" s="3714"/>
      <c r="D786" s="3714"/>
      <c r="E786" s="3714"/>
      <c r="F786" s="3714"/>
      <c r="G786" s="3714"/>
      <c r="H786" s="3714"/>
      <c r="I786" s="3714"/>
      <c r="J786" s="3714"/>
      <c r="K786" s="3715"/>
      <c r="L786" s="3716"/>
      <c r="M786" s="3714"/>
      <c r="N786" s="3714"/>
      <c r="O786" s="3714"/>
      <c r="P786" s="3756"/>
      <c r="Q786" s="3714"/>
      <c r="R786" s="3714"/>
      <c r="S786" s="3714"/>
      <c r="T786" s="3714"/>
      <c r="U786" s="3714"/>
      <c r="V786" s="3714"/>
      <c r="W786" s="3714"/>
      <c r="X786" s="3714"/>
      <c r="Y786" s="3714"/>
      <c r="Z786" s="3714"/>
      <c r="AA786" s="3714"/>
      <c r="AB786" s="3714"/>
      <c r="AC786" s="3714"/>
    </row>
    <row r="787" spans="1:29">
      <c r="A787" s="3714"/>
      <c r="B787" s="3714"/>
      <c r="C787" s="3714"/>
      <c r="D787" s="3714"/>
      <c r="E787" s="3714"/>
      <c r="F787" s="3714"/>
      <c r="G787" s="3714"/>
      <c r="H787" s="3714"/>
      <c r="I787" s="3714"/>
      <c r="J787" s="3714"/>
      <c r="K787" s="3715"/>
      <c r="L787" s="3716"/>
      <c r="M787" s="3714"/>
      <c r="N787" s="3714"/>
      <c r="O787" s="3714"/>
      <c r="P787" s="3756"/>
      <c r="Q787" s="3714"/>
      <c r="R787" s="3714"/>
      <c r="S787" s="3714"/>
      <c r="T787" s="3714"/>
      <c r="U787" s="3714"/>
      <c r="V787" s="3714"/>
      <c r="W787" s="3714"/>
      <c r="X787" s="3714"/>
      <c r="Y787" s="3714"/>
      <c r="Z787" s="3714"/>
      <c r="AA787" s="3714"/>
      <c r="AB787" s="3714"/>
      <c r="AC787" s="3714"/>
    </row>
    <row r="788" spans="1:29">
      <c r="A788" s="3714"/>
      <c r="B788" s="3714"/>
      <c r="C788" s="3714"/>
      <c r="D788" s="3714"/>
      <c r="E788" s="3714"/>
      <c r="F788" s="3714"/>
      <c r="G788" s="3714"/>
      <c r="H788" s="3714"/>
      <c r="I788" s="3714"/>
      <c r="J788" s="3714"/>
      <c r="K788" s="3715"/>
      <c r="L788" s="3716"/>
      <c r="M788" s="3714"/>
      <c r="N788" s="3714"/>
      <c r="O788" s="3714"/>
      <c r="P788" s="3756"/>
      <c r="Q788" s="3714"/>
      <c r="R788" s="3714"/>
      <c r="S788" s="3714"/>
      <c r="T788" s="3714"/>
      <c r="U788" s="3714"/>
      <c r="V788" s="3714"/>
      <c r="W788" s="3714"/>
      <c r="X788" s="3714"/>
      <c r="Y788" s="3714"/>
      <c r="Z788" s="3714"/>
      <c r="AA788" s="3714"/>
      <c r="AB788" s="3714"/>
      <c r="AC788" s="3714"/>
    </row>
    <row r="789" spans="1:29">
      <c r="A789" s="3714"/>
      <c r="B789" s="3714"/>
      <c r="C789" s="3714"/>
      <c r="D789" s="3714"/>
      <c r="E789" s="3714"/>
      <c r="F789" s="3714"/>
      <c r="G789" s="3714"/>
      <c r="H789" s="3714"/>
      <c r="I789" s="3714"/>
      <c r="J789" s="3714"/>
      <c r="K789" s="3715"/>
      <c r="L789" s="3716"/>
      <c r="M789" s="3714"/>
      <c r="N789" s="3714"/>
      <c r="O789" s="3714"/>
      <c r="P789" s="3756"/>
      <c r="Q789" s="3714"/>
      <c r="R789" s="3714"/>
      <c r="S789" s="3714"/>
      <c r="T789" s="3714"/>
      <c r="U789" s="3714"/>
      <c r="V789" s="3714"/>
      <c r="W789" s="3714"/>
      <c r="X789" s="3714"/>
      <c r="Y789" s="3714"/>
      <c r="Z789" s="3714"/>
      <c r="AA789" s="3714"/>
      <c r="AB789" s="3714"/>
      <c r="AC789" s="3714"/>
    </row>
    <row r="790" spans="1:29">
      <c r="A790" s="3714"/>
      <c r="B790" s="3714"/>
      <c r="C790" s="3714"/>
      <c r="D790" s="3714"/>
      <c r="E790" s="3714"/>
      <c r="F790" s="3714"/>
      <c r="G790" s="3714"/>
      <c r="H790" s="3714"/>
      <c r="I790" s="3714"/>
      <c r="J790" s="3714"/>
      <c r="K790" s="3715"/>
      <c r="L790" s="3716"/>
      <c r="M790" s="3714"/>
      <c r="N790" s="3714"/>
      <c r="O790" s="3714"/>
      <c r="P790" s="3756"/>
      <c r="Q790" s="3714"/>
      <c r="R790" s="3714"/>
      <c r="S790" s="3714"/>
      <c r="T790" s="3714"/>
      <c r="U790" s="3714"/>
      <c r="V790" s="3714"/>
      <c r="W790" s="3714"/>
      <c r="X790" s="3714"/>
      <c r="Y790" s="3714"/>
      <c r="Z790" s="3714"/>
      <c r="AA790" s="3714"/>
      <c r="AB790" s="3714"/>
      <c r="AC790" s="3714"/>
    </row>
    <row r="791" spans="1:29">
      <c r="A791" s="3714"/>
      <c r="B791" s="3714"/>
      <c r="C791" s="3714"/>
      <c r="D791" s="3714"/>
      <c r="E791" s="3714"/>
      <c r="F791" s="3714"/>
      <c r="G791" s="3714"/>
      <c r="H791" s="3714"/>
      <c r="I791" s="3714"/>
      <c r="J791" s="3714"/>
      <c r="K791" s="3715"/>
      <c r="L791" s="3716"/>
      <c r="M791" s="3714"/>
      <c r="N791" s="3714"/>
      <c r="O791" s="3714"/>
      <c r="P791" s="3756"/>
      <c r="Q791" s="3714"/>
      <c r="R791" s="3714"/>
      <c r="S791" s="3714"/>
      <c r="T791" s="3714"/>
      <c r="U791" s="3714"/>
      <c r="V791" s="3714"/>
      <c r="W791" s="3714"/>
      <c r="X791" s="3714"/>
      <c r="Y791" s="3714"/>
      <c r="Z791" s="3714"/>
      <c r="AA791" s="3714"/>
      <c r="AB791" s="3714"/>
      <c r="AC791" s="3714"/>
    </row>
    <row r="792" spans="1:29">
      <c r="A792" s="3714"/>
      <c r="B792" s="3714"/>
      <c r="C792" s="3714"/>
      <c r="D792" s="3714"/>
      <c r="E792" s="3714"/>
      <c r="F792" s="3714"/>
      <c r="G792" s="3714"/>
      <c r="H792" s="3714"/>
      <c r="I792" s="3714"/>
      <c r="J792" s="3714"/>
      <c r="K792" s="3715"/>
      <c r="L792" s="3716"/>
      <c r="M792" s="3714"/>
      <c r="N792" s="3714"/>
      <c r="O792" s="3714"/>
      <c r="P792" s="3756"/>
      <c r="Q792" s="3714"/>
      <c r="R792" s="3714"/>
      <c r="S792" s="3714"/>
      <c r="T792" s="3714"/>
      <c r="U792" s="3714"/>
      <c r="V792" s="3714"/>
      <c r="W792" s="3714"/>
      <c r="X792" s="3714"/>
      <c r="Y792" s="3714"/>
      <c r="Z792" s="3714"/>
      <c r="AA792" s="3714"/>
      <c r="AB792" s="3714"/>
      <c r="AC792" s="3714"/>
    </row>
    <row r="793" spans="1:29">
      <c r="A793" s="3714"/>
      <c r="B793" s="3714"/>
      <c r="C793" s="3714"/>
      <c r="D793" s="3714"/>
      <c r="E793" s="3714"/>
      <c r="F793" s="3714"/>
      <c r="G793" s="3714"/>
      <c r="H793" s="3714"/>
      <c r="I793" s="3714"/>
      <c r="J793" s="3714"/>
      <c r="K793" s="3715"/>
      <c r="L793" s="3716"/>
      <c r="M793" s="3714"/>
      <c r="N793" s="3714"/>
      <c r="O793" s="3714"/>
      <c r="P793" s="3756"/>
      <c r="Q793" s="3714"/>
      <c r="R793" s="3714"/>
      <c r="S793" s="3714"/>
      <c r="T793" s="3714"/>
      <c r="U793" s="3714"/>
      <c r="V793" s="3714"/>
      <c r="W793" s="3714"/>
      <c r="X793" s="3714"/>
      <c r="Y793" s="3714"/>
      <c r="Z793" s="3714"/>
      <c r="AA793" s="3714"/>
      <c r="AB793" s="3714"/>
      <c r="AC793" s="3714"/>
    </row>
    <row r="794" spans="1:29">
      <c r="A794" s="3714"/>
      <c r="B794" s="3714"/>
      <c r="C794" s="3714"/>
      <c r="D794" s="3714"/>
      <c r="E794" s="3714"/>
      <c r="F794" s="3714"/>
      <c r="G794" s="3714"/>
      <c r="H794" s="3714"/>
      <c r="I794" s="3714"/>
      <c r="J794" s="3714"/>
      <c r="K794" s="3715"/>
      <c r="L794" s="3716"/>
      <c r="M794" s="3714"/>
      <c r="N794" s="3714"/>
      <c r="O794" s="3714"/>
      <c r="P794" s="3756"/>
      <c r="Q794" s="3714"/>
      <c r="R794" s="3714"/>
      <c r="S794" s="3714"/>
      <c r="T794" s="3714"/>
      <c r="U794" s="3714"/>
      <c r="V794" s="3714"/>
      <c r="W794" s="3714"/>
      <c r="X794" s="3714"/>
      <c r="Y794" s="3714"/>
      <c r="Z794" s="3714"/>
      <c r="AA794" s="3714"/>
      <c r="AB794" s="3714"/>
      <c r="AC794" s="3714"/>
    </row>
    <row r="795" spans="1:29">
      <c r="A795" s="3714"/>
      <c r="B795" s="3714"/>
      <c r="C795" s="3714"/>
      <c r="D795" s="3714"/>
      <c r="E795" s="3714"/>
      <c r="F795" s="3714"/>
      <c r="G795" s="3714"/>
      <c r="H795" s="3714"/>
      <c r="I795" s="3714"/>
      <c r="J795" s="3714"/>
      <c r="K795" s="3715"/>
      <c r="L795" s="3716"/>
      <c r="M795" s="3714"/>
      <c r="N795" s="3714"/>
      <c r="O795" s="3714"/>
      <c r="P795" s="3756"/>
      <c r="Q795" s="3714"/>
      <c r="R795" s="3714"/>
      <c r="S795" s="3714"/>
      <c r="T795" s="3714"/>
      <c r="U795" s="3714"/>
      <c r="V795" s="3714"/>
      <c r="W795" s="3714"/>
      <c r="X795" s="3714"/>
      <c r="Y795" s="3714"/>
      <c r="Z795" s="3714"/>
      <c r="AA795" s="3714"/>
      <c r="AB795" s="3714"/>
      <c r="AC795" s="3714"/>
    </row>
    <row r="796" spans="1:29">
      <c r="A796" s="3714"/>
      <c r="B796" s="3714"/>
      <c r="C796" s="3714"/>
      <c r="D796" s="3714"/>
      <c r="E796" s="3714"/>
      <c r="F796" s="3714"/>
      <c r="G796" s="3714"/>
      <c r="H796" s="3714"/>
      <c r="I796" s="3714"/>
      <c r="J796" s="3714"/>
      <c r="K796" s="3715"/>
      <c r="L796" s="3716"/>
      <c r="M796" s="3714"/>
      <c r="N796" s="3714"/>
      <c r="O796" s="3714"/>
      <c r="P796" s="3756"/>
      <c r="Q796" s="3714"/>
      <c r="R796" s="3714"/>
      <c r="S796" s="3714"/>
      <c r="T796" s="3714"/>
      <c r="U796" s="3714"/>
      <c r="V796" s="3714"/>
      <c r="W796" s="3714"/>
      <c r="X796" s="3714"/>
      <c r="Y796" s="3714"/>
      <c r="Z796" s="3714"/>
      <c r="AA796" s="3714"/>
      <c r="AB796" s="3714"/>
      <c r="AC796" s="3714"/>
    </row>
    <row r="797" spans="1:29">
      <c r="A797" s="3714"/>
      <c r="B797" s="3714"/>
      <c r="C797" s="3714"/>
      <c r="D797" s="3714"/>
      <c r="E797" s="3714"/>
      <c r="F797" s="3714"/>
      <c r="G797" s="3714"/>
      <c r="H797" s="3714"/>
      <c r="I797" s="3714"/>
      <c r="J797" s="3714"/>
      <c r="K797" s="3715"/>
      <c r="L797" s="3716"/>
      <c r="M797" s="3714"/>
      <c r="N797" s="3714"/>
      <c r="O797" s="3714"/>
      <c r="P797" s="3756"/>
      <c r="Q797" s="3714"/>
      <c r="R797" s="3714"/>
      <c r="S797" s="3714"/>
      <c r="T797" s="3714"/>
      <c r="U797" s="3714"/>
      <c r="V797" s="3714"/>
      <c r="W797" s="3714"/>
      <c r="X797" s="3714"/>
      <c r="Y797" s="3714"/>
      <c r="Z797" s="3714"/>
      <c r="AA797" s="3714"/>
      <c r="AB797" s="3714"/>
      <c r="AC797" s="3714"/>
    </row>
    <row r="798" spans="1:29">
      <c r="A798" s="3714"/>
      <c r="B798" s="3714"/>
      <c r="C798" s="3714"/>
      <c r="D798" s="3714"/>
      <c r="E798" s="3714"/>
      <c r="F798" s="3714"/>
      <c r="G798" s="3714"/>
      <c r="H798" s="3714"/>
      <c r="I798" s="3714"/>
      <c r="J798" s="3714"/>
      <c r="K798" s="3715"/>
      <c r="L798" s="3716"/>
      <c r="M798" s="3714"/>
      <c r="N798" s="3714"/>
      <c r="O798" s="3714"/>
      <c r="P798" s="3756"/>
      <c r="Q798" s="3714"/>
      <c r="R798" s="3714"/>
      <c r="S798" s="3714"/>
      <c r="T798" s="3714"/>
      <c r="U798" s="3714"/>
      <c r="V798" s="3714"/>
      <c r="W798" s="3714"/>
      <c r="X798" s="3714"/>
      <c r="Y798" s="3714"/>
      <c r="Z798" s="3714"/>
      <c r="AA798" s="3714"/>
      <c r="AB798" s="3714"/>
      <c r="AC798" s="3714"/>
    </row>
    <row r="799" spans="1:29">
      <c r="A799" s="3714"/>
      <c r="B799" s="3714"/>
      <c r="C799" s="3714"/>
      <c r="D799" s="3714"/>
      <c r="E799" s="3714"/>
      <c r="F799" s="3714"/>
      <c r="G799" s="3714"/>
      <c r="H799" s="3714"/>
      <c r="I799" s="3714"/>
      <c r="J799" s="3714"/>
      <c r="K799" s="3715"/>
      <c r="L799" s="3716"/>
      <c r="M799" s="3714"/>
      <c r="N799" s="3714"/>
      <c r="O799" s="3714"/>
      <c r="P799" s="3756"/>
      <c r="Q799" s="3714"/>
      <c r="R799" s="3714"/>
      <c r="S799" s="3714"/>
      <c r="T799" s="3714"/>
      <c r="U799" s="3714"/>
      <c r="V799" s="3714"/>
      <c r="W799" s="3714"/>
      <c r="X799" s="3714"/>
      <c r="Y799" s="3714"/>
      <c r="Z799" s="3714"/>
      <c r="AA799" s="3714"/>
      <c r="AB799" s="3714"/>
      <c r="AC799" s="3714"/>
    </row>
    <row r="800" spans="1:29">
      <c r="A800" s="3714"/>
      <c r="B800" s="3714"/>
      <c r="C800" s="3714"/>
      <c r="D800" s="3714"/>
      <c r="E800" s="3714"/>
      <c r="F800" s="3714"/>
      <c r="G800" s="3714"/>
      <c r="H800" s="3714"/>
      <c r="I800" s="3714"/>
      <c r="J800" s="3714"/>
      <c r="K800" s="3715"/>
      <c r="L800" s="3716"/>
      <c r="M800" s="3714"/>
      <c r="N800" s="3714"/>
      <c r="O800" s="3714"/>
      <c r="P800" s="3756"/>
      <c r="Q800" s="3714"/>
      <c r="R800" s="3714"/>
      <c r="S800" s="3714"/>
      <c r="T800" s="3714"/>
      <c r="U800" s="3714"/>
      <c r="V800" s="3714"/>
      <c r="W800" s="3714"/>
      <c r="X800" s="3714"/>
      <c r="Y800" s="3714"/>
      <c r="Z800" s="3714"/>
      <c r="AA800" s="3714"/>
      <c r="AB800" s="3714"/>
      <c r="AC800" s="3714"/>
    </row>
    <row r="801" spans="1:29">
      <c r="A801" s="3714"/>
      <c r="B801" s="3714"/>
      <c r="C801" s="3714"/>
      <c r="D801" s="3714"/>
      <c r="E801" s="3714"/>
      <c r="F801" s="3714"/>
      <c r="G801" s="3714"/>
      <c r="H801" s="3714"/>
      <c r="I801" s="3714"/>
      <c r="J801" s="3714"/>
      <c r="K801" s="3715"/>
      <c r="L801" s="3716"/>
      <c r="M801" s="3714"/>
      <c r="N801" s="3714"/>
      <c r="O801" s="3714"/>
      <c r="P801" s="3756"/>
      <c r="Q801" s="3714"/>
      <c r="R801" s="3714"/>
      <c r="S801" s="3714"/>
      <c r="T801" s="3714"/>
      <c r="U801" s="3714"/>
      <c r="V801" s="3714"/>
      <c r="W801" s="3714"/>
      <c r="X801" s="3714"/>
      <c r="Y801" s="3714"/>
      <c r="Z801" s="3714"/>
      <c r="AA801" s="3714"/>
      <c r="AB801" s="3714"/>
      <c r="AC801" s="3714"/>
    </row>
    <row r="802" spans="1:29">
      <c r="A802" s="3714"/>
      <c r="B802" s="3714"/>
      <c r="C802" s="3714"/>
      <c r="D802" s="3714"/>
      <c r="E802" s="3714"/>
      <c r="F802" s="3714"/>
      <c r="G802" s="3714"/>
      <c r="H802" s="3714"/>
      <c r="I802" s="3714"/>
      <c r="J802" s="3714"/>
      <c r="K802" s="3715"/>
      <c r="L802" s="3716"/>
      <c r="M802" s="3714"/>
      <c r="N802" s="3714"/>
      <c r="O802" s="3714"/>
      <c r="P802" s="3756"/>
      <c r="Q802" s="3714"/>
      <c r="R802" s="3714"/>
      <c r="S802" s="3714"/>
      <c r="T802" s="3714"/>
      <c r="U802" s="3714"/>
      <c r="V802" s="3714"/>
      <c r="W802" s="3714"/>
      <c r="X802" s="3714"/>
      <c r="Y802" s="3714"/>
      <c r="Z802" s="3714"/>
      <c r="AA802" s="3714"/>
      <c r="AB802" s="3714"/>
      <c r="AC802" s="3714"/>
    </row>
    <row r="803" spans="1:29">
      <c r="A803" s="3714"/>
      <c r="B803" s="3714"/>
      <c r="C803" s="3714"/>
      <c r="D803" s="3714"/>
      <c r="E803" s="3714"/>
      <c r="F803" s="3714"/>
      <c r="G803" s="3714"/>
      <c r="H803" s="3714"/>
      <c r="I803" s="3714"/>
      <c r="J803" s="3714"/>
      <c r="K803" s="3715"/>
      <c r="L803" s="3716"/>
      <c r="M803" s="3714"/>
      <c r="N803" s="3714"/>
      <c r="O803" s="3714"/>
      <c r="P803" s="3756"/>
      <c r="Q803" s="3714"/>
      <c r="R803" s="3714"/>
      <c r="S803" s="3714"/>
      <c r="T803" s="3714"/>
      <c r="U803" s="3714"/>
      <c r="V803" s="3714"/>
      <c r="W803" s="3714"/>
      <c r="X803" s="3714"/>
      <c r="Y803" s="3714"/>
      <c r="Z803" s="3714"/>
      <c r="AA803" s="3714"/>
      <c r="AB803" s="3714"/>
      <c r="AC803" s="3714"/>
    </row>
    <row r="804" spans="1:29">
      <c r="A804" s="3714"/>
      <c r="B804" s="3714"/>
      <c r="C804" s="3714"/>
      <c r="D804" s="3714"/>
      <c r="E804" s="3714"/>
      <c r="F804" s="3714"/>
      <c r="G804" s="3714"/>
      <c r="H804" s="3714"/>
      <c r="I804" s="3714"/>
      <c r="J804" s="3714"/>
      <c r="K804" s="3715"/>
      <c r="L804" s="3716"/>
      <c r="M804" s="3714"/>
      <c r="N804" s="3714"/>
      <c r="O804" s="3714"/>
      <c r="P804" s="3756"/>
      <c r="Q804" s="3714"/>
      <c r="R804" s="3714"/>
      <c r="S804" s="3714"/>
      <c r="T804" s="3714"/>
      <c r="U804" s="3714"/>
      <c r="V804" s="3714"/>
      <c r="W804" s="3714"/>
      <c r="X804" s="3714"/>
      <c r="Y804" s="3714"/>
      <c r="Z804" s="3714"/>
      <c r="AA804" s="3714"/>
      <c r="AB804" s="3714"/>
      <c r="AC804" s="3714"/>
    </row>
    <row r="805" spans="1:29">
      <c r="A805" s="3714"/>
      <c r="B805" s="3714"/>
      <c r="C805" s="3714"/>
      <c r="D805" s="3714"/>
      <c r="E805" s="3714"/>
      <c r="F805" s="3714"/>
      <c r="G805" s="3714"/>
      <c r="H805" s="3714"/>
      <c r="I805" s="3714"/>
      <c r="J805" s="3714"/>
      <c r="K805" s="3715"/>
      <c r="L805" s="3716"/>
      <c r="M805" s="3714"/>
      <c r="N805" s="3714"/>
      <c r="O805" s="3714"/>
      <c r="P805" s="3756"/>
      <c r="Q805" s="3714"/>
      <c r="R805" s="3714"/>
      <c r="S805" s="3714"/>
      <c r="T805" s="3714"/>
      <c r="U805" s="3714"/>
      <c r="V805" s="3714"/>
      <c r="W805" s="3714"/>
      <c r="X805" s="3714"/>
      <c r="Y805" s="3714"/>
      <c r="Z805" s="3714"/>
      <c r="AA805" s="3714"/>
      <c r="AB805" s="3714"/>
      <c r="AC805" s="3714"/>
    </row>
    <row r="806" spans="1:29">
      <c r="A806" s="3714"/>
      <c r="B806" s="3714"/>
      <c r="C806" s="3714"/>
      <c r="D806" s="3714"/>
      <c r="E806" s="3714"/>
      <c r="F806" s="3714"/>
      <c r="G806" s="3714"/>
      <c r="H806" s="3714"/>
      <c r="I806" s="3714"/>
      <c r="J806" s="3714"/>
      <c r="K806" s="3715"/>
      <c r="L806" s="3716"/>
      <c r="M806" s="3714"/>
      <c r="N806" s="3714"/>
      <c r="O806" s="3714"/>
      <c r="P806" s="3756"/>
      <c r="Q806" s="3714"/>
      <c r="R806" s="3714"/>
      <c r="S806" s="3714"/>
      <c r="T806" s="3714"/>
      <c r="U806" s="3714"/>
      <c r="V806" s="3714"/>
      <c r="W806" s="3714"/>
      <c r="X806" s="3714"/>
      <c r="Y806" s="3714"/>
      <c r="Z806" s="3714"/>
      <c r="AA806" s="3714"/>
      <c r="AB806" s="3714"/>
      <c r="AC806" s="3714"/>
    </row>
    <row r="807" spans="1:29">
      <c r="A807" s="3714"/>
      <c r="B807" s="3714"/>
      <c r="C807" s="3714"/>
      <c r="D807" s="3714"/>
      <c r="E807" s="3714"/>
      <c r="F807" s="3714"/>
      <c r="G807" s="3714"/>
      <c r="H807" s="3714"/>
      <c r="I807" s="3714"/>
      <c r="J807" s="3714"/>
      <c r="K807" s="3715"/>
      <c r="L807" s="3716"/>
      <c r="M807" s="3714"/>
      <c r="N807" s="3714"/>
      <c r="O807" s="3714"/>
      <c r="P807" s="3756"/>
      <c r="Q807" s="3714"/>
      <c r="R807" s="3714"/>
      <c r="S807" s="3714"/>
      <c r="T807" s="3714"/>
      <c r="U807" s="3714"/>
      <c r="V807" s="3714"/>
      <c r="W807" s="3714"/>
      <c r="X807" s="3714"/>
      <c r="Y807" s="3714"/>
      <c r="Z807" s="3714"/>
      <c r="AA807" s="3714"/>
      <c r="AB807" s="3714"/>
      <c r="AC807" s="3714"/>
    </row>
    <row r="808" spans="1:29">
      <c r="A808" s="3714"/>
      <c r="B808" s="3714"/>
      <c r="C808" s="3714"/>
      <c r="D808" s="3714"/>
      <c r="E808" s="3714"/>
      <c r="F808" s="3714"/>
      <c r="G808" s="3714"/>
      <c r="H808" s="3714"/>
      <c r="I808" s="3714"/>
      <c r="J808" s="3714"/>
      <c r="K808" s="3715"/>
      <c r="L808" s="3716"/>
      <c r="M808" s="3714"/>
      <c r="N808" s="3714"/>
      <c r="O808" s="3714"/>
      <c r="P808" s="3756"/>
      <c r="Q808" s="3714"/>
      <c r="R808" s="3714"/>
      <c r="S808" s="3714"/>
      <c r="T808" s="3714"/>
      <c r="U808" s="3714"/>
      <c r="V808" s="3714"/>
      <c r="W808" s="3714"/>
      <c r="X808" s="3714"/>
      <c r="Y808" s="3714"/>
      <c r="Z808" s="3714"/>
      <c r="AA808" s="3714"/>
      <c r="AB808" s="3714"/>
      <c r="AC808" s="3714"/>
    </row>
    <row r="809" spans="1:29">
      <c r="A809" s="3714"/>
      <c r="B809" s="3714"/>
      <c r="C809" s="3714"/>
      <c r="D809" s="3714"/>
      <c r="E809" s="3714"/>
      <c r="F809" s="3714"/>
      <c r="G809" s="3714"/>
      <c r="H809" s="3714"/>
      <c r="I809" s="3714"/>
      <c r="J809" s="3714"/>
      <c r="K809" s="3715"/>
      <c r="L809" s="3716"/>
      <c r="M809" s="3714"/>
      <c r="N809" s="3714"/>
      <c r="O809" s="3714"/>
      <c r="P809" s="3756"/>
      <c r="Q809" s="3714"/>
      <c r="R809" s="3714"/>
      <c r="S809" s="3714"/>
      <c r="T809" s="3714"/>
      <c r="U809" s="3714"/>
      <c r="V809" s="3714"/>
      <c r="W809" s="3714"/>
      <c r="X809" s="3714"/>
      <c r="Y809" s="3714"/>
      <c r="Z809" s="3714"/>
      <c r="AA809" s="3714"/>
      <c r="AB809" s="3714"/>
      <c r="AC809" s="3714"/>
    </row>
    <row r="810" spans="1:29">
      <c r="A810" s="3714"/>
      <c r="B810" s="3714"/>
      <c r="C810" s="3714"/>
      <c r="D810" s="3714"/>
      <c r="E810" s="3714"/>
      <c r="F810" s="3714"/>
      <c r="G810" s="3714"/>
      <c r="H810" s="3714"/>
      <c r="I810" s="3714"/>
      <c r="J810" s="3714"/>
      <c r="K810" s="3715"/>
      <c r="L810" s="3716"/>
      <c r="M810" s="3714"/>
      <c r="N810" s="3714"/>
      <c r="O810" s="3714"/>
      <c r="P810" s="3756"/>
      <c r="Q810" s="3714"/>
      <c r="R810" s="3714"/>
      <c r="S810" s="3714"/>
      <c r="T810" s="3714"/>
      <c r="U810" s="3714"/>
      <c r="V810" s="3714"/>
      <c r="W810" s="3714"/>
      <c r="X810" s="3714"/>
      <c r="Y810" s="3714"/>
      <c r="Z810" s="3714"/>
      <c r="AA810" s="3714"/>
      <c r="AB810" s="3714"/>
      <c r="AC810" s="3714"/>
    </row>
    <row r="811" spans="1:29">
      <c r="A811" s="3714"/>
      <c r="B811" s="3714"/>
      <c r="C811" s="3714"/>
      <c r="D811" s="3714"/>
      <c r="E811" s="3714"/>
      <c r="F811" s="3714"/>
      <c r="G811" s="3714"/>
      <c r="H811" s="3714"/>
      <c r="I811" s="3714"/>
      <c r="J811" s="3714"/>
      <c r="K811" s="3715"/>
      <c r="L811" s="3716"/>
      <c r="M811" s="3714"/>
      <c r="N811" s="3714"/>
      <c r="O811" s="3714"/>
      <c r="P811" s="3756"/>
      <c r="Q811" s="3714"/>
      <c r="R811" s="3714"/>
      <c r="S811" s="3714"/>
      <c r="T811" s="3714"/>
      <c r="U811" s="3714"/>
      <c r="V811" s="3714"/>
      <c r="W811" s="3714"/>
      <c r="X811" s="3714"/>
      <c r="Y811" s="3714"/>
      <c r="Z811" s="3714"/>
      <c r="AA811" s="3714"/>
      <c r="AB811" s="3714"/>
      <c r="AC811" s="3714"/>
    </row>
    <row r="812" spans="1:29">
      <c r="A812" s="3714"/>
      <c r="B812" s="3714"/>
      <c r="C812" s="3714"/>
      <c r="D812" s="3714"/>
      <c r="E812" s="3714"/>
      <c r="F812" s="3714"/>
      <c r="G812" s="3714"/>
      <c r="H812" s="3714"/>
      <c r="I812" s="3714"/>
      <c r="J812" s="3714"/>
      <c r="K812" s="3715"/>
      <c r="L812" s="3716"/>
      <c r="M812" s="3714"/>
      <c r="N812" s="3714"/>
      <c r="O812" s="3714"/>
      <c r="P812" s="3756"/>
      <c r="Q812" s="3714"/>
      <c r="R812" s="3714"/>
      <c r="S812" s="3714"/>
      <c r="T812" s="3714"/>
      <c r="U812" s="3714"/>
      <c r="V812" s="3714"/>
      <c r="W812" s="3714"/>
      <c r="X812" s="3714"/>
      <c r="Y812" s="3714"/>
      <c r="Z812" s="3714"/>
      <c r="AA812" s="3714"/>
      <c r="AB812" s="3714"/>
      <c r="AC812" s="3714"/>
    </row>
    <row r="813" spans="1:29">
      <c r="A813" s="3714"/>
      <c r="B813" s="3714"/>
      <c r="C813" s="3714"/>
      <c r="D813" s="3714"/>
      <c r="E813" s="3714"/>
      <c r="F813" s="3714"/>
      <c r="G813" s="3714"/>
      <c r="H813" s="3714"/>
      <c r="I813" s="3714"/>
      <c r="J813" s="3714"/>
      <c r="K813" s="3715"/>
      <c r="L813" s="3716"/>
      <c r="M813" s="3714"/>
      <c r="N813" s="3714"/>
      <c r="O813" s="3714"/>
      <c r="P813" s="3756"/>
      <c r="Q813" s="3714"/>
      <c r="R813" s="3714"/>
      <c r="S813" s="3714"/>
      <c r="T813" s="3714"/>
      <c r="U813" s="3714"/>
      <c r="V813" s="3714"/>
      <c r="W813" s="3714"/>
      <c r="X813" s="3714"/>
      <c r="Y813" s="3714"/>
      <c r="Z813" s="3714"/>
      <c r="AA813" s="3714"/>
      <c r="AB813" s="3714"/>
      <c r="AC813" s="3714"/>
    </row>
    <row r="814" spans="1:29">
      <c r="A814" s="3714"/>
      <c r="B814" s="3714"/>
      <c r="C814" s="3714"/>
      <c r="D814" s="3714"/>
      <c r="E814" s="3714"/>
      <c r="F814" s="3714"/>
      <c r="G814" s="3714"/>
      <c r="H814" s="3714"/>
      <c r="I814" s="3714"/>
      <c r="J814" s="3714"/>
      <c r="K814" s="3715"/>
      <c r="L814" s="3716"/>
      <c r="M814" s="3714"/>
      <c r="N814" s="3714"/>
      <c r="O814" s="3714"/>
      <c r="P814" s="3756"/>
      <c r="Q814" s="3714"/>
      <c r="R814" s="3714"/>
      <c r="S814" s="3714"/>
      <c r="T814" s="3714"/>
      <c r="U814" s="3714"/>
      <c r="V814" s="3714"/>
      <c r="W814" s="3714"/>
      <c r="X814" s="3714"/>
      <c r="Y814" s="3714"/>
      <c r="Z814" s="3714"/>
      <c r="AA814" s="3714"/>
      <c r="AB814" s="3714"/>
      <c r="AC814" s="3714"/>
    </row>
    <row r="815" spans="1:29">
      <c r="A815" s="3714"/>
      <c r="B815" s="3714"/>
      <c r="C815" s="3714"/>
      <c r="D815" s="3714"/>
      <c r="E815" s="3714"/>
      <c r="F815" s="3714"/>
      <c r="G815" s="3714"/>
      <c r="H815" s="3714"/>
      <c r="I815" s="3714"/>
      <c r="J815" s="3714"/>
      <c r="K815" s="3715"/>
      <c r="L815" s="3716"/>
      <c r="M815" s="3714"/>
      <c r="N815" s="3714"/>
      <c r="O815" s="3714"/>
      <c r="P815" s="3756"/>
      <c r="Q815" s="3714"/>
      <c r="R815" s="3714"/>
      <c r="S815" s="3714"/>
      <c r="T815" s="3714"/>
      <c r="U815" s="3714"/>
      <c r="V815" s="3714"/>
      <c r="W815" s="3714"/>
      <c r="X815" s="3714"/>
      <c r="Y815" s="3714"/>
      <c r="Z815" s="3714"/>
      <c r="AA815" s="3714"/>
      <c r="AB815" s="3714"/>
      <c r="AC815" s="3714"/>
    </row>
    <row r="816" spans="1:29">
      <c r="A816" s="3714"/>
      <c r="B816" s="3714"/>
      <c r="C816" s="3714"/>
      <c r="D816" s="3714"/>
      <c r="E816" s="3714"/>
      <c r="F816" s="3714"/>
      <c r="G816" s="3714"/>
      <c r="H816" s="3714"/>
      <c r="I816" s="3714"/>
      <c r="J816" s="3714"/>
      <c r="K816" s="3715"/>
      <c r="L816" s="3716"/>
      <c r="M816" s="3714"/>
      <c r="N816" s="3714"/>
      <c r="O816" s="3714"/>
      <c r="P816" s="3756"/>
      <c r="Q816" s="3714"/>
      <c r="R816" s="3714"/>
      <c r="S816" s="3714"/>
      <c r="T816" s="3714"/>
      <c r="U816" s="3714"/>
      <c r="V816" s="3714"/>
      <c r="W816" s="3714"/>
      <c r="X816" s="3714"/>
      <c r="Y816" s="3714"/>
      <c r="Z816" s="3714"/>
      <c r="AA816" s="3714"/>
      <c r="AB816" s="3714"/>
      <c r="AC816" s="3714"/>
    </row>
    <row r="817" spans="1:29">
      <c r="A817" s="3714"/>
      <c r="B817" s="3714"/>
      <c r="C817" s="3714"/>
      <c r="D817" s="3714"/>
      <c r="E817" s="3714"/>
      <c r="F817" s="3714"/>
      <c r="G817" s="3714"/>
      <c r="H817" s="3714"/>
      <c r="I817" s="3714"/>
      <c r="J817" s="3714"/>
      <c r="K817" s="3715"/>
      <c r="L817" s="3716"/>
      <c r="M817" s="3714"/>
      <c r="N817" s="3714"/>
      <c r="O817" s="3714"/>
      <c r="P817" s="3756"/>
      <c r="Q817" s="3714"/>
      <c r="R817" s="3714"/>
      <c r="S817" s="3714"/>
      <c r="T817" s="3714"/>
      <c r="U817" s="3714"/>
      <c r="V817" s="3714"/>
      <c r="W817" s="3714"/>
      <c r="X817" s="3714"/>
      <c r="Y817" s="3714"/>
      <c r="Z817" s="3714"/>
      <c r="AA817" s="3714"/>
      <c r="AB817" s="3714"/>
      <c r="AC817" s="3714"/>
    </row>
    <row r="818" spans="1:29">
      <c r="A818" s="3714"/>
      <c r="B818" s="3714"/>
      <c r="C818" s="3714"/>
      <c r="D818" s="3714"/>
      <c r="E818" s="3714"/>
      <c r="F818" s="3714"/>
      <c r="G818" s="3714"/>
      <c r="H818" s="3714"/>
      <c r="I818" s="3714"/>
      <c r="J818" s="3714"/>
      <c r="K818" s="3715"/>
      <c r="L818" s="3716"/>
      <c r="M818" s="3714"/>
      <c r="N818" s="3714"/>
      <c r="O818" s="3714"/>
      <c r="P818" s="3756"/>
      <c r="Q818" s="3714"/>
      <c r="R818" s="3714"/>
      <c r="S818" s="3714"/>
      <c r="T818" s="3714"/>
      <c r="U818" s="3714"/>
      <c r="V818" s="3714"/>
      <c r="W818" s="3714"/>
      <c r="X818" s="3714"/>
      <c r="Y818" s="3714"/>
      <c r="Z818" s="3714"/>
      <c r="AA818" s="3714"/>
      <c r="AB818" s="3714"/>
      <c r="AC818" s="3714"/>
    </row>
    <row r="819" spans="1:29">
      <c r="A819" s="3714"/>
      <c r="B819" s="3714"/>
      <c r="C819" s="3714"/>
      <c r="D819" s="3714"/>
      <c r="E819" s="3714"/>
      <c r="F819" s="3714"/>
      <c r="G819" s="3714"/>
      <c r="H819" s="3714"/>
      <c r="I819" s="3714"/>
      <c r="J819" s="3714"/>
      <c r="K819" s="3715"/>
      <c r="L819" s="3716"/>
      <c r="M819" s="3714"/>
      <c r="N819" s="3714"/>
      <c r="O819" s="3714"/>
      <c r="P819" s="3756"/>
      <c r="Q819" s="3714"/>
      <c r="R819" s="3714"/>
      <c r="S819" s="3714"/>
      <c r="T819" s="3714"/>
      <c r="U819" s="3714"/>
      <c r="V819" s="3714"/>
      <c r="W819" s="3714"/>
      <c r="X819" s="3714"/>
      <c r="Y819" s="3714"/>
      <c r="Z819" s="3714"/>
      <c r="AA819" s="3714"/>
      <c r="AB819" s="3714"/>
      <c r="AC819" s="3714"/>
    </row>
    <row r="820" spans="1:29">
      <c r="A820" s="3714"/>
      <c r="B820" s="3714"/>
      <c r="C820" s="3714"/>
      <c r="D820" s="3714"/>
      <c r="E820" s="3714"/>
      <c r="F820" s="3714"/>
      <c r="G820" s="3714"/>
      <c r="H820" s="3714"/>
      <c r="I820" s="3714"/>
      <c r="J820" s="3714"/>
      <c r="K820" s="3715"/>
      <c r="L820" s="3716"/>
      <c r="M820" s="3714"/>
      <c r="N820" s="3714"/>
      <c r="O820" s="3714"/>
      <c r="P820" s="3756"/>
      <c r="Q820" s="3714"/>
      <c r="R820" s="3714"/>
      <c r="S820" s="3714"/>
      <c r="T820" s="3714"/>
      <c r="U820" s="3714"/>
      <c r="V820" s="3714"/>
      <c r="W820" s="3714"/>
      <c r="X820" s="3714"/>
      <c r="Y820" s="3714"/>
      <c r="Z820" s="3714"/>
      <c r="AA820" s="3714"/>
      <c r="AB820" s="3714"/>
      <c r="AC820" s="3714"/>
    </row>
    <row r="821" spans="1:29">
      <c r="A821" s="3714"/>
      <c r="B821" s="3714"/>
      <c r="C821" s="3714"/>
      <c r="D821" s="3714"/>
      <c r="E821" s="3714"/>
      <c r="F821" s="3714"/>
      <c r="G821" s="3714"/>
      <c r="H821" s="3714"/>
      <c r="I821" s="3714"/>
      <c r="J821" s="3714"/>
      <c r="K821" s="3715"/>
      <c r="L821" s="3716"/>
      <c r="M821" s="3714"/>
      <c r="N821" s="3714"/>
      <c r="O821" s="3714"/>
      <c r="P821" s="3756"/>
      <c r="Q821" s="3714"/>
      <c r="R821" s="3714"/>
      <c r="S821" s="3714"/>
      <c r="T821" s="3714"/>
      <c r="U821" s="3714"/>
      <c r="V821" s="3714"/>
      <c r="W821" s="3714"/>
      <c r="X821" s="3714"/>
      <c r="Y821" s="3714"/>
      <c r="Z821" s="3714"/>
      <c r="AA821" s="3714"/>
      <c r="AB821" s="3714"/>
      <c r="AC821" s="3714"/>
    </row>
    <row r="822" spans="1:29">
      <c r="A822" s="3714"/>
      <c r="B822" s="3714"/>
      <c r="C822" s="3714"/>
      <c r="D822" s="3714"/>
      <c r="E822" s="3714"/>
      <c r="F822" s="3714"/>
      <c r="G822" s="3714"/>
      <c r="H822" s="3714"/>
      <c r="I822" s="3714"/>
      <c r="J822" s="3714"/>
      <c r="K822" s="3715"/>
      <c r="L822" s="3716"/>
      <c r="M822" s="3714"/>
      <c r="N822" s="3714"/>
      <c r="O822" s="3714"/>
      <c r="P822" s="3756"/>
      <c r="Q822" s="3714"/>
      <c r="R822" s="3714"/>
      <c r="S822" s="3714"/>
      <c r="T822" s="3714"/>
      <c r="U822" s="3714"/>
      <c r="V822" s="3714"/>
      <c r="W822" s="3714"/>
      <c r="X822" s="3714"/>
      <c r="Y822" s="3714"/>
      <c r="Z822" s="3714"/>
      <c r="AA822" s="3714"/>
      <c r="AB822" s="3714"/>
      <c r="AC822" s="3714"/>
    </row>
    <row r="823" spans="1:29">
      <c r="A823" s="3714"/>
      <c r="B823" s="3714"/>
      <c r="C823" s="3714"/>
      <c r="D823" s="3714"/>
      <c r="E823" s="3714"/>
      <c r="F823" s="3714"/>
      <c r="G823" s="3714"/>
      <c r="H823" s="3714"/>
      <c r="I823" s="3714"/>
      <c r="J823" s="3714"/>
      <c r="K823" s="3715"/>
      <c r="L823" s="3716"/>
      <c r="M823" s="3714"/>
      <c r="N823" s="3714"/>
      <c r="O823" s="3714"/>
      <c r="P823" s="3756"/>
      <c r="Q823" s="3714"/>
      <c r="R823" s="3714"/>
      <c r="S823" s="3714"/>
      <c r="T823" s="3714"/>
      <c r="U823" s="3714"/>
      <c r="V823" s="3714"/>
      <c r="W823" s="3714"/>
      <c r="X823" s="3714"/>
      <c r="Y823" s="3714"/>
      <c r="Z823" s="3714"/>
      <c r="AA823" s="3714"/>
      <c r="AB823" s="3714"/>
      <c r="AC823" s="3714"/>
    </row>
    <row r="824" spans="1:29">
      <c r="A824" s="3714"/>
      <c r="B824" s="3714"/>
      <c r="C824" s="3714"/>
      <c r="D824" s="3714"/>
      <c r="E824" s="3714"/>
      <c r="F824" s="3714"/>
      <c r="G824" s="3714"/>
      <c r="H824" s="3714"/>
      <c r="I824" s="3714"/>
      <c r="J824" s="3714"/>
      <c r="K824" s="3715"/>
      <c r="L824" s="3716"/>
      <c r="M824" s="3714"/>
      <c r="N824" s="3714"/>
      <c r="O824" s="3714"/>
      <c r="P824" s="3756"/>
      <c r="Q824" s="3714"/>
      <c r="R824" s="3714"/>
      <c r="S824" s="3714"/>
      <c r="T824" s="3714"/>
      <c r="U824" s="3714"/>
      <c r="V824" s="3714"/>
      <c r="W824" s="3714"/>
      <c r="X824" s="3714"/>
      <c r="Y824" s="3714"/>
      <c r="Z824" s="3714"/>
      <c r="AA824" s="3714"/>
      <c r="AB824" s="3714"/>
      <c r="AC824" s="3714"/>
    </row>
    <row r="825" spans="1:29">
      <c r="A825" s="3714"/>
      <c r="B825" s="3714"/>
      <c r="C825" s="3714"/>
      <c r="D825" s="3714"/>
      <c r="E825" s="3714"/>
      <c r="F825" s="3714"/>
      <c r="G825" s="3714"/>
      <c r="H825" s="3714"/>
      <c r="I825" s="3714"/>
      <c r="J825" s="3714"/>
      <c r="K825" s="3715"/>
      <c r="L825" s="3716"/>
      <c r="M825" s="3714"/>
      <c r="N825" s="3714"/>
      <c r="O825" s="3714"/>
      <c r="P825" s="3756"/>
      <c r="Q825" s="3714"/>
      <c r="R825" s="3714"/>
      <c r="S825" s="3714"/>
      <c r="T825" s="3714"/>
      <c r="U825" s="3714"/>
      <c r="V825" s="3714"/>
      <c r="W825" s="3714"/>
      <c r="X825" s="3714"/>
      <c r="Y825" s="3714"/>
      <c r="Z825" s="3714"/>
      <c r="AA825" s="3714"/>
      <c r="AB825" s="3714"/>
      <c r="AC825" s="3714"/>
    </row>
    <row r="826" spans="1:29">
      <c r="A826" s="3714"/>
      <c r="B826" s="3714"/>
      <c r="C826" s="3714"/>
      <c r="D826" s="3714"/>
      <c r="E826" s="3714"/>
      <c r="F826" s="3714"/>
      <c r="G826" s="3714"/>
      <c r="H826" s="3714"/>
      <c r="I826" s="3714"/>
      <c r="J826" s="3714"/>
      <c r="K826" s="3715"/>
      <c r="L826" s="3716"/>
      <c r="M826" s="3714"/>
      <c r="N826" s="3714"/>
      <c r="O826" s="3714"/>
      <c r="P826" s="3756"/>
      <c r="Q826" s="3714"/>
      <c r="R826" s="3714"/>
      <c r="S826" s="3714"/>
      <c r="T826" s="3714"/>
      <c r="U826" s="3714"/>
      <c r="V826" s="3714"/>
      <c r="W826" s="3714"/>
      <c r="X826" s="3714"/>
      <c r="Y826" s="3714"/>
      <c r="Z826" s="3714"/>
      <c r="AA826" s="3714"/>
      <c r="AB826" s="3714"/>
      <c r="AC826" s="3714"/>
    </row>
    <row r="827" spans="1:29">
      <c r="A827" s="3714"/>
      <c r="B827" s="3714"/>
      <c r="C827" s="3714"/>
      <c r="D827" s="3714"/>
      <c r="E827" s="3714"/>
      <c r="F827" s="3714"/>
      <c r="G827" s="3714"/>
      <c r="H827" s="3714"/>
      <c r="I827" s="3714"/>
      <c r="J827" s="3714"/>
      <c r="K827" s="3715"/>
      <c r="L827" s="3716"/>
      <c r="M827" s="3714"/>
      <c r="N827" s="3714"/>
      <c r="O827" s="3714"/>
      <c r="P827" s="3756"/>
      <c r="Q827" s="3714"/>
      <c r="R827" s="3714"/>
      <c r="S827" s="3714"/>
      <c r="T827" s="3714"/>
      <c r="U827" s="3714"/>
      <c r="V827" s="3714"/>
      <c r="W827" s="3714"/>
      <c r="X827" s="3714"/>
      <c r="Y827" s="3714"/>
      <c r="Z827" s="3714"/>
      <c r="AA827" s="3714"/>
      <c r="AB827" s="3714"/>
      <c r="AC827" s="3714"/>
    </row>
    <row r="828" spans="1:29">
      <c r="A828" s="3714"/>
      <c r="B828" s="3714"/>
      <c r="C828" s="3714"/>
      <c r="D828" s="3714"/>
      <c r="E828" s="3714"/>
      <c r="F828" s="3714"/>
      <c r="G828" s="3714"/>
      <c r="H828" s="3714"/>
      <c r="I828" s="3714"/>
      <c r="J828" s="3714"/>
      <c r="K828" s="3715"/>
      <c r="L828" s="3716"/>
      <c r="M828" s="3714"/>
      <c r="N828" s="3714"/>
      <c r="O828" s="3714"/>
      <c r="P828" s="3756"/>
      <c r="Q828" s="3714"/>
      <c r="R828" s="3714"/>
      <c r="S828" s="3714"/>
      <c r="T828" s="3714"/>
      <c r="U828" s="3714"/>
      <c r="V828" s="3714"/>
      <c r="W828" s="3714"/>
      <c r="X828" s="3714"/>
      <c r="Y828" s="3714"/>
      <c r="Z828" s="3714"/>
      <c r="AA828" s="3714"/>
      <c r="AB828" s="3714"/>
      <c r="AC828" s="3714"/>
    </row>
    <row r="829" spans="1:29">
      <c r="A829" s="3714"/>
      <c r="B829" s="3714"/>
      <c r="C829" s="3714"/>
      <c r="D829" s="3714"/>
      <c r="E829" s="3714"/>
      <c r="F829" s="3714"/>
      <c r="G829" s="3714"/>
      <c r="H829" s="3714"/>
      <c r="I829" s="3714"/>
      <c r="J829" s="3714"/>
      <c r="K829" s="3715"/>
      <c r="L829" s="3716"/>
      <c r="M829" s="3714"/>
      <c r="N829" s="3714"/>
      <c r="O829" s="3714"/>
      <c r="P829" s="3756"/>
      <c r="Q829" s="3714"/>
      <c r="R829" s="3714"/>
      <c r="S829" s="3714"/>
      <c r="T829" s="3714"/>
      <c r="U829" s="3714"/>
      <c r="V829" s="3714"/>
      <c r="W829" s="3714"/>
      <c r="X829" s="3714"/>
      <c r="Y829" s="3714"/>
      <c r="Z829" s="3714"/>
      <c r="AA829" s="3714"/>
      <c r="AB829" s="3714"/>
      <c r="AC829" s="3714"/>
    </row>
    <row r="830" spans="1:29">
      <c r="A830" s="3714"/>
      <c r="B830" s="3714"/>
      <c r="C830" s="3714"/>
      <c r="D830" s="3714"/>
      <c r="E830" s="3714"/>
      <c r="F830" s="3714"/>
      <c r="G830" s="3714"/>
      <c r="H830" s="3714"/>
      <c r="I830" s="3714"/>
      <c r="J830" s="3714"/>
      <c r="K830" s="3715"/>
      <c r="L830" s="3716"/>
      <c r="M830" s="3714"/>
      <c r="N830" s="3714"/>
      <c r="O830" s="3714"/>
      <c r="P830" s="3756"/>
      <c r="Q830" s="3714"/>
      <c r="R830" s="3714"/>
      <c r="S830" s="3714"/>
      <c r="T830" s="3714"/>
      <c r="U830" s="3714"/>
      <c r="V830" s="3714"/>
      <c r="W830" s="3714"/>
      <c r="X830" s="3714"/>
      <c r="Y830" s="3714"/>
      <c r="Z830" s="3714"/>
      <c r="AA830" s="3714"/>
      <c r="AB830" s="3714"/>
      <c r="AC830" s="3714"/>
    </row>
    <row r="831" spans="1:29">
      <c r="A831" s="3714"/>
      <c r="B831" s="3714"/>
      <c r="C831" s="3714"/>
      <c r="D831" s="3714"/>
      <c r="E831" s="3714"/>
      <c r="F831" s="3714"/>
      <c r="G831" s="3714"/>
      <c r="H831" s="3714"/>
      <c r="I831" s="3714"/>
      <c r="J831" s="3714"/>
      <c r="K831" s="3715"/>
      <c r="L831" s="3716"/>
      <c r="M831" s="3714"/>
      <c r="N831" s="3714"/>
      <c r="O831" s="3714"/>
      <c r="P831" s="3756"/>
      <c r="Q831" s="3714"/>
      <c r="R831" s="3714"/>
      <c r="S831" s="3714"/>
      <c r="T831" s="3714"/>
      <c r="U831" s="3714"/>
      <c r="V831" s="3714"/>
      <c r="W831" s="3714"/>
      <c r="X831" s="3714"/>
      <c r="Y831" s="3714"/>
      <c r="Z831" s="3714"/>
      <c r="AA831" s="3714"/>
      <c r="AB831" s="3714"/>
      <c r="AC831" s="3714"/>
    </row>
    <row r="832" spans="1:29">
      <c r="A832" s="3714"/>
      <c r="B832" s="3714"/>
      <c r="C832" s="3714"/>
      <c r="D832" s="3714"/>
      <c r="E832" s="3714"/>
      <c r="F832" s="3714"/>
      <c r="G832" s="3714"/>
      <c r="H832" s="3714"/>
      <c r="I832" s="3714"/>
      <c r="J832" s="3714"/>
      <c r="K832" s="3715"/>
      <c r="L832" s="3716"/>
      <c r="M832" s="3714"/>
      <c r="N832" s="3714"/>
      <c r="O832" s="3714"/>
      <c r="P832" s="3756"/>
      <c r="Q832" s="3714"/>
      <c r="R832" s="3714"/>
      <c r="S832" s="3714"/>
      <c r="T832" s="3714"/>
      <c r="U832" s="3714"/>
      <c r="V832" s="3714"/>
      <c r="W832" s="3714"/>
      <c r="X832" s="3714"/>
      <c r="Y832" s="3714"/>
      <c r="Z832" s="3714"/>
      <c r="AA832" s="3714"/>
      <c r="AB832" s="3714"/>
      <c r="AC832" s="3714"/>
    </row>
    <row r="833" spans="1:29">
      <c r="A833" s="3714"/>
      <c r="B833" s="3714"/>
      <c r="C833" s="3714"/>
      <c r="D833" s="3714"/>
      <c r="E833" s="3714"/>
      <c r="F833" s="3714"/>
      <c r="G833" s="3714"/>
      <c r="H833" s="3714"/>
      <c r="I833" s="3714"/>
      <c r="J833" s="3714"/>
      <c r="K833" s="3715"/>
      <c r="L833" s="3716"/>
      <c r="M833" s="3714"/>
      <c r="N833" s="3714"/>
      <c r="O833" s="3714"/>
      <c r="P833" s="3756"/>
      <c r="Q833" s="3714"/>
      <c r="R833" s="3714"/>
      <c r="S833" s="3714"/>
      <c r="T833" s="3714"/>
      <c r="U833" s="3714"/>
      <c r="V833" s="3714"/>
      <c r="W833" s="3714"/>
      <c r="X833" s="3714"/>
      <c r="Y833" s="3714"/>
      <c r="Z833" s="3714"/>
      <c r="AA833" s="3714"/>
      <c r="AB833" s="3714"/>
      <c r="AC833" s="3714"/>
    </row>
    <row r="834" spans="1:29">
      <c r="A834" s="3714"/>
      <c r="B834" s="3714"/>
      <c r="C834" s="3714"/>
      <c r="D834" s="3714"/>
      <c r="E834" s="3714"/>
      <c r="F834" s="3714"/>
      <c r="G834" s="3714"/>
      <c r="H834" s="3714"/>
      <c r="I834" s="3714"/>
      <c r="J834" s="3714"/>
      <c r="K834" s="3715"/>
      <c r="L834" s="3716"/>
      <c r="M834" s="3714"/>
      <c r="N834" s="3714"/>
      <c r="O834" s="3714"/>
      <c r="P834" s="3756"/>
      <c r="Q834" s="3714"/>
      <c r="R834" s="3714"/>
      <c r="S834" s="3714"/>
      <c r="T834" s="3714"/>
      <c r="U834" s="3714"/>
      <c r="V834" s="3714"/>
      <c r="W834" s="3714"/>
      <c r="X834" s="3714"/>
      <c r="Y834" s="3714"/>
      <c r="Z834" s="3714"/>
      <c r="AA834" s="3714"/>
      <c r="AB834" s="3714"/>
      <c r="AC834" s="3714"/>
    </row>
    <row r="835" spans="1:29">
      <c r="A835" s="3714"/>
      <c r="B835" s="3714"/>
      <c r="C835" s="3714"/>
      <c r="D835" s="3714"/>
      <c r="E835" s="3714"/>
      <c r="F835" s="3714"/>
      <c r="G835" s="3714"/>
      <c r="H835" s="3714"/>
      <c r="I835" s="3714"/>
      <c r="J835" s="3714"/>
      <c r="K835" s="3715"/>
      <c r="L835" s="3716"/>
      <c r="M835" s="3714"/>
      <c r="N835" s="3714"/>
      <c r="O835" s="3714"/>
      <c r="P835" s="3756"/>
      <c r="Q835" s="3714"/>
      <c r="R835" s="3714"/>
      <c r="S835" s="3714"/>
      <c r="T835" s="3714"/>
      <c r="U835" s="3714"/>
      <c r="V835" s="3714"/>
      <c r="W835" s="3714"/>
      <c r="X835" s="3714"/>
      <c r="Y835" s="3714"/>
      <c r="Z835" s="3714"/>
      <c r="AA835" s="3714"/>
      <c r="AB835" s="3714"/>
      <c r="AC835" s="3714"/>
    </row>
    <row r="836" spans="1:29">
      <c r="A836" s="3714"/>
      <c r="B836" s="3714"/>
      <c r="C836" s="3714"/>
      <c r="D836" s="3714"/>
      <c r="E836" s="3714"/>
      <c r="F836" s="3714"/>
      <c r="G836" s="3714"/>
      <c r="H836" s="3714"/>
      <c r="I836" s="3714"/>
      <c r="J836" s="3714"/>
      <c r="K836" s="3715"/>
      <c r="L836" s="3716"/>
      <c r="M836" s="3714"/>
      <c r="N836" s="3714"/>
      <c r="O836" s="3714"/>
      <c r="P836" s="3756"/>
      <c r="Q836" s="3714"/>
      <c r="R836" s="3714"/>
      <c r="S836" s="3714"/>
      <c r="T836" s="3714"/>
      <c r="U836" s="3714"/>
      <c r="V836" s="3714"/>
      <c r="W836" s="3714"/>
      <c r="X836" s="3714"/>
      <c r="Y836" s="3714"/>
      <c r="Z836" s="3714"/>
      <c r="AA836" s="3714"/>
      <c r="AB836" s="3714"/>
      <c r="AC836" s="3714"/>
    </row>
    <row r="837" spans="1:29">
      <c r="A837" s="3714"/>
      <c r="B837" s="3714"/>
      <c r="C837" s="3714"/>
      <c r="D837" s="3714"/>
      <c r="E837" s="3714"/>
      <c r="F837" s="3714"/>
      <c r="G837" s="3714"/>
      <c r="H837" s="3714"/>
      <c r="I837" s="3714"/>
      <c r="J837" s="3714"/>
      <c r="K837" s="3715"/>
      <c r="L837" s="3716"/>
      <c r="M837" s="3714"/>
      <c r="N837" s="3714"/>
      <c r="O837" s="3714"/>
      <c r="P837" s="3756"/>
      <c r="Q837" s="3714"/>
      <c r="R837" s="3714"/>
      <c r="S837" s="3714"/>
      <c r="T837" s="3714"/>
      <c r="U837" s="3714"/>
      <c r="V837" s="3714"/>
      <c r="W837" s="3714"/>
      <c r="X837" s="3714"/>
      <c r="Y837" s="3714"/>
      <c r="Z837" s="3714"/>
      <c r="AA837" s="3714"/>
      <c r="AB837" s="3714"/>
      <c r="AC837" s="3714"/>
    </row>
    <row r="838" spans="1:29">
      <c r="A838" s="3714"/>
      <c r="B838" s="3714"/>
      <c r="C838" s="3714"/>
      <c r="D838" s="3714"/>
      <c r="E838" s="3714"/>
      <c r="F838" s="3714"/>
      <c r="G838" s="3714"/>
      <c r="H838" s="3714"/>
      <c r="I838" s="3714"/>
      <c r="J838" s="3714"/>
      <c r="K838" s="3715"/>
      <c r="L838" s="3716"/>
      <c r="M838" s="3714"/>
      <c r="N838" s="3714"/>
      <c r="O838" s="3714"/>
      <c r="P838" s="3756"/>
      <c r="Q838" s="3714"/>
      <c r="R838" s="3714"/>
      <c r="S838" s="3714"/>
      <c r="T838" s="3714"/>
      <c r="U838" s="3714"/>
      <c r="V838" s="3714"/>
      <c r="W838" s="3714"/>
      <c r="X838" s="3714"/>
      <c r="Y838" s="3714"/>
      <c r="Z838" s="3714"/>
      <c r="AA838" s="3714"/>
      <c r="AB838" s="3714"/>
      <c r="AC838" s="3714"/>
    </row>
    <row r="839" spans="1:29">
      <c r="A839" s="3714"/>
      <c r="B839" s="3714"/>
      <c r="C839" s="3714"/>
      <c r="D839" s="3714"/>
      <c r="E839" s="3714"/>
      <c r="F839" s="3714"/>
      <c r="G839" s="3714"/>
      <c r="H839" s="3714"/>
      <c r="I839" s="3714"/>
      <c r="J839" s="3714"/>
      <c r="K839" s="3715"/>
      <c r="L839" s="3716"/>
      <c r="M839" s="3714"/>
      <c r="N839" s="3714"/>
      <c r="O839" s="3714"/>
      <c r="P839" s="3756"/>
      <c r="Q839" s="3714"/>
      <c r="R839" s="3714"/>
      <c r="S839" s="3714"/>
      <c r="T839" s="3714"/>
      <c r="U839" s="3714"/>
      <c r="V839" s="3714"/>
      <c r="W839" s="3714"/>
      <c r="X839" s="3714"/>
      <c r="Y839" s="3714"/>
      <c r="Z839" s="3714"/>
      <c r="AA839" s="3714"/>
      <c r="AB839" s="3714"/>
      <c r="AC839" s="3714"/>
    </row>
    <row r="840" spans="1:29">
      <c r="A840" s="3714"/>
      <c r="B840" s="3714"/>
      <c r="C840" s="3714"/>
      <c r="D840" s="3714"/>
      <c r="E840" s="3714"/>
      <c r="F840" s="3714"/>
      <c r="G840" s="3714"/>
      <c r="H840" s="3714"/>
      <c r="I840" s="3714"/>
      <c r="J840" s="3714"/>
      <c r="K840" s="3715"/>
      <c r="L840" s="3716"/>
      <c r="M840" s="3714"/>
      <c r="N840" s="3714"/>
      <c r="O840" s="3714"/>
      <c r="P840" s="3756"/>
      <c r="Q840" s="3714"/>
      <c r="R840" s="3714"/>
      <c r="S840" s="3714"/>
      <c r="T840" s="3714"/>
      <c r="U840" s="3714"/>
      <c r="V840" s="3714"/>
      <c r="W840" s="3714"/>
      <c r="X840" s="3714"/>
      <c r="Y840" s="3714"/>
      <c r="Z840" s="3714"/>
      <c r="AA840" s="3714"/>
      <c r="AB840" s="3714"/>
      <c r="AC840" s="3714"/>
    </row>
    <row r="841" spans="1:29">
      <c r="A841" s="3714"/>
      <c r="B841" s="3714"/>
      <c r="C841" s="3714"/>
      <c r="D841" s="3714"/>
      <c r="E841" s="3714"/>
      <c r="F841" s="3714"/>
      <c r="G841" s="3714"/>
      <c r="H841" s="3714"/>
      <c r="I841" s="3714"/>
      <c r="J841" s="3714"/>
      <c r="K841" s="3715"/>
      <c r="L841" s="3716"/>
      <c r="M841" s="3714"/>
      <c r="N841" s="3714"/>
      <c r="O841" s="3714"/>
      <c r="P841" s="3756"/>
      <c r="Q841" s="3714"/>
      <c r="R841" s="3714"/>
      <c r="S841" s="3714"/>
      <c r="T841" s="3714"/>
      <c r="U841" s="3714"/>
      <c r="V841" s="3714"/>
      <c r="W841" s="3714"/>
      <c r="X841" s="3714"/>
      <c r="Y841" s="3714"/>
      <c r="Z841" s="3714"/>
      <c r="AA841" s="3714"/>
      <c r="AB841" s="3714"/>
      <c r="AC841" s="3714"/>
    </row>
    <row r="842" spans="1:29">
      <c r="A842" s="3714"/>
      <c r="B842" s="3714"/>
      <c r="C842" s="3714"/>
      <c r="D842" s="3714"/>
      <c r="E842" s="3714"/>
      <c r="F842" s="3714"/>
      <c r="G842" s="3714"/>
      <c r="H842" s="3714"/>
      <c r="I842" s="3714"/>
      <c r="J842" s="3714"/>
      <c r="K842" s="3715"/>
      <c r="L842" s="3716"/>
      <c r="M842" s="3714"/>
      <c r="N842" s="3714"/>
      <c r="O842" s="3714"/>
      <c r="P842" s="3756"/>
      <c r="Q842" s="3714"/>
      <c r="R842" s="3714"/>
      <c r="S842" s="3714"/>
      <c r="T842" s="3714"/>
      <c r="U842" s="3714"/>
      <c r="V842" s="3714"/>
      <c r="W842" s="3714"/>
      <c r="X842" s="3714"/>
      <c r="Y842" s="3714"/>
      <c r="Z842" s="3714"/>
      <c r="AA842" s="3714"/>
      <c r="AB842" s="3714"/>
      <c r="AC842" s="3714"/>
    </row>
    <row r="843" spans="1:29">
      <c r="A843" s="3714"/>
      <c r="B843" s="3714"/>
      <c r="C843" s="3714"/>
      <c r="D843" s="3714"/>
      <c r="E843" s="3714"/>
      <c r="F843" s="3714"/>
      <c r="G843" s="3714"/>
      <c r="H843" s="3714"/>
      <c r="I843" s="3714"/>
      <c r="J843" s="3714"/>
      <c r="K843" s="3715"/>
      <c r="L843" s="3716"/>
      <c r="M843" s="3714"/>
      <c r="N843" s="3714"/>
      <c r="O843" s="3714"/>
      <c r="P843" s="3756"/>
      <c r="Q843" s="3714"/>
      <c r="R843" s="3714"/>
      <c r="S843" s="3714"/>
      <c r="T843" s="3714"/>
      <c r="U843" s="3714"/>
      <c r="V843" s="3714"/>
      <c r="W843" s="3714"/>
      <c r="X843" s="3714"/>
      <c r="Y843" s="3714"/>
      <c r="Z843" s="3714"/>
      <c r="AA843" s="3714"/>
      <c r="AB843" s="3714"/>
      <c r="AC843" s="3714"/>
    </row>
    <row r="844" spans="1:29">
      <c r="A844" s="3714"/>
      <c r="B844" s="3714"/>
      <c r="C844" s="3714"/>
      <c r="D844" s="3714"/>
      <c r="E844" s="3714"/>
      <c r="F844" s="3714"/>
      <c r="G844" s="3714"/>
      <c r="H844" s="3714"/>
      <c r="I844" s="3714"/>
      <c r="J844" s="3714"/>
      <c r="K844" s="3715"/>
      <c r="L844" s="3716"/>
      <c r="M844" s="3714"/>
      <c r="N844" s="3714"/>
      <c r="O844" s="3714"/>
      <c r="P844" s="3756"/>
      <c r="Q844" s="3714"/>
      <c r="R844" s="3714"/>
      <c r="S844" s="3714"/>
      <c r="T844" s="3714"/>
      <c r="U844" s="3714"/>
      <c r="V844" s="3714"/>
      <c r="W844" s="3714"/>
      <c r="X844" s="3714"/>
      <c r="Y844" s="3714"/>
      <c r="Z844" s="3714"/>
      <c r="AA844" s="3714"/>
      <c r="AB844" s="3714"/>
      <c r="AC844" s="3714"/>
    </row>
    <row r="845" spans="1:29">
      <c r="A845" s="3714"/>
      <c r="B845" s="3714"/>
      <c r="C845" s="3714"/>
      <c r="D845" s="3714"/>
      <c r="E845" s="3714"/>
      <c r="F845" s="3714"/>
      <c r="G845" s="3714"/>
      <c r="H845" s="3714"/>
      <c r="I845" s="3714"/>
      <c r="J845" s="3714"/>
      <c r="K845" s="3715"/>
      <c r="L845" s="3716"/>
      <c r="M845" s="3714"/>
      <c r="N845" s="3714"/>
      <c r="O845" s="3714"/>
      <c r="P845" s="3756"/>
      <c r="Q845" s="3714"/>
      <c r="R845" s="3714"/>
      <c r="S845" s="3714"/>
      <c r="T845" s="3714"/>
      <c r="U845" s="3714"/>
      <c r="V845" s="3714"/>
      <c r="W845" s="3714"/>
      <c r="X845" s="3714"/>
      <c r="Y845" s="3714"/>
      <c r="Z845" s="3714"/>
      <c r="AA845" s="3714"/>
      <c r="AB845" s="3714"/>
      <c r="AC845" s="3714"/>
    </row>
    <row r="846" spans="1:29">
      <c r="A846" s="3714"/>
      <c r="B846" s="3714"/>
      <c r="C846" s="3714"/>
      <c r="D846" s="3714"/>
      <c r="E846" s="3714"/>
      <c r="F846" s="3714"/>
      <c r="G846" s="3714"/>
      <c r="H846" s="3714"/>
      <c r="I846" s="3714"/>
      <c r="J846" s="3714"/>
      <c r="K846" s="3715"/>
      <c r="L846" s="3716"/>
      <c r="M846" s="3714"/>
      <c r="N846" s="3714"/>
      <c r="O846" s="3714"/>
      <c r="P846" s="3756"/>
      <c r="Q846" s="3714"/>
      <c r="R846" s="3714"/>
      <c r="S846" s="3714"/>
      <c r="T846" s="3714"/>
      <c r="U846" s="3714"/>
      <c r="V846" s="3714"/>
      <c r="W846" s="3714"/>
      <c r="X846" s="3714"/>
      <c r="Y846" s="3714"/>
      <c r="Z846" s="3714"/>
      <c r="AA846" s="3714"/>
      <c r="AB846" s="3714"/>
      <c r="AC846" s="3714"/>
    </row>
    <row r="847" spans="1:29">
      <c r="A847" s="3714"/>
      <c r="B847" s="3714"/>
      <c r="C847" s="3714"/>
      <c r="D847" s="3714"/>
      <c r="E847" s="3714"/>
      <c r="F847" s="3714"/>
      <c r="G847" s="3714"/>
      <c r="H847" s="3714"/>
      <c r="I847" s="3714"/>
      <c r="J847" s="3714"/>
      <c r="K847" s="3715"/>
      <c r="L847" s="3716"/>
      <c r="M847" s="3714"/>
      <c r="N847" s="3714"/>
      <c r="O847" s="3714"/>
      <c r="P847" s="3756"/>
      <c r="Q847" s="3714"/>
      <c r="R847" s="3714"/>
      <c r="S847" s="3714"/>
      <c r="T847" s="3714"/>
      <c r="U847" s="3714"/>
      <c r="V847" s="3714"/>
      <c r="W847" s="3714"/>
      <c r="X847" s="3714"/>
      <c r="Y847" s="3714"/>
      <c r="Z847" s="3714"/>
      <c r="AA847" s="3714"/>
      <c r="AB847" s="3714"/>
      <c r="AC847" s="3714"/>
    </row>
    <row r="848" spans="1:29">
      <c r="A848" s="3714"/>
      <c r="B848" s="3714"/>
      <c r="C848" s="3714"/>
      <c r="D848" s="3714"/>
      <c r="E848" s="3714"/>
      <c r="F848" s="3714"/>
      <c r="G848" s="3714"/>
      <c r="H848" s="3714"/>
      <c r="I848" s="3714"/>
      <c r="J848" s="3714"/>
      <c r="K848" s="3715"/>
      <c r="L848" s="3716"/>
      <c r="M848" s="3714"/>
      <c r="N848" s="3714"/>
      <c r="O848" s="3714"/>
      <c r="P848" s="3756"/>
      <c r="Q848" s="3714"/>
      <c r="R848" s="3714"/>
      <c r="S848" s="3714"/>
      <c r="T848" s="3714"/>
      <c r="U848" s="3714"/>
      <c r="V848" s="3714"/>
      <c r="W848" s="3714"/>
      <c r="X848" s="3714"/>
      <c r="Y848" s="3714"/>
      <c r="Z848" s="3714"/>
      <c r="AA848" s="3714"/>
      <c r="AB848" s="3714"/>
      <c r="AC848" s="3714"/>
    </row>
    <row r="849" spans="1:29">
      <c r="A849" s="3714"/>
      <c r="B849" s="3714"/>
      <c r="C849" s="3714"/>
      <c r="D849" s="3714"/>
      <c r="E849" s="3714"/>
      <c r="F849" s="3714"/>
      <c r="G849" s="3714"/>
      <c r="H849" s="3714"/>
      <c r="I849" s="3714"/>
      <c r="J849" s="3714"/>
      <c r="K849" s="3715"/>
      <c r="L849" s="3716"/>
      <c r="M849" s="3714"/>
      <c r="N849" s="3714"/>
      <c r="O849" s="3714"/>
      <c r="P849" s="3756"/>
      <c r="Q849" s="3714"/>
      <c r="R849" s="3714"/>
      <c r="S849" s="3714"/>
      <c r="T849" s="3714"/>
      <c r="U849" s="3714"/>
      <c r="V849" s="3714"/>
      <c r="W849" s="3714"/>
      <c r="X849" s="3714"/>
      <c r="Y849" s="3714"/>
      <c r="Z849" s="3714"/>
      <c r="AA849" s="3714"/>
      <c r="AB849" s="3714"/>
      <c r="AC849" s="3714"/>
    </row>
    <row r="850" spans="1:29">
      <c r="A850" s="3714"/>
      <c r="B850" s="3714"/>
      <c r="C850" s="3714"/>
      <c r="D850" s="3714"/>
      <c r="E850" s="3714"/>
      <c r="F850" s="3714"/>
      <c r="G850" s="3714"/>
      <c r="H850" s="3714"/>
      <c r="I850" s="3714"/>
      <c r="J850" s="3714"/>
      <c r="K850" s="3715"/>
      <c r="L850" s="3716"/>
      <c r="M850" s="3714"/>
      <c r="N850" s="3714"/>
      <c r="O850" s="3714"/>
      <c r="P850" s="3756"/>
      <c r="Q850" s="3714"/>
      <c r="R850" s="3714"/>
      <c r="S850" s="3714"/>
      <c r="T850" s="3714"/>
      <c r="U850" s="3714"/>
      <c r="V850" s="3714"/>
      <c r="W850" s="3714"/>
      <c r="X850" s="3714"/>
      <c r="Y850" s="3714"/>
      <c r="Z850" s="3714"/>
      <c r="AA850" s="3714"/>
      <c r="AB850" s="3714"/>
      <c r="AC850" s="3714"/>
    </row>
    <row r="851" spans="1:29">
      <c r="A851" s="3714"/>
      <c r="B851" s="3714"/>
      <c r="C851" s="3714"/>
      <c r="D851" s="3714"/>
      <c r="E851" s="3714"/>
      <c r="F851" s="3714"/>
      <c r="G851" s="3714"/>
      <c r="H851" s="3714"/>
      <c r="I851" s="3714"/>
      <c r="J851" s="3714"/>
      <c r="K851" s="3715"/>
      <c r="L851" s="3716"/>
      <c r="M851" s="3714"/>
      <c r="N851" s="3714"/>
      <c r="O851" s="3714"/>
      <c r="P851" s="3756"/>
      <c r="Q851" s="3714"/>
      <c r="R851" s="3714"/>
      <c r="S851" s="3714"/>
      <c r="T851" s="3714"/>
      <c r="U851" s="3714"/>
      <c r="V851" s="3714"/>
      <c r="W851" s="3714"/>
      <c r="X851" s="3714"/>
      <c r="Y851" s="3714"/>
      <c r="Z851" s="3714"/>
      <c r="AA851" s="3714"/>
      <c r="AB851" s="3714"/>
      <c r="AC851" s="3714"/>
    </row>
    <row r="852" spans="1:29">
      <c r="A852" s="3714"/>
      <c r="B852" s="3714"/>
      <c r="C852" s="3714"/>
      <c r="D852" s="3714"/>
      <c r="E852" s="3714"/>
      <c r="F852" s="3714"/>
      <c r="G852" s="3714"/>
      <c r="H852" s="3714"/>
      <c r="I852" s="3714"/>
      <c r="J852" s="3714"/>
      <c r="K852" s="3715"/>
      <c r="L852" s="3716"/>
      <c r="M852" s="3714"/>
      <c r="N852" s="3714"/>
      <c r="O852" s="3714"/>
      <c r="P852" s="3756"/>
      <c r="Q852" s="3714"/>
      <c r="R852" s="3714"/>
      <c r="S852" s="3714"/>
      <c r="T852" s="3714"/>
      <c r="U852" s="3714"/>
      <c r="V852" s="3714"/>
      <c r="W852" s="3714"/>
      <c r="X852" s="3714"/>
      <c r="Y852" s="3714"/>
      <c r="Z852" s="3714"/>
      <c r="AA852" s="3714"/>
      <c r="AB852" s="3714"/>
      <c r="AC852" s="3714"/>
    </row>
    <row r="853" spans="1:29">
      <c r="A853" s="3714"/>
      <c r="B853" s="3714"/>
      <c r="C853" s="3714"/>
      <c r="D853" s="3714"/>
      <c r="E853" s="3714"/>
      <c r="F853" s="3714"/>
      <c r="G853" s="3714"/>
      <c r="H853" s="3714"/>
      <c r="I853" s="3714"/>
      <c r="J853" s="3714"/>
      <c r="K853" s="3715"/>
      <c r="L853" s="3716"/>
      <c r="M853" s="3714"/>
      <c r="N853" s="3714"/>
      <c r="O853" s="3714"/>
      <c r="P853" s="3756"/>
      <c r="Q853" s="3714"/>
      <c r="R853" s="3714"/>
      <c r="S853" s="3714"/>
      <c r="T853" s="3714"/>
      <c r="U853" s="3714"/>
      <c r="V853" s="3714"/>
      <c r="W853" s="3714"/>
      <c r="X853" s="3714"/>
      <c r="Y853" s="3714"/>
      <c r="Z853" s="3714"/>
      <c r="AA853" s="3714"/>
      <c r="AB853" s="3714"/>
      <c r="AC853" s="371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93" priority="23" stopIfTrue="1" operator="containsText" text="超过">
      <formula>NOT(ISERROR(SEARCH("超过",F53)))</formula>
    </cfRule>
  </conditionalFormatting>
  <conditionalFormatting sqref="H55">
    <cfRule type="containsText" dxfId="192" priority="22" stopIfTrue="1" operator="containsText" text="超过">
      <formula>NOT(ISERROR(SEARCH("超过",H55)))</formula>
    </cfRule>
  </conditionalFormatting>
  <conditionalFormatting sqref="F55">
    <cfRule type="containsText" dxfId="191" priority="21" stopIfTrue="1" operator="containsText" text="超过">
      <formula>NOT(ISERROR(SEARCH("超过",F55)))</formula>
    </cfRule>
  </conditionalFormatting>
  <conditionalFormatting sqref="F54 H54">
    <cfRule type="containsText" dxfId="190" priority="20" stopIfTrue="1" operator="containsText" text="超过">
      <formula>NOT(ISERROR(SEARCH("超过",F54)))</formula>
    </cfRule>
  </conditionalFormatting>
  <conditionalFormatting sqref="E53">
    <cfRule type="expression" dxfId="189" priority="19" stopIfTrue="1">
      <formula>$F$53="超过30%"</formula>
    </cfRule>
  </conditionalFormatting>
  <conditionalFormatting sqref="E54">
    <cfRule type="expression" dxfId="188" priority="18" stopIfTrue="1">
      <formula>$F$54="超过20%"</formula>
    </cfRule>
  </conditionalFormatting>
  <conditionalFormatting sqref="E55">
    <cfRule type="expression" dxfId="187" priority="17" stopIfTrue="1">
      <formula>$F$55="超过30%"</formula>
    </cfRule>
  </conditionalFormatting>
  <conditionalFormatting sqref="G55">
    <cfRule type="expression" dxfId="186" priority="16" stopIfTrue="1">
      <formula>$H$55="超过30%"</formula>
    </cfRule>
  </conditionalFormatting>
  <conditionalFormatting sqref="G53">
    <cfRule type="expression" dxfId="185" priority="15" stopIfTrue="1">
      <formula>$H$53="超过30%"</formula>
    </cfRule>
  </conditionalFormatting>
  <conditionalFormatting sqref="G54">
    <cfRule type="expression" dxfId="184" priority="14" stopIfTrue="1">
      <formula>$H$54="超过20%"</formula>
    </cfRule>
  </conditionalFormatting>
  <conditionalFormatting sqref="J53">
    <cfRule type="containsText" dxfId="183" priority="13" stopIfTrue="1" operator="containsText" text="超过">
      <formula>NOT(ISERROR(SEARCH("超过",J53)))</formula>
    </cfRule>
  </conditionalFormatting>
  <conditionalFormatting sqref="J55">
    <cfRule type="containsText" dxfId="182" priority="12" stopIfTrue="1" operator="containsText" text="超过">
      <formula>NOT(ISERROR(SEARCH("超过",J55)))</formula>
    </cfRule>
  </conditionalFormatting>
  <conditionalFormatting sqref="J54">
    <cfRule type="containsText" dxfId="181" priority="11" stopIfTrue="1" operator="containsText" text="超过">
      <formula>NOT(ISERROR(SEARCH("超过",J54)))</formula>
    </cfRule>
  </conditionalFormatting>
  <conditionalFormatting sqref="I53">
    <cfRule type="expression" dxfId="180" priority="10" stopIfTrue="1">
      <formula>$J$53="超过30%"</formula>
    </cfRule>
  </conditionalFormatting>
  <conditionalFormatting sqref="I54">
    <cfRule type="expression" dxfId="179" priority="9" stopIfTrue="1">
      <formula>$J$53+$J$54="超过20%"</formula>
    </cfRule>
  </conditionalFormatting>
  <conditionalFormatting sqref="I55">
    <cfRule type="expression" dxfId="178" priority="8" stopIfTrue="1">
      <formula>$J$55="超过30%"</formula>
    </cfRule>
  </conditionalFormatting>
  <conditionalFormatting sqref="F49">
    <cfRule type="expression" dxfId="177" priority="7">
      <formula>$D$49="简单平均"</formula>
    </cfRule>
  </conditionalFormatting>
  <conditionalFormatting sqref="H49">
    <cfRule type="expression" dxfId="176" priority="6">
      <formula>$D$49="简单平均"</formula>
    </cfRule>
  </conditionalFormatting>
  <conditionalFormatting sqref="J49">
    <cfRule type="expression" dxfId="175" priority="5">
      <formula>$D$49="简单平均"</formula>
    </cfRule>
  </conditionalFormatting>
  <conditionalFormatting sqref="F7:F36 H7:H36 J7:J36 F38:F47 H38:H47 J38:J47">
    <cfRule type="cellIs" dxfId="174" priority="4" operator="notEqual">
      <formula>100</formula>
    </cfRule>
  </conditionalFormatting>
  <conditionalFormatting sqref="F37">
    <cfRule type="cellIs" dxfId="173" priority="3" operator="notEqual">
      <formula>100</formula>
    </cfRule>
  </conditionalFormatting>
  <conditionalFormatting sqref="H37">
    <cfRule type="cellIs" dxfId="172" priority="2" operator="notEqual">
      <formula>100</formula>
    </cfRule>
  </conditionalFormatting>
  <conditionalFormatting sqref="J37">
    <cfRule type="cellIs" dxfId="17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E5" sqref="E5:F5"/>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t="s">
        <v>3228</v>
      </c>
      <c r="E1" s="2007"/>
      <c r="F1" s="2522" t="s">
        <v>3223</v>
      </c>
      <c r="G1" s="1530" t="s">
        <v>713</v>
      </c>
      <c r="H1" s="498"/>
      <c r="I1" s="498"/>
      <c r="J1" s="498"/>
      <c r="K1" s="499"/>
      <c r="L1" s="3197"/>
      <c r="M1" s="3198"/>
      <c r="N1" s="3198"/>
      <c r="O1" s="3198"/>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#N/A</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#N/A</v>
      </c>
      <c r="C3" s="839" t="s">
        <v>714</v>
      </c>
      <c r="D3" s="838">
        <f>SUMIF('数据-汇总表'!$C19:$C33,D1,'数据-汇总表'!$E19:$E33)</f>
        <v>167500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974" t="s">
        <v>514</v>
      </c>
      <c r="D4" s="3975"/>
      <c r="E4" s="4008" t="s">
        <v>515</v>
      </c>
      <c r="F4" s="4009"/>
      <c r="G4" s="3974" t="s">
        <v>516</v>
      </c>
      <c r="H4" s="3975"/>
      <c r="I4" s="3974" t="s">
        <v>517</v>
      </c>
      <c r="J4" s="3975"/>
      <c r="K4" s="840" t="s">
        <v>518</v>
      </c>
      <c r="L4" s="2013"/>
      <c r="M4" s="2014"/>
      <c r="N4" s="2014"/>
      <c r="O4" s="2014"/>
      <c r="P4" s="3976" t="s">
        <v>519</v>
      </c>
      <c r="Q4" s="3977"/>
      <c r="R4" s="3982" t="s">
        <v>515</v>
      </c>
      <c r="S4" s="3983"/>
      <c r="T4" s="3982" t="s">
        <v>516</v>
      </c>
      <c r="U4" s="3983"/>
      <c r="V4" s="3969" t="s">
        <v>517</v>
      </c>
      <c r="W4" s="3969"/>
      <c r="X4" s="1500"/>
      <c r="Y4" s="3982" t="s">
        <v>519</v>
      </c>
      <c r="Z4" s="3983"/>
      <c r="AA4" s="3971" t="s">
        <v>515</v>
      </c>
      <c r="AB4" s="3971" t="s">
        <v>516</v>
      </c>
      <c r="AC4" s="3971" t="s">
        <v>517</v>
      </c>
    </row>
    <row r="5" spans="1:29" ht="15">
      <c r="A5" s="507"/>
      <c r="B5" s="508"/>
      <c r="C5" s="3990" t="s">
        <v>2892</v>
      </c>
      <c r="D5" s="3991"/>
      <c r="E5" s="4129" t="str">
        <f>'公寓案例截图及地图 '!A2</f>
        <v>复地时代中心</v>
      </c>
      <c r="F5" s="4011"/>
      <c r="G5" s="4128" t="str">
        <f>'公寓案例截图及地图 '!A37</f>
        <v>通州富力中心</v>
      </c>
      <c r="H5" s="3991"/>
      <c r="I5" s="4128" t="str">
        <f>'公寓案例截图及地图 '!A73</f>
        <v>合景中心</v>
      </c>
      <c r="J5" s="3991"/>
      <c r="K5" s="841"/>
      <c r="L5" s="2013"/>
      <c r="M5" s="2014"/>
      <c r="N5" s="2014"/>
      <c r="O5" s="2014"/>
      <c r="P5" s="3978"/>
      <c r="Q5" s="3979"/>
      <c r="R5" s="3984"/>
      <c r="S5" s="3985"/>
      <c r="T5" s="3984"/>
      <c r="U5" s="3985"/>
      <c r="V5" s="3969"/>
      <c r="W5" s="3969"/>
      <c r="X5" s="1500"/>
      <c r="Y5" s="3984"/>
      <c r="Z5" s="3985"/>
      <c r="AA5" s="3972"/>
      <c r="AB5" s="3972"/>
      <c r="AC5" s="3972"/>
    </row>
    <row r="6" spans="1:29" ht="15.75" thickBot="1">
      <c r="A6" s="509"/>
      <c r="B6" s="510"/>
      <c r="C6" s="3988" t="s">
        <v>2896</v>
      </c>
      <c r="D6" s="3989"/>
      <c r="E6" s="4006" t="s">
        <v>2896</v>
      </c>
      <c r="F6" s="4007"/>
      <c r="G6" s="3988" t="s">
        <v>2896</v>
      </c>
      <c r="H6" s="3989"/>
      <c r="I6" s="3988" t="s">
        <v>2896</v>
      </c>
      <c r="J6" s="3989"/>
      <c r="K6" s="841" t="s">
        <v>520</v>
      </c>
      <c r="L6" s="2013"/>
      <c r="M6" s="2014"/>
      <c r="N6" s="2014"/>
      <c r="O6" s="2014"/>
      <c r="P6" s="3980"/>
      <c r="Q6" s="3981"/>
      <c r="R6" s="3984"/>
      <c r="S6" s="3985"/>
      <c r="T6" s="3986"/>
      <c r="U6" s="3987"/>
      <c r="V6" s="3969"/>
      <c r="W6" s="3969"/>
      <c r="X6" s="1500"/>
      <c r="Y6" s="3986"/>
      <c r="Z6" s="3987"/>
      <c r="AA6" s="3973"/>
      <c r="AB6" s="3973"/>
      <c r="AC6" s="3973"/>
    </row>
    <row r="7" spans="1:29" s="1201" customFormat="1" ht="15.75" thickBot="1">
      <c r="A7" s="2627"/>
      <c r="B7" s="2634" t="s">
        <v>521</v>
      </c>
      <c r="C7" s="511">
        <f>'数据-取费表'!B2</f>
        <v>44545</v>
      </c>
      <c r="D7" s="512">
        <v>100</v>
      </c>
      <c r="E7" s="513">
        <v>44378</v>
      </c>
      <c r="F7" s="514">
        <f>SUMIF(58:58,YEAR(E7)&amp;"-"&amp;MONTH(E7),59:59)</f>
        <v>100</v>
      </c>
      <c r="G7" s="513">
        <v>44317</v>
      </c>
      <c r="H7" s="512">
        <f>SUMIF(58:58,YEAR(G7)&amp;"-"&amp;MONTH(G7),59:59)</f>
        <v>100</v>
      </c>
      <c r="I7" s="513">
        <v>44501</v>
      </c>
      <c r="J7" s="512">
        <f>SUMIF(58:58,YEAR(I7)&amp;"-"&amp;MONTH(I7),59:59)</f>
        <v>100</v>
      </c>
      <c r="K7" s="842"/>
      <c r="L7" s="2015"/>
      <c r="M7" s="2016"/>
      <c r="N7" s="2016"/>
      <c r="O7" s="2016"/>
      <c r="P7" s="3999" t="s">
        <v>522</v>
      </c>
      <c r="Q7" s="4001"/>
      <c r="R7" s="1501" t="s">
        <v>13</v>
      </c>
      <c r="S7" s="1502">
        <f t="shared" ref="S7:S15" si="0">F7</f>
        <v>100</v>
      </c>
      <c r="T7" s="1501" t="s">
        <v>13</v>
      </c>
      <c r="U7" s="1502">
        <f t="shared" ref="U7:U15" si="1">H7</f>
        <v>100</v>
      </c>
      <c r="V7" s="1501" t="s">
        <v>13</v>
      </c>
      <c r="W7" s="1502">
        <f t="shared" ref="W7:W15" si="2">J7</f>
        <v>100</v>
      </c>
      <c r="X7" s="1503"/>
      <c r="Y7" s="3999" t="s">
        <v>522</v>
      </c>
      <c r="Z7" s="4000"/>
      <c r="AA7" s="1504">
        <f>D7/F7</f>
        <v>1</v>
      </c>
      <c r="AB7" s="1504">
        <f>D7/H7</f>
        <v>1</v>
      </c>
      <c r="AC7" s="1504">
        <f>D7/J7</f>
        <v>1</v>
      </c>
    </row>
    <row r="8" spans="1:29" s="1201" customFormat="1" ht="15.75" thickBot="1">
      <c r="A8" s="2628"/>
      <c r="B8" s="2635" t="s">
        <v>523</v>
      </c>
      <c r="C8" s="517" t="s">
        <v>568</v>
      </c>
      <c r="D8" s="512">
        <v>100</v>
      </c>
      <c r="E8" s="843" t="s">
        <v>3066</v>
      </c>
      <c r="F8" s="514">
        <f>SUMIF(61:61,E8,62:62)-SUMIF(61:61,C8,62:62)+100</f>
        <v>100</v>
      </c>
      <c r="G8" s="517" t="s">
        <v>3066</v>
      </c>
      <c r="H8" s="512">
        <f>SUMIF(61:61,G8,62:62)-SUMIF(61:61,C8,62:62)+100</f>
        <v>100</v>
      </c>
      <c r="I8" s="843" t="s">
        <v>3066</v>
      </c>
      <c r="J8" s="512">
        <f>SUMIF(61:61,I8,62:62)-SUMIF(61:61,C8,62:62)+100</f>
        <v>100</v>
      </c>
      <c r="K8" s="842"/>
      <c r="L8" s="2015"/>
      <c r="M8" s="2016"/>
      <c r="N8" s="2016"/>
      <c r="O8" s="2016"/>
      <c r="P8" s="3999" t="s">
        <v>525</v>
      </c>
      <c r="Q8" s="4000"/>
      <c r="R8" s="1501" t="s">
        <v>13</v>
      </c>
      <c r="S8" s="1502">
        <f t="shared" si="0"/>
        <v>100</v>
      </c>
      <c r="T8" s="1501" t="s">
        <v>13</v>
      </c>
      <c r="U8" s="1502">
        <f t="shared" si="1"/>
        <v>100</v>
      </c>
      <c r="V8" s="1501" t="s">
        <v>13</v>
      </c>
      <c r="W8" s="1502">
        <f t="shared" si="2"/>
        <v>100</v>
      </c>
      <c r="X8" s="1503"/>
      <c r="Y8" s="3999" t="s">
        <v>525</v>
      </c>
      <c r="Z8" s="4000"/>
      <c r="AA8" s="1504">
        <f t="shared" ref="AA8:AA46" si="3">D8/F8</f>
        <v>1</v>
      </c>
      <c r="AB8" s="1504">
        <f t="shared" ref="AB8:AB46" si="4">D8/H8</f>
        <v>1</v>
      </c>
      <c r="AC8" s="1504">
        <f t="shared" ref="AC8:AC46" si="5">D8/J8</f>
        <v>1</v>
      </c>
    </row>
    <row r="9" spans="1:29" s="1201" customFormat="1" ht="15">
      <c r="A9" s="2629"/>
      <c r="B9" s="2636" t="s">
        <v>2734</v>
      </c>
      <c r="C9" s="3325" t="s">
        <v>3067</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968" t="s">
        <v>527</v>
      </c>
      <c r="Q9" s="1132" t="str">
        <f t="shared" ref="Q9:Q15" si="6">B9</f>
        <v>用途</v>
      </c>
      <c r="R9" s="1501" t="s">
        <v>8</v>
      </c>
      <c r="S9" s="1502">
        <f t="shared" si="0"/>
        <v>100</v>
      </c>
      <c r="T9" s="1501" t="s">
        <v>8</v>
      </c>
      <c r="U9" s="1502">
        <f t="shared" si="1"/>
        <v>100</v>
      </c>
      <c r="V9" s="1501" t="s">
        <v>8</v>
      </c>
      <c r="W9" s="1502">
        <f t="shared" si="2"/>
        <v>100</v>
      </c>
      <c r="X9" s="1503"/>
      <c r="Y9" s="3914" t="s">
        <v>528</v>
      </c>
      <c r="Z9" s="1131" t="str">
        <f t="shared" ref="Z9:Z15" si="7">Q9</f>
        <v>用途</v>
      </c>
      <c r="AA9" s="1504">
        <f t="shared" si="3"/>
        <v>1</v>
      </c>
      <c r="AB9" s="1504">
        <f t="shared" si="4"/>
        <v>1</v>
      </c>
      <c r="AC9" s="1504">
        <f t="shared" si="5"/>
        <v>1</v>
      </c>
    </row>
    <row r="10" spans="1:29" s="1290" customFormat="1" ht="27">
      <c r="A10" s="2630"/>
      <c r="B10" s="2635" t="s">
        <v>2735</v>
      </c>
      <c r="C10" s="848" t="s">
        <v>3068</v>
      </c>
      <c r="D10" s="251">
        <v>100</v>
      </c>
      <c r="E10" s="849" t="s">
        <v>3068</v>
      </c>
      <c r="F10" s="850">
        <f>SUMIF(65:65,E10,66:66)-SUMIF(65:65,C10,66:66)+100</f>
        <v>100</v>
      </c>
      <c r="G10" s="848" t="s">
        <v>3068</v>
      </c>
      <c r="H10" s="251">
        <f>SUMIF(65:65,G10,66:66)-SUMIF(65:65,C10,66:66)+100</f>
        <v>100</v>
      </c>
      <c r="I10" s="848" t="s">
        <v>3068</v>
      </c>
      <c r="J10" s="251">
        <f>SUMIF(65:65,I10,66:66)-SUMIF(65:65,C10,66:66)+100</f>
        <v>100</v>
      </c>
      <c r="K10" s="851"/>
      <c r="L10" s="2018"/>
      <c r="M10" s="2057"/>
      <c r="N10" s="2057"/>
      <c r="O10" s="2019"/>
      <c r="P10" s="3968"/>
      <c r="Q10" s="1132" t="str">
        <f t="shared" si="6"/>
        <v>土地使用年限（年）</v>
      </c>
      <c r="R10" s="1501" t="s">
        <v>8</v>
      </c>
      <c r="S10" s="1502">
        <f t="shared" si="0"/>
        <v>100</v>
      </c>
      <c r="T10" s="1501" t="s">
        <v>8</v>
      </c>
      <c r="U10" s="1502">
        <f t="shared" si="1"/>
        <v>100</v>
      </c>
      <c r="V10" s="1501" t="s">
        <v>8</v>
      </c>
      <c r="W10" s="1502">
        <f t="shared" si="2"/>
        <v>100</v>
      </c>
      <c r="X10" s="1503"/>
      <c r="Y10" s="3914"/>
      <c r="Z10" s="1131" t="str">
        <f t="shared" si="7"/>
        <v>土地使用年限（年）</v>
      </c>
      <c r="AA10" s="1504">
        <f t="shared" si="3"/>
        <v>1</v>
      </c>
      <c r="AB10" s="1504">
        <f t="shared" si="4"/>
        <v>1</v>
      </c>
      <c r="AC10" s="1504">
        <f t="shared" si="5"/>
        <v>1</v>
      </c>
    </row>
    <row r="11" spans="1:29" ht="15">
      <c r="A11" s="2631"/>
      <c r="B11" s="2635" t="s">
        <v>2736</v>
      </c>
      <c r="C11" s="525">
        <v>1.6</v>
      </c>
      <c r="D11" s="251">
        <v>100</v>
      </c>
      <c r="E11" s="526">
        <v>2</v>
      </c>
      <c r="F11" s="850">
        <f>LOOKUP(E11,68:68,69:69)-LOOKUP(C11,68:68,69:69)+100</f>
        <v>100</v>
      </c>
      <c r="G11" s="525">
        <v>2</v>
      </c>
      <c r="H11" s="251">
        <f>LOOKUP(G11,68:68,69:69)-LOOKUP(C11,68:68,69:69)+100</f>
        <v>100</v>
      </c>
      <c r="I11" s="525">
        <v>2</v>
      </c>
      <c r="J11" s="251">
        <f>LOOKUP(I11,68:68,69:69)-LOOKUP(C11,68:68,69:69)+100</f>
        <v>100</v>
      </c>
      <c r="K11" s="851">
        <v>0</v>
      </c>
      <c r="L11" s="2020"/>
      <c r="M11" s="2014"/>
      <c r="N11" s="2014"/>
      <c r="O11" s="2021"/>
      <c r="P11" s="3968"/>
      <c r="Q11" s="1132" t="str">
        <f t="shared" si="6"/>
        <v>容积率</v>
      </c>
      <c r="R11" s="1501" t="s">
        <v>11</v>
      </c>
      <c r="S11" s="1502">
        <f t="shared" si="0"/>
        <v>100</v>
      </c>
      <c r="T11" s="1501" t="s">
        <v>11</v>
      </c>
      <c r="U11" s="1502">
        <f t="shared" si="1"/>
        <v>100</v>
      </c>
      <c r="V11" s="1501" t="s">
        <v>11</v>
      </c>
      <c r="W11" s="1502">
        <f t="shared" si="2"/>
        <v>100</v>
      </c>
      <c r="X11" s="1503"/>
      <c r="Y11" s="3914"/>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968"/>
      <c r="Q12" s="1132">
        <f t="shared" si="6"/>
        <v>111</v>
      </c>
      <c r="R12" s="1501" t="s">
        <v>11</v>
      </c>
      <c r="S12" s="1502">
        <f t="shared" si="0"/>
        <v>100</v>
      </c>
      <c r="T12" s="1501" t="s">
        <v>11</v>
      </c>
      <c r="U12" s="1502">
        <f t="shared" si="1"/>
        <v>100</v>
      </c>
      <c r="V12" s="1501" t="s">
        <v>11</v>
      </c>
      <c r="W12" s="1502">
        <f t="shared" si="2"/>
        <v>100</v>
      </c>
      <c r="X12" s="1503"/>
      <c r="Y12" s="3914"/>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968"/>
      <c r="Q13" s="1132">
        <f t="shared" si="6"/>
        <v>111</v>
      </c>
      <c r="R13" s="1501" t="s">
        <v>11</v>
      </c>
      <c r="S13" s="1502">
        <f t="shared" si="0"/>
        <v>100</v>
      </c>
      <c r="T13" s="1501" t="s">
        <v>11</v>
      </c>
      <c r="U13" s="1502">
        <f t="shared" si="1"/>
        <v>100</v>
      </c>
      <c r="V13" s="1501" t="s">
        <v>11</v>
      </c>
      <c r="W13" s="1502">
        <f t="shared" si="2"/>
        <v>100</v>
      </c>
      <c r="X13" s="1503"/>
      <c r="Y13" s="3914"/>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968"/>
      <c r="Q14" s="1132">
        <f t="shared" si="6"/>
        <v>111</v>
      </c>
      <c r="R14" s="1501" t="s">
        <v>11</v>
      </c>
      <c r="S14" s="1502">
        <f t="shared" si="0"/>
        <v>100</v>
      </c>
      <c r="T14" s="1501" t="s">
        <v>11</v>
      </c>
      <c r="U14" s="1502">
        <f t="shared" si="1"/>
        <v>100</v>
      </c>
      <c r="V14" s="1501" t="s">
        <v>11</v>
      </c>
      <c r="W14" s="1502">
        <f t="shared" si="2"/>
        <v>100</v>
      </c>
      <c r="X14" s="1503"/>
      <c r="Y14" s="3914"/>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4002" t="s">
        <v>532</v>
      </c>
      <c r="Q15" s="1505" t="str">
        <f t="shared" si="6"/>
        <v>居住社区成熟度</v>
      </c>
      <c r="R15" s="1506" t="s">
        <v>11</v>
      </c>
      <c r="S15" s="1507">
        <f t="shared" si="0"/>
        <v>100</v>
      </c>
      <c r="T15" s="1506" t="s">
        <v>11</v>
      </c>
      <c r="U15" s="1507">
        <f t="shared" si="1"/>
        <v>100</v>
      </c>
      <c r="V15" s="1506" t="s">
        <v>11</v>
      </c>
      <c r="W15" s="1507">
        <f t="shared" si="2"/>
        <v>100</v>
      </c>
      <c r="X15" s="1500"/>
      <c r="Y15" s="4002"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4003"/>
      <c r="Q16" s="1505"/>
      <c r="R16" s="1506"/>
      <c r="S16" s="1507"/>
      <c r="T16" s="1506"/>
      <c r="U16" s="1507"/>
      <c r="V16" s="1506"/>
      <c r="W16" s="1507"/>
      <c r="X16" s="1500"/>
      <c r="Y16" s="4003"/>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4003"/>
      <c r="Q17" s="1505" t="str">
        <f>B17</f>
        <v>交通便捷度</v>
      </c>
      <c r="R17" s="1506" t="s">
        <v>11</v>
      </c>
      <c r="S17" s="1507">
        <f>F17</f>
        <v>100</v>
      </c>
      <c r="T17" s="1506" t="s">
        <v>11</v>
      </c>
      <c r="U17" s="1507">
        <f>H17</f>
        <v>100</v>
      </c>
      <c r="V17" s="1506" t="s">
        <v>11</v>
      </c>
      <c r="W17" s="1507">
        <f>J17</f>
        <v>100</v>
      </c>
      <c r="X17" s="1500"/>
      <c r="Y17" s="4003"/>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4003"/>
      <c r="Q18" s="1505"/>
      <c r="R18" s="1506"/>
      <c r="S18" s="1507"/>
      <c r="T18" s="1506"/>
      <c r="U18" s="1507"/>
      <c r="V18" s="1506"/>
      <c r="W18" s="1507"/>
      <c r="X18" s="1500"/>
      <c r="Y18" s="4003"/>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4003"/>
      <c r="Q19" s="1505" t="str">
        <f>B19</f>
        <v>公共配套设施</v>
      </c>
      <c r="R19" s="1506" t="s">
        <v>11</v>
      </c>
      <c r="S19" s="1507">
        <f>F19</f>
        <v>100</v>
      </c>
      <c r="T19" s="1506" t="s">
        <v>11</v>
      </c>
      <c r="U19" s="1507">
        <f>H19</f>
        <v>100</v>
      </c>
      <c r="V19" s="1506" t="s">
        <v>11</v>
      </c>
      <c r="W19" s="1507">
        <f>J19</f>
        <v>100</v>
      </c>
      <c r="X19" s="1500"/>
      <c r="Y19" s="4003"/>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4003"/>
      <c r="Q20" s="1505"/>
      <c r="R20" s="1506"/>
      <c r="S20" s="1507"/>
      <c r="T20" s="1506"/>
      <c r="U20" s="1507"/>
      <c r="V20" s="1506"/>
      <c r="W20" s="1507"/>
      <c r="X20" s="1500"/>
      <c r="Y20" s="4003"/>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4003"/>
      <c r="Q21" s="2427" t="str">
        <f>B21</f>
        <v>基础设施水平</v>
      </c>
      <c r="R21" s="1506" t="s">
        <v>11</v>
      </c>
      <c r="S21" s="1507">
        <f>F21</f>
        <v>100</v>
      </c>
      <c r="T21" s="1506" t="s">
        <v>11</v>
      </c>
      <c r="U21" s="1507">
        <f>H21</f>
        <v>100</v>
      </c>
      <c r="V21" s="1506" t="s">
        <v>11</v>
      </c>
      <c r="W21" s="1507">
        <f>J21</f>
        <v>100</v>
      </c>
      <c r="X21" s="2429"/>
      <c r="Y21" s="4003"/>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4003"/>
      <c r="Q22" s="2427"/>
      <c r="R22" s="1506"/>
      <c r="S22" s="1507"/>
      <c r="T22" s="1506"/>
      <c r="U22" s="1507"/>
      <c r="V22" s="1506"/>
      <c r="W22" s="1507"/>
      <c r="X22" s="2429"/>
      <c r="Y22" s="4003"/>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4003"/>
      <c r="Q23" s="1505" t="str">
        <f>B23</f>
        <v>自然及人文环境</v>
      </c>
      <c r="R23" s="1506" t="s">
        <v>11</v>
      </c>
      <c r="S23" s="1507">
        <f>F23</f>
        <v>100</v>
      </c>
      <c r="T23" s="1506" t="s">
        <v>11</v>
      </c>
      <c r="U23" s="1507">
        <f>H23</f>
        <v>100</v>
      </c>
      <c r="V23" s="1506" t="s">
        <v>11</v>
      </c>
      <c r="W23" s="1507">
        <f>J23</f>
        <v>100</v>
      </c>
      <c r="X23" s="1500"/>
      <c r="Y23" s="4003"/>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4003"/>
      <c r="Q24" s="1505"/>
      <c r="R24" s="1506"/>
      <c r="S24" s="1507"/>
      <c r="T24" s="1506"/>
      <c r="U24" s="1507"/>
      <c r="V24" s="1506"/>
      <c r="W24" s="1507"/>
      <c r="X24" s="1500"/>
      <c r="Y24" s="4003"/>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4003"/>
      <c r="Q25" s="1505" t="str">
        <f t="shared" ref="Q25:Q46" si="11">B25</f>
        <v>楼层-1</v>
      </c>
      <c r="R25" s="1506" t="s">
        <v>11</v>
      </c>
      <c r="S25" s="1507">
        <f>F25</f>
        <v>100</v>
      </c>
      <c r="T25" s="1506" t="s">
        <v>11</v>
      </c>
      <c r="U25" s="1507">
        <f>H25</f>
        <v>100</v>
      </c>
      <c r="V25" s="1506" t="s">
        <v>11</v>
      </c>
      <c r="W25" s="1507">
        <f>J25</f>
        <v>100</v>
      </c>
      <c r="X25" s="1500"/>
      <c r="Y25" s="4003"/>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4003"/>
      <c r="Q26" s="1505" t="str">
        <f t="shared" si="11"/>
        <v>朝向</v>
      </c>
      <c r="R26" s="1506" t="s">
        <v>11</v>
      </c>
      <c r="S26" s="1507">
        <f>F26</f>
        <v>100</v>
      </c>
      <c r="T26" s="1506" t="s">
        <v>11</v>
      </c>
      <c r="U26" s="1507">
        <f>H26</f>
        <v>100</v>
      </c>
      <c r="V26" s="1506" t="s">
        <v>11</v>
      </c>
      <c r="W26" s="1507">
        <f>J26</f>
        <v>100</v>
      </c>
      <c r="X26" s="1500"/>
      <c r="Y26" s="4003"/>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4003"/>
      <c r="Q27" s="1132" t="str">
        <f t="shared" si="11"/>
        <v>道路级别</v>
      </c>
      <c r="R27" s="1501" t="s">
        <v>11</v>
      </c>
      <c r="S27" s="1502">
        <f>F27</f>
        <v>100</v>
      </c>
      <c r="T27" s="1501" t="s">
        <v>11</v>
      </c>
      <c r="U27" s="1502">
        <f>H27</f>
        <v>100</v>
      </c>
      <c r="V27" s="1501" t="s">
        <v>11</v>
      </c>
      <c r="W27" s="1502">
        <f>J27</f>
        <v>100</v>
      </c>
      <c r="X27" s="1503"/>
      <c r="Y27" s="4003"/>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4003"/>
      <c r="Q28" s="1505">
        <f t="shared" si="11"/>
        <v>111</v>
      </c>
      <c r="R28" s="1506" t="s">
        <v>11</v>
      </c>
      <c r="S28" s="1507">
        <f t="shared" ref="S28:S46" si="12">F28</f>
        <v>100</v>
      </c>
      <c r="T28" s="1506" t="s">
        <v>11</v>
      </c>
      <c r="U28" s="1507">
        <f t="shared" ref="U28:U46" si="13">H28</f>
        <v>100</v>
      </c>
      <c r="V28" s="1506" t="s">
        <v>11</v>
      </c>
      <c r="W28" s="1507">
        <f t="shared" ref="W28:W46" si="14">J28</f>
        <v>100</v>
      </c>
      <c r="X28" s="1500"/>
      <c r="Y28" s="4003"/>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4003"/>
      <c r="Q29" s="1505">
        <f t="shared" si="11"/>
        <v>111</v>
      </c>
      <c r="R29" s="1506" t="s">
        <v>11</v>
      </c>
      <c r="S29" s="1507">
        <f t="shared" si="12"/>
        <v>100</v>
      </c>
      <c r="T29" s="1506" t="s">
        <v>11</v>
      </c>
      <c r="U29" s="1507">
        <f t="shared" si="13"/>
        <v>100</v>
      </c>
      <c r="V29" s="1506" t="s">
        <v>11</v>
      </c>
      <c r="W29" s="1507">
        <f t="shared" si="14"/>
        <v>100</v>
      </c>
      <c r="X29" s="1500"/>
      <c r="Y29" s="4003"/>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4003"/>
      <c r="Q30" s="1505">
        <f t="shared" si="11"/>
        <v>111</v>
      </c>
      <c r="R30" s="1506" t="s">
        <v>11</v>
      </c>
      <c r="S30" s="1507">
        <f t="shared" si="12"/>
        <v>100</v>
      </c>
      <c r="T30" s="1506" t="s">
        <v>11</v>
      </c>
      <c r="U30" s="1507">
        <f t="shared" si="13"/>
        <v>100</v>
      </c>
      <c r="V30" s="1506" t="s">
        <v>11</v>
      </c>
      <c r="W30" s="1507">
        <f t="shared" si="14"/>
        <v>100</v>
      </c>
      <c r="X30" s="1500"/>
      <c r="Y30" s="4003"/>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4003"/>
      <c r="Q31" s="1505">
        <f t="shared" si="11"/>
        <v>111</v>
      </c>
      <c r="R31" s="1506" t="s">
        <v>11</v>
      </c>
      <c r="S31" s="1507">
        <f t="shared" si="12"/>
        <v>100</v>
      </c>
      <c r="T31" s="1506" t="s">
        <v>11</v>
      </c>
      <c r="U31" s="1507">
        <f t="shared" si="13"/>
        <v>100</v>
      </c>
      <c r="V31" s="1506" t="s">
        <v>11</v>
      </c>
      <c r="W31" s="1507">
        <f t="shared" si="14"/>
        <v>100</v>
      </c>
      <c r="X31" s="1500"/>
      <c r="Y31" s="4003"/>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4004" t="s">
        <v>542</v>
      </c>
      <c r="Q32" s="1505" t="str">
        <f t="shared" si="11"/>
        <v>建筑类型</v>
      </c>
      <c r="R32" s="1506" t="s">
        <v>11</v>
      </c>
      <c r="S32" s="1507">
        <f t="shared" si="12"/>
        <v>100</v>
      </c>
      <c r="T32" s="1506" t="s">
        <v>11</v>
      </c>
      <c r="U32" s="1507">
        <f t="shared" si="13"/>
        <v>100</v>
      </c>
      <c r="V32" s="1506" t="s">
        <v>11</v>
      </c>
      <c r="W32" s="1507">
        <f t="shared" si="14"/>
        <v>100</v>
      </c>
      <c r="X32" s="1500"/>
      <c r="Y32" s="4005" t="s">
        <v>542</v>
      </c>
      <c r="Z32" s="1508" t="str">
        <f t="shared" si="15"/>
        <v>建筑类型</v>
      </c>
      <c r="AA32" s="1509">
        <f t="shared" si="3"/>
        <v>1</v>
      </c>
      <c r="AB32" s="1509">
        <f t="shared" si="4"/>
        <v>1</v>
      </c>
      <c r="AC32" s="1509">
        <f t="shared" si="5"/>
        <v>1</v>
      </c>
    </row>
    <row r="33" spans="1:29" s="1291" customFormat="1" ht="15">
      <c r="A33" s="595"/>
      <c r="B33" s="519" t="s">
        <v>718</v>
      </c>
      <c r="C33" s="867">
        <f>'数据-汇总表'!F19</f>
        <v>167500</v>
      </c>
      <c r="D33" s="251">
        <v>100</v>
      </c>
      <c r="E33" s="526">
        <v>160000</v>
      </c>
      <c r="F33" s="850" t="e">
        <f>LOOKUP(E33,103:103,104:104)-LOOKUP(C33,103:103,104:104)+100</f>
        <v>#N/A</v>
      </c>
      <c r="G33" s="525">
        <v>160000</v>
      </c>
      <c r="H33" s="251" t="e">
        <f>LOOKUP(G33,103:103,104:104)-LOOKUP(C33,103:103,104:104)+100</f>
        <v>#N/A</v>
      </c>
      <c r="I33" s="526">
        <v>160000</v>
      </c>
      <c r="J33" s="251" t="e">
        <f>LOOKUP(I33,103:103,104:104)-LOOKUP(C33,103:103,104:104)+100</f>
        <v>#N/A</v>
      </c>
      <c r="K33" s="852"/>
      <c r="L33" s="2020"/>
      <c r="M33" s="2050"/>
      <c r="N33" s="2050"/>
      <c r="O33" s="2023"/>
      <c r="P33" s="4005"/>
      <c r="Q33" s="1534" t="str">
        <f t="shared" si="11"/>
        <v>项目建筑规模</v>
      </c>
      <c r="R33" s="1510" t="s">
        <v>11</v>
      </c>
      <c r="S33" s="1511" t="e">
        <f t="shared" si="12"/>
        <v>#N/A</v>
      </c>
      <c r="T33" s="1510" t="s">
        <v>11</v>
      </c>
      <c r="U33" s="1511" t="e">
        <f t="shared" si="13"/>
        <v>#N/A</v>
      </c>
      <c r="V33" s="1510" t="s">
        <v>11</v>
      </c>
      <c r="W33" s="1511" t="e">
        <f t="shared" si="14"/>
        <v>#N/A</v>
      </c>
      <c r="X33" s="1512"/>
      <c r="Y33" s="4005"/>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4005"/>
      <c r="Q34" s="1505" t="str">
        <f t="shared" si="11"/>
        <v>建筑结构</v>
      </c>
      <c r="R34" s="1506" t="s">
        <v>11</v>
      </c>
      <c r="S34" s="1507">
        <f t="shared" si="12"/>
        <v>100</v>
      </c>
      <c r="T34" s="1506" t="s">
        <v>11</v>
      </c>
      <c r="U34" s="1507">
        <f t="shared" si="13"/>
        <v>100</v>
      </c>
      <c r="V34" s="1506" t="s">
        <v>11</v>
      </c>
      <c r="W34" s="1507">
        <f t="shared" si="14"/>
        <v>100</v>
      </c>
      <c r="X34" s="1500"/>
      <c r="Y34" s="4005"/>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4005"/>
      <c r="Q35" s="1505" t="str">
        <f t="shared" si="11"/>
        <v>建筑品质</v>
      </c>
      <c r="R35" s="1506" t="s">
        <v>11</v>
      </c>
      <c r="S35" s="1507">
        <f t="shared" si="12"/>
        <v>100</v>
      </c>
      <c r="T35" s="1506" t="s">
        <v>11</v>
      </c>
      <c r="U35" s="1507">
        <f t="shared" si="13"/>
        <v>100</v>
      </c>
      <c r="V35" s="1506" t="s">
        <v>11</v>
      </c>
      <c r="W35" s="1507">
        <f t="shared" si="14"/>
        <v>100</v>
      </c>
      <c r="X35" s="1500"/>
      <c r="Y35" s="4005"/>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4005"/>
      <c r="Q36" s="1505" t="str">
        <f t="shared" si="11"/>
        <v>公共部分装修</v>
      </c>
      <c r="R36" s="1506" t="s">
        <v>11</v>
      </c>
      <c r="S36" s="1507">
        <f t="shared" si="12"/>
        <v>100</v>
      </c>
      <c r="T36" s="1506" t="s">
        <v>11</v>
      </c>
      <c r="U36" s="1507">
        <f t="shared" si="13"/>
        <v>100</v>
      </c>
      <c r="V36" s="1506" t="s">
        <v>11</v>
      </c>
      <c r="W36" s="1507">
        <f t="shared" si="14"/>
        <v>100</v>
      </c>
      <c r="X36" s="1500"/>
      <c r="Y36" s="4005"/>
      <c r="Z36" s="1508" t="str">
        <f t="shared" si="15"/>
        <v>公共部分装修</v>
      </c>
      <c r="AA36" s="1509">
        <f t="shared" si="3"/>
        <v>1</v>
      </c>
      <c r="AB36" s="1509">
        <f t="shared" si="4"/>
        <v>1</v>
      </c>
      <c r="AC36" s="1509">
        <f t="shared" si="5"/>
        <v>1</v>
      </c>
    </row>
    <row r="37" spans="1:29" s="1201" customFormat="1" ht="15">
      <c r="A37" s="592"/>
      <c r="B37" s="519" t="s">
        <v>722</v>
      </c>
      <c r="C37" s="870">
        <v>1</v>
      </c>
      <c r="D37" s="251">
        <v>100</v>
      </c>
      <c r="E37" s="871">
        <v>1</v>
      </c>
      <c r="F37" s="850">
        <f>LOOKUP(E37,112:112,113:113)-LOOKUP(C37,112:112,113:113)+100</f>
        <v>100</v>
      </c>
      <c r="G37" s="872">
        <v>1</v>
      </c>
      <c r="H37" s="251">
        <f>LOOKUP(G37,112:112,113:113)-LOOKUP(C37,112:112,113:113)+100</f>
        <v>100</v>
      </c>
      <c r="I37" s="871">
        <v>1</v>
      </c>
      <c r="J37" s="251">
        <f>LOOKUP(I37,112:112,113:113)-LOOKUP(C37,112:112,113:113)+100</f>
        <v>100</v>
      </c>
      <c r="K37" s="851"/>
      <c r="L37" s="2015"/>
      <c r="M37" s="2016"/>
      <c r="N37" s="2016"/>
      <c r="O37" s="2017"/>
      <c r="P37" s="4005"/>
      <c r="Q37" s="1132" t="str">
        <f t="shared" si="11"/>
        <v>成新度</v>
      </c>
      <c r="R37" s="1501" t="s">
        <v>11</v>
      </c>
      <c r="S37" s="1502">
        <f t="shared" si="12"/>
        <v>100</v>
      </c>
      <c r="T37" s="1501" t="s">
        <v>11</v>
      </c>
      <c r="U37" s="1502">
        <f t="shared" si="13"/>
        <v>100</v>
      </c>
      <c r="V37" s="1501" t="s">
        <v>11</v>
      </c>
      <c r="W37" s="1502">
        <f t="shared" si="14"/>
        <v>100</v>
      </c>
      <c r="X37" s="1503"/>
      <c r="Y37" s="4005"/>
      <c r="Z37" s="1131" t="str">
        <f t="shared" si="15"/>
        <v>成新度</v>
      </c>
      <c r="AA37" s="1504">
        <f t="shared" si="3"/>
        <v>1</v>
      </c>
      <c r="AB37" s="1504">
        <f t="shared" si="4"/>
        <v>1</v>
      </c>
      <c r="AC37" s="1504">
        <f t="shared" si="5"/>
        <v>1</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4005" t="s">
        <v>542</v>
      </c>
      <c r="Q38" s="1505" t="str">
        <f t="shared" si="11"/>
        <v>物业管理</v>
      </c>
      <c r="R38" s="1506" t="s">
        <v>11</v>
      </c>
      <c r="S38" s="1507">
        <f t="shared" si="12"/>
        <v>100</v>
      </c>
      <c r="T38" s="1506" t="s">
        <v>11</v>
      </c>
      <c r="U38" s="1507">
        <f t="shared" si="13"/>
        <v>100</v>
      </c>
      <c r="V38" s="1506" t="s">
        <v>11</v>
      </c>
      <c r="W38" s="1507">
        <f t="shared" si="14"/>
        <v>100</v>
      </c>
      <c r="X38" s="1500"/>
      <c r="Y38" s="4005"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4005"/>
      <c r="Q39" s="1505" t="str">
        <f t="shared" si="11"/>
        <v>市政基础设施</v>
      </c>
      <c r="R39" s="1506" t="s">
        <v>11</v>
      </c>
      <c r="S39" s="1507">
        <f t="shared" si="12"/>
        <v>100</v>
      </c>
      <c r="T39" s="1506" t="s">
        <v>11</v>
      </c>
      <c r="U39" s="1507">
        <f t="shared" si="13"/>
        <v>100</v>
      </c>
      <c r="V39" s="1506" t="s">
        <v>11</v>
      </c>
      <c r="W39" s="1507">
        <f t="shared" si="14"/>
        <v>100</v>
      </c>
      <c r="X39" s="1500"/>
      <c r="Y39" s="4005"/>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4005"/>
      <c r="Q40" s="1505" t="str">
        <f t="shared" si="11"/>
        <v>房型</v>
      </c>
      <c r="R40" s="1506" t="s">
        <v>11</v>
      </c>
      <c r="S40" s="1507">
        <f t="shared" si="12"/>
        <v>100</v>
      </c>
      <c r="T40" s="1506" t="s">
        <v>11</v>
      </c>
      <c r="U40" s="1507">
        <f t="shared" si="13"/>
        <v>100</v>
      </c>
      <c r="V40" s="1506" t="s">
        <v>11</v>
      </c>
      <c r="W40" s="1507">
        <f t="shared" si="14"/>
        <v>100</v>
      </c>
      <c r="X40" s="1500"/>
      <c r="Y40" s="4005"/>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4005"/>
      <c r="Q41" s="1534" t="str">
        <f t="shared" si="11"/>
        <v>单套/主力户型建筑面积</v>
      </c>
      <c r="R41" s="1510" t="s">
        <v>11</v>
      </c>
      <c r="S41" s="1511">
        <f t="shared" si="12"/>
        <v>100</v>
      </c>
      <c r="T41" s="1510" t="s">
        <v>11</v>
      </c>
      <c r="U41" s="1511">
        <f t="shared" si="13"/>
        <v>100</v>
      </c>
      <c r="V41" s="1510" t="s">
        <v>11</v>
      </c>
      <c r="W41" s="1511">
        <f t="shared" si="14"/>
        <v>100</v>
      </c>
      <c r="X41" s="1512"/>
      <c r="Y41" s="4005"/>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4005"/>
      <c r="Q42" s="1505" t="str">
        <f t="shared" si="11"/>
        <v>内部装修</v>
      </c>
      <c r="R42" s="1506" t="s">
        <v>11</v>
      </c>
      <c r="S42" s="1507">
        <f t="shared" si="12"/>
        <v>100</v>
      </c>
      <c r="T42" s="1506" t="s">
        <v>11</v>
      </c>
      <c r="U42" s="1507">
        <f t="shared" si="13"/>
        <v>100</v>
      </c>
      <c r="V42" s="1506" t="s">
        <v>11</v>
      </c>
      <c r="W42" s="1507">
        <f t="shared" si="14"/>
        <v>100</v>
      </c>
      <c r="X42" s="1500"/>
      <c r="Y42" s="4005"/>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4005"/>
      <c r="Q43" s="1505" t="str">
        <f t="shared" si="11"/>
        <v>内部装修维护情况</v>
      </c>
      <c r="R43" s="1506" t="s">
        <v>11</v>
      </c>
      <c r="S43" s="1507">
        <f t="shared" si="12"/>
        <v>100</v>
      </c>
      <c r="T43" s="1506" t="s">
        <v>11</v>
      </c>
      <c r="U43" s="1507">
        <f t="shared" si="13"/>
        <v>100</v>
      </c>
      <c r="V43" s="1506" t="s">
        <v>11</v>
      </c>
      <c r="W43" s="1507">
        <f t="shared" si="14"/>
        <v>100</v>
      </c>
      <c r="X43" s="1500"/>
      <c r="Y43" s="4005"/>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4005"/>
      <c r="Q44" s="1132">
        <f t="shared" si="11"/>
        <v>111</v>
      </c>
      <c r="R44" s="1501" t="s">
        <v>11</v>
      </c>
      <c r="S44" s="1502">
        <f t="shared" si="12"/>
        <v>100</v>
      </c>
      <c r="T44" s="1501" t="s">
        <v>11</v>
      </c>
      <c r="U44" s="1502">
        <f t="shared" si="13"/>
        <v>100</v>
      </c>
      <c r="V44" s="1501" t="s">
        <v>11</v>
      </c>
      <c r="W44" s="1502">
        <f t="shared" si="14"/>
        <v>100</v>
      </c>
      <c r="X44" s="1503"/>
      <c r="Y44" s="4005"/>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4005"/>
      <c r="Q45" s="1505">
        <f t="shared" si="11"/>
        <v>111</v>
      </c>
      <c r="R45" s="1506" t="s">
        <v>11</v>
      </c>
      <c r="S45" s="1507">
        <f t="shared" si="12"/>
        <v>100</v>
      </c>
      <c r="T45" s="1506" t="s">
        <v>11</v>
      </c>
      <c r="U45" s="1507">
        <f t="shared" si="13"/>
        <v>100</v>
      </c>
      <c r="V45" s="1506" t="s">
        <v>11</v>
      </c>
      <c r="W45" s="1507">
        <f t="shared" si="14"/>
        <v>100</v>
      </c>
      <c r="X45" s="1500"/>
      <c r="Y45" s="4005"/>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4127"/>
      <c r="Q46" s="1505">
        <f t="shared" si="11"/>
        <v>111</v>
      </c>
      <c r="R46" s="1506" t="s">
        <v>10</v>
      </c>
      <c r="S46" s="1507">
        <f t="shared" si="12"/>
        <v>100</v>
      </c>
      <c r="T46" s="1506" t="s">
        <v>10</v>
      </c>
      <c r="U46" s="1507">
        <f t="shared" si="13"/>
        <v>100</v>
      </c>
      <c r="V46" s="1506" t="s">
        <v>10</v>
      </c>
      <c r="W46" s="1507">
        <f t="shared" si="14"/>
        <v>100</v>
      </c>
      <c r="X46" s="1500"/>
      <c r="Y46" s="4127"/>
      <c r="Z46" s="1508">
        <f t="shared" si="15"/>
        <v>111</v>
      </c>
      <c r="AA46" s="1509">
        <f t="shared" si="3"/>
        <v>1</v>
      </c>
      <c r="AB46" s="1509">
        <f t="shared" si="4"/>
        <v>1</v>
      </c>
      <c r="AC46" s="1509">
        <f t="shared" si="5"/>
        <v>1</v>
      </c>
    </row>
    <row r="47" spans="1:29" ht="15">
      <c r="A47" s="599" t="s">
        <v>728</v>
      </c>
      <c r="B47" s="874"/>
      <c r="C47" s="2468" t="s">
        <v>9</v>
      </c>
      <c r="D47" s="2469"/>
      <c r="E47" s="2470">
        <f>'公寓案例截图及地图 '!A3</f>
        <v>52336</v>
      </c>
      <c r="F47" s="2471"/>
      <c r="G47" s="2472">
        <f>'公寓案例截图及地图 '!A39</f>
        <v>53094</v>
      </c>
      <c r="H47" s="2473"/>
      <c r="I47" s="2470">
        <f>'公寓案例截图及地图 '!A75</f>
        <v>45751</v>
      </c>
      <c r="J47" s="2473"/>
      <c r="K47" s="1535"/>
      <c r="L47" s="2024"/>
      <c r="M47" s="2025"/>
      <c r="N47" s="2014"/>
      <c r="O47" s="2025"/>
      <c r="P47" s="3968" t="str">
        <f>A47</f>
        <v>成交单价（元/平方米）</v>
      </c>
      <c r="Q47" s="3968"/>
      <c r="R47" s="4126">
        <f>E47</f>
        <v>52336</v>
      </c>
      <c r="S47" s="4126"/>
      <c r="T47" s="4126">
        <f>G47</f>
        <v>53094</v>
      </c>
      <c r="U47" s="4126"/>
      <c r="V47" s="4126">
        <f>I47</f>
        <v>45751</v>
      </c>
      <c r="W47" s="4126"/>
      <c r="X47" s="1495"/>
      <c r="Y47" s="1514"/>
      <c r="Z47" s="1495"/>
      <c r="AA47" s="1495"/>
      <c r="AB47" s="1495"/>
      <c r="AC47" s="1495"/>
    </row>
    <row r="48" spans="1:29" ht="15.75" thickBot="1">
      <c r="A48" s="607" t="s">
        <v>2738</v>
      </c>
      <c r="B48" s="875"/>
      <c r="C48" s="2474" t="e">
        <f>R49</f>
        <v>#N/A</v>
      </c>
      <c r="D48" s="3003" t="s">
        <v>2963</v>
      </c>
      <c r="E48" s="2475" t="e">
        <f>R48</f>
        <v>#N/A</v>
      </c>
      <c r="F48" s="3004"/>
      <c r="G48" s="2474" t="e">
        <f>T48</f>
        <v>#N/A</v>
      </c>
      <c r="H48" s="3004"/>
      <c r="I48" s="2475" t="e">
        <f>V48</f>
        <v>#N/A</v>
      </c>
      <c r="J48" s="3004"/>
      <c r="K48" s="3012">
        <f>F48+H48+J48</f>
        <v>0</v>
      </c>
      <c r="L48" s="2024"/>
      <c r="M48" s="2025"/>
      <c r="N48" s="2025"/>
      <c r="O48" s="2025"/>
      <c r="P48" s="3968" t="str">
        <f>A48</f>
        <v>比较价格（元/平方米）</v>
      </c>
      <c r="Q48" s="3968"/>
      <c r="R48" s="4126" t="e">
        <f>IF(F1="售价",ROUND(PRODUCT(R47,AA7:AA46),0),ROUND(PRODUCT(R47,AA7:AA46),1))</f>
        <v>#N/A</v>
      </c>
      <c r="S48" s="4126"/>
      <c r="T48" s="4126" t="e">
        <f>IF(F1="售价",ROUND(PRODUCT(T47,AB7:AB46),0),ROUND(PRODUCT(T47,AB7:AB46),1))</f>
        <v>#N/A</v>
      </c>
      <c r="U48" s="4126"/>
      <c r="V48" s="4126" t="e">
        <f>IF(F1="售价",ROUND(PRODUCT(V47,AC7:AC46),0),ROUND(PRODUCT(V47,AC7:AC46),1))</f>
        <v>#N/A</v>
      </c>
      <c r="W48" s="4126"/>
      <c r="X48" s="1495"/>
      <c r="Y48" s="1495"/>
      <c r="Z48" s="1495"/>
      <c r="AA48" s="1495"/>
      <c r="AB48" s="1495"/>
      <c r="AC48" s="1495"/>
    </row>
    <row r="49" spans="1:29" ht="15.75" thickBot="1">
      <c r="A49" s="611" t="s">
        <v>2898</v>
      </c>
      <c r="B49" s="612"/>
      <c r="C49" s="2476" t="e">
        <f>R49</f>
        <v>#N/A</v>
      </c>
      <c r="D49" s="2476"/>
      <c r="E49" s="2476"/>
      <c r="F49" s="2476"/>
      <c r="G49" s="2476"/>
      <c r="H49" s="2476"/>
      <c r="I49" s="2476"/>
      <c r="J49" s="2476"/>
      <c r="K49" s="1536"/>
      <c r="L49" s="2024"/>
      <c r="M49" s="2025"/>
      <c r="N49" s="2025"/>
      <c r="O49" s="2025"/>
      <c r="P49" s="3965" t="str">
        <f>A49</f>
        <v>估价对象XX用房的比较价格（楼面单价，元/平方米）</v>
      </c>
      <c r="Q49" s="3966"/>
      <c r="R49" s="4125" t="e">
        <f>IF(F1="售价",ROUND(IF(D48="简单平均",AVERAGE(R48:V48),R48*F48+T48*H48+V48*J48),0),ROUND(IF(D48="简单平均",AVERAGE(R48:V48),R48*F48+T48*H48+V48*J48),1))</f>
        <v>#N/A</v>
      </c>
      <c r="S49" s="4125"/>
      <c r="T49" s="4125"/>
      <c r="U49" s="4125"/>
      <c r="V49" s="4125"/>
      <c r="W49" s="4125"/>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t="e">
        <f>IF(E47&lt;E48,E48/E47-1,E47/E48-1)</f>
        <v>#N/A</v>
      </c>
      <c r="F52" s="617" t="e">
        <f>IF(OR(E52&gt;=0.3,E52&lt;=-0.3),"超过30%","")</f>
        <v>#N/A</v>
      </c>
      <c r="G52" s="616" t="e">
        <f>IF(G47&lt;G48,G48/G47-1,G47/G48-1)</f>
        <v>#N/A</v>
      </c>
      <c r="H52" s="617" t="e">
        <f>IF(OR(G52&gt;=0.3,G52&lt;=-0.3),"超过30%","")</f>
        <v>#N/A</v>
      </c>
      <c r="I52" s="616" t="e">
        <f>IF(I47&lt;I48,I48/I47-1,I47/I48-1)</f>
        <v>#N/A</v>
      </c>
      <c r="J52" s="617" t="e">
        <f>IF(OR(I52&gt;=0.3,I52&lt;=-0.3),"超过30%","")</f>
        <v>#N/A</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t="e">
        <f>IF(E48&lt;G48,G48/E48-1,E48/G48-1)</f>
        <v>#N/A</v>
      </c>
      <c r="F53" s="617" t="e">
        <f>IF(OR(E53&gt;=0.2,E53&lt;=-0.2),"超过20%","")</f>
        <v>#N/A</v>
      </c>
      <c r="G53" s="616" t="e">
        <f>IF(G48&lt;I48,I48/G48-1,G48/I48-1)</f>
        <v>#N/A</v>
      </c>
      <c r="H53" s="617" t="e">
        <f>IF(OR(G53&gt;=0.2,G53&lt;=-0.2),"超过20%","")</f>
        <v>#N/A</v>
      </c>
      <c r="I53" s="616" t="e">
        <f>IF(I48&lt;E48,E48/I48-1,I48/E48-1)</f>
        <v>#N/A</v>
      </c>
      <c r="J53" s="617" t="e">
        <f>IF(OR(I53&gt;=0.2,I53&lt;=-0.2),"超过20%","")</f>
        <v>#N/A</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1.4483338428615156E-2</v>
      </c>
      <c r="F54" s="617" t="str">
        <f>IF(OR(E54&gt;=0.3,E54&lt;=-0.3),"超过30%","")</f>
        <v/>
      </c>
      <c r="G54" s="616">
        <f>IF(G47&lt;I47,I47/G47-1,G47/I47-1)</f>
        <v>0.16049922406067618</v>
      </c>
      <c r="H54" s="617" t="str">
        <f>IF(OR(G54&gt;=0.3,G54&lt;=-0.3),"超过30%","")</f>
        <v/>
      </c>
      <c r="I54" s="616">
        <f>IF(I47&lt;E47,E47/I47-1,I47/E47-1)</f>
        <v>0.14393128019059698</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0（含）-1</v>
      </c>
      <c r="D67" s="672" t="str">
        <f t="shared" ref="D67:L67" si="18">D68&amp;"（含）"&amp;"-"&amp;E68</f>
        <v>1（含）-2</v>
      </c>
      <c r="E67" s="672" t="str">
        <f t="shared" si="18"/>
        <v>2（含）-3</v>
      </c>
      <c r="F67" s="672" t="str">
        <f t="shared" si="18"/>
        <v>3（含）-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0</v>
      </c>
      <c r="D68" s="533">
        <v>1</v>
      </c>
      <c r="E68" s="533">
        <v>2</v>
      </c>
      <c r="F68" s="533">
        <v>3</v>
      </c>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75"/>
  <sheetViews>
    <sheetView topLeftCell="A61" workbookViewId="0">
      <selection activeCell="M32" sqref="M32"/>
    </sheetView>
  </sheetViews>
  <sheetFormatPr defaultRowHeight="13.5"/>
  <cols>
    <col min="1" max="16384" width="9" style="3361"/>
  </cols>
  <sheetData>
    <row r="2" spans="1:1">
      <c r="A2" s="3361" t="s">
        <v>3232</v>
      </c>
    </row>
    <row r="3" spans="1:1">
      <c r="A3" s="3361">
        <v>52336</v>
      </c>
    </row>
    <row r="37" spans="1:1">
      <c r="A37" s="3361" t="s">
        <v>3233</v>
      </c>
    </row>
    <row r="39" spans="1:1">
      <c r="A39" s="3361">
        <v>53094</v>
      </c>
    </row>
    <row r="73" spans="1:1">
      <c r="A73" s="3361" t="s">
        <v>3234</v>
      </c>
    </row>
    <row r="75" spans="1:1">
      <c r="A75" s="3361">
        <v>45751</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3" zoomScale="90" zoomScaleNormal="60" zoomScaleSheetLayoutView="90" workbookViewId="0">
      <selection activeCell="K24" sqref="K24"/>
    </sheetView>
  </sheetViews>
  <sheetFormatPr defaultColWidth="9" defaultRowHeight="14.25"/>
  <cols>
    <col min="1" max="1" width="10.5" style="3424" customWidth="1"/>
    <col min="2" max="2" width="15.75" style="3424" customWidth="1"/>
    <col min="3" max="3" width="18.12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424"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749</v>
      </c>
      <c r="C1" s="3396" t="s">
        <v>3173</v>
      </c>
      <c r="D1" s="3397" t="s">
        <v>3028</v>
      </c>
      <c r="E1" s="3398"/>
      <c r="F1" s="3399" t="s">
        <v>3223</v>
      </c>
      <c r="G1" s="3400" t="s">
        <v>3174</v>
      </c>
      <c r="H1" s="3398"/>
      <c r="I1" s="3398"/>
      <c r="J1" s="3398"/>
      <c r="K1" s="3401"/>
      <c r="L1" s="3402"/>
      <c r="M1" s="3403"/>
      <c r="N1" s="3403"/>
      <c r="O1" s="3403"/>
      <c r="P1" s="3404"/>
      <c r="Q1" s="3404"/>
      <c r="R1" s="3404"/>
      <c r="S1" s="3404"/>
      <c r="T1" s="3404"/>
      <c r="U1" s="3404"/>
      <c r="V1" s="3404"/>
      <c r="W1" s="3404"/>
      <c r="X1" s="3404"/>
      <c r="Y1" s="3404"/>
      <c r="Z1" s="3404"/>
      <c r="AA1" s="3404"/>
      <c r="AB1" s="3404"/>
      <c r="AC1" s="3405"/>
    </row>
    <row r="2" spans="1:29" s="3406" customFormat="1" ht="28.5" customHeight="1">
      <c r="A2" s="3407" t="s">
        <v>3175</v>
      </c>
      <c r="B2" s="3408">
        <f>ROUND(B3*D3/10000,0)</f>
        <v>984846</v>
      </c>
      <c r="C2" s="3409"/>
      <c r="D2" s="3409"/>
      <c r="E2" s="3405"/>
      <c r="F2" s="3410"/>
      <c r="G2" s="3411"/>
      <c r="H2" s="3411"/>
      <c r="I2" s="3411"/>
      <c r="J2" s="3411"/>
      <c r="K2" s="3411"/>
      <c r="L2" s="3412"/>
      <c r="M2" s="3404"/>
      <c r="N2" s="3404"/>
      <c r="O2" s="3404"/>
      <c r="P2" s="3404"/>
      <c r="Q2" s="3404"/>
      <c r="R2" s="3404"/>
      <c r="S2" s="3404"/>
      <c r="T2" s="3404"/>
      <c r="U2" s="3404"/>
      <c r="V2" s="3404"/>
      <c r="W2" s="3404"/>
      <c r="X2" s="3404"/>
      <c r="Y2" s="3404"/>
      <c r="Z2" s="3404"/>
      <c r="AA2" s="3404"/>
      <c r="AB2" s="3404"/>
      <c r="AC2" s="3405"/>
    </row>
    <row r="3" spans="1:29" s="3406" customFormat="1" ht="28.5" customHeight="1" thickBot="1">
      <c r="A3" s="3413" t="s">
        <v>3176</v>
      </c>
      <c r="B3" s="3414">
        <f>C49</f>
        <v>32600</v>
      </c>
      <c r="C3" s="3415" t="s">
        <v>3177</v>
      </c>
      <c r="D3" s="3416">
        <f>SUMIF('数据-汇总表'!$C19:$C33,D1,'数据-汇总表'!$E19:$E33)</f>
        <v>302100</v>
      </c>
      <c r="E3" s="3405"/>
      <c r="F3" s="3410"/>
      <c r="G3" s="3411"/>
      <c r="H3" s="3411"/>
      <c r="I3" s="3411"/>
      <c r="J3" s="3411"/>
      <c r="K3" s="3417"/>
      <c r="L3" s="3412"/>
      <c r="M3" s="3404"/>
      <c r="N3" s="3404"/>
      <c r="O3" s="3404"/>
      <c r="P3" s="3404"/>
      <c r="Q3" s="3404"/>
      <c r="R3" s="3404"/>
      <c r="S3" s="3404"/>
      <c r="T3" s="3404"/>
      <c r="U3" s="3404"/>
      <c r="V3" s="3404"/>
      <c r="W3" s="3404"/>
      <c r="X3" s="3404"/>
      <c r="Y3" s="3404"/>
      <c r="Z3" s="3404"/>
      <c r="AA3" s="3404"/>
      <c r="AB3" s="3404"/>
      <c r="AC3" s="3405"/>
    </row>
    <row r="4" spans="1:29" ht="15">
      <c r="A4" s="3418" t="s">
        <v>513</v>
      </c>
      <c r="B4" s="3419"/>
      <c r="C4" s="4086" t="s">
        <v>514</v>
      </c>
      <c r="D4" s="4087"/>
      <c r="E4" s="4088" t="s">
        <v>515</v>
      </c>
      <c r="F4" s="4089"/>
      <c r="G4" s="4086" t="s">
        <v>516</v>
      </c>
      <c r="H4" s="4087"/>
      <c r="I4" s="4086" t="s">
        <v>517</v>
      </c>
      <c r="J4" s="4087"/>
      <c r="K4" s="3420" t="s">
        <v>518</v>
      </c>
      <c r="L4" s="3421"/>
      <c r="M4" s="3422"/>
      <c r="N4" s="3422"/>
      <c r="O4" s="3422"/>
      <c r="P4" s="4130" t="s">
        <v>519</v>
      </c>
      <c r="Q4" s="4091"/>
      <c r="R4" s="4096" t="s">
        <v>515</v>
      </c>
      <c r="S4" s="4097"/>
      <c r="T4" s="4096" t="s">
        <v>516</v>
      </c>
      <c r="U4" s="4097"/>
      <c r="V4" s="4111" t="s">
        <v>517</v>
      </c>
      <c r="W4" s="4111"/>
      <c r="X4" s="3423"/>
      <c r="Y4" s="4096" t="s">
        <v>519</v>
      </c>
      <c r="Z4" s="4097"/>
      <c r="AA4" s="4083" t="s">
        <v>515</v>
      </c>
      <c r="AB4" s="4111" t="s">
        <v>516</v>
      </c>
      <c r="AC4" s="4083" t="s">
        <v>517</v>
      </c>
    </row>
    <row r="5" spans="1:29" ht="15">
      <c r="A5" s="3425"/>
      <c r="B5" s="3426"/>
      <c r="C5" s="4100" t="s">
        <v>2892</v>
      </c>
      <c r="D5" s="4101"/>
      <c r="E5" s="4102" t="str">
        <f>商业案例截图及地图!$A$2</f>
        <v>通瑞新天地</v>
      </c>
      <c r="F5" s="4103"/>
      <c r="G5" s="4100" t="str">
        <f>商业案例截图及地图!$A$37</f>
        <v>潞河名苑</v>
      </c>
      <c r="H5" s="4101"/>
      <c r="I5" s="4100" t="str">
        <f>商业案例截图及地图!$A$73</f>
        <v>珠江东都国际</v>
      </c>
      <c r="J5" s="4101"/>
      <c r="K5" s="3420"/>
      <c r="L5" s="3421"/>
      <c r="M5" s="3422"/>
      <c r="N5" s="3422"/>
      <c r="O5" s="3422"/>
      <c r="P5" s="4131"/>
      <c r="Q5" s="4093"/>
      <c r="R5" s="4098"/>
      <c r="S5" s="4099"/>
      <c r="T5" s="4098"/>
      <c r="U5" s="4099"/>
      <c r="V5" s="4111"/>
      <c r="W5" s="4111"/>
      <c r="X5" s="3423"/>
      <c r="Y5" s="4098"/>
      <c r="Z5" s="4099"/>
      <c r="AA5" s="4084"/>
      <c r="AB5" s="4111"/>
      <c r="AC5" s="4084"/>
    </row>
    <row r="6" spans="1:29" ht="15.75" thickBot="1">
      <c r="A6" s="3427"/>
      <c r="B6" s="3428"/>
      <c r="C6" s="4105" t="s">
        <v>2896</v>
      </c>
      <c r="D6" s="4106"/>
      <c r="E6" s="4107" t="s">
        <v>2896</v>
      </c>
      <c r="F6" s="4108"/>
      <c r="G6" s="4105" t="s">
        <v>2896</v>
      </c>
      <c r="H6" s="4106"/>
      <c r="I6" s="4105" t="s">
        <v>2896</v>
      </c>
      <c r="J6" s="4106"/>
      <c r="K6" s="3420" t="s">
        <v>520</v>
      </c>
      <c r="L6" s="3421"/>
      <c r="M6" s="3422"/>
      <c r="N6" s="3422"/>
      <c r="O6" s="3422"/>
      <c r="P6" s="4132"/>
      <c r="Q6" s="4095"/>
      <c r="R6" s="4098"/>
      <c r="S6" s="4099"/>
      <c r="T6" s="4109"/>
      <c r="U6" s="4110"/>
      <c r="V6" s="4111"/>
      <c r="W6" s="4111"/>
      <c r="X6" s="3423"/>
      <c r="Y6" s="4109"/>
      <c r="Z6" s="4110"/>
      <c r="AA6" s="4085"/>
      <c r="AB6" s="4111"/>
      <c r="AC6" s="4085"/>
    </row>
    <row r="7" spans="1:29" s="3442" customFormat="1" ht="15.75" thickBot="1">
      <c r="A7" s="3429"/>
      <c r="B7" s="3430" t="s">
        <v>521</v>
      </c>
      <c r="C7" s="3431">
        <f>'[3]数据-取费表'!B2</f>
        <v>44498</v>
      </c>
      <c r="D7" s="3432">
        <v>100</v>
      </c>
      <c r="E7" s="3433">
        <v>44440</v>
      </c>
      <c r="F7" s="3434">
        <f>SUMIF(58:58,YEAR(E7)&amp;"-"&amp;MONTH(E7),59:59)</f>
        <v>100</v>
      </c>
      <c r="G7" s="3433">
        <v>44440</v>
      </c>
      <c r="H7" s="3432">
        <f>SUMIF(58:58,YEAR(G7)&amp;"-"&amp;MONTH(G7),59:59)</f>
        <v>100</v>
      </c>
      <c r="I7" s="3433">
        <v>44440</v>
      </c>
      <c r="J7" s="3432">
        <f>SUMIF(58:58,YEAR(I7)&amp;"-"&amp;MONTH(I7),59:59)</f>
        <v>100</v>
      </c>
      <c r="K7" s="3435"/>
      <c r="L7" s="3436"/>
      <c r="M7" s="3437"/>
      <c r="N7" s="3437"/>
      <c r="O7" s="3437"/>
      <c r="P7" s="4114" t="s">
        <v>522</v>
      </c>
      <c r="Q7" s="4112"/>
      <c r="R7" s="3438" t="s">
        <v>8</v>
      </c>
      <c r="S7" s="3439">
        <f t="shared" ref="S7:S15" si="0">F7</f>
        <v>100</v>
      </c>
      <c r="T7" s="3438" t="s">
        <v>8</v>
      </c>
      <c r="U7" s="3439">
        <f t="shared" ref="U7:U15" si="1">H7</f>
        <v>100</v>
      </c>
      <c r="V7" s="3438" t="s">
        <v>8</v>
      </c>
      <c r="W7" s="3439">
        <f t="shared" ref="W7:W15" si="2">J7</f>
        <v>100</v>
      </c>
      <c r="X7" s="3440"/>
      <c r="Y7" s="4114" t="s">
        <v>522</v>
      </c>
      <c r="Z7" s="4113"/>
      <c r="AA7" s="3441">
        <f>D7/F7</f>
        <v>1</v>
      </c>
      <c r="AB7" s="3441">
        <f>D7/H7</f>
        <v>1</v>
      </c>
      <c r="AC7" s="3441">
        <f>D7/J7</f>
        <v>1</v>
      </c>
    </row>
    <row r="8" spans="1:29" s="3442" customFormat="1" ht="15.75" thickBot="1">
      <c r="A8" s="3443"/>
      <c r="B8" s="3444" t="s">
        <v>523</v>
      </c>
      <c r="C8" s="3445" t="s">
        <v>3178</v>
      </c>
      <c r="D8" s="3432">
        <v>100</v>
      </c>
      <c r="E8" s="3445" t="s">
        <v>3066</v>
      </c>
      <c r="F8" s="3434">
        <f>SUMIF(61:61,E8,62:62)-SUMIF(61:61,C8,62:62)+100</f>
        <v>100</v>
      </c>
      <c r="G8" s="3445" t="s">
        <v>3066</v>
      </c>
      <c r="H8" s="3432">
        <f>SUMIF(61:61,G8,62:62)-SUMIF(61:61,C8,62:62)+100</f>
        <v>100</v>
      </c>
      <c r="I8" s="3445" t="s">
        <v>3066</v>
      </c>
      <c r="J8" s="3432">
        <f>SUMIF(61:61,I8,62:62)-SUMIF(61:61,C8,62:62)+100</f>
        <v>100</v>
      </c>
      <c r="K8" s="3435"/>
      <c r="L8" s="3436"/>
      <c r="M8" s="3437"/>
      <c r="N8" s="3437"/>
      <c r="O8" s="3437"/>
      <c r="P8" s="4114" t="s">
        <v>525</v>
      </c>
      <c r="Q8" s="4113"/>
      <c r="R8" s="3438" t="s">
        <v>8</v>
      </c>
      <c r="S8" s="3439">
        <f t="shared" si="0"/>
        <v>100</v>
      </c>
      <c r="T8" s="3438" t="s">
        <v>8</v>
      </c>
      <c r="U8" s="3439">
        <f t="shared" si="1"/>
        <v>100</v>
      </c>
      <c r="V8" s="3438" t="s">
        <v>8</v>
      </c>
      <c r="W8" s="3439">
        <f t="shared" si="2"/>
        <v>100</v>
      </c>
      <c r="X8" s="3440"/>
      <c r="Y8" s="4114" t="s">
        <v>525</v>
      </c>
      <c r="Z8" s="4113"/>
      <c r="AA8" s="3441">
        <f t="shared" ref="AA8:AA46" si="3">D8/F8</f>
        <v>1</v>
      </c>
      <c r="AB8" s="3441">
        <f t="shared" ref="AB8:AB46" si="4">D8/H8</f>
        <v>1</v>
      </c>
      <c r="AC8" s="3441">
        <f t="shared" ref="AC8:AC46" si="5">D8/J8</f>
        <v>1</v>
      </c>
    </row>
    <row r="9" spans="1:29" s="3442" customFormat="1" ht="15">
      <c r="A9" s="3446"/>
      <c r="B9" s="3447" t="s">
        <v>2734</v>
      </c>
      <c r="C9" s="3448"/>
      <c r="D9" s="3449">
        <v>100</v>
      </c>
      <c r="E9" s="3450"/>
      <c r="F9" s="3449">
        <f>SUMIF(63:63,E9,64:64)-SUMIF(63:63,C9,64:64)+100</f>
        <v>100</v>
      </c>
      <c r="G9" s="3451"/>
      <c r="H9" s="3449">
        <f>SUMIF(63:63,G9,64:64)-SUMIF(63:63,C9,64:64)+100</f>
        <v>100</v>
      </c>
      <c r="I9" s="3451"/>
      <c r="J9" s="3449">
        <f>SUMIF(63:63,I9,64:64)-SUMIF(63:63,C9,64:64)+100</f>
        <v>100</v>
      </c>
      <c r="K9" s="3435"/>
      <c r="L9" s="3436"/>
      <c r="M9" s="3437"/>
      <c r="N9" s="3437"/>
      <c r="O9" s="3452"/>
      <c r="P9" s="4115" t="s">
        <v>527</v>
      </c>
      <c r="Q9" s="3453" t="str">
        <f t="shared" ref="Q9:Q15" si="6">B9</f>
        <v>用途</v>
      </c>
      <c r="R9" s="3438" t="s">
        <v>8</v>
      </c>
      <c r="S9" s="3439">
        <f t="shared" si="0"/>
        <v>100</v>
      </c>
      <c r="T9" s="3438" t="s">
        <v>8</v>
      </c>
      <c r="U9" s="3439">
        <f t="shared" si="1"/>
        <v>100</v>
      </c>
      <c r="V9" s="3438" t="s">
        <v>8</v>
      </c>
      <c r="W9" s="3439">
        <f t="shared" si="2"/>
        <v>100</v>
      </c>
      <c r="X9" s="3440"/>
      <c r="Y9" s="4116" t="s">
        <v>528</v>
      </c>
      <c r="Z9" s="3441" t="str">
        <f t="shared" ref="Z9:Z15" si="7">Q9</f>
        <v>用途</v>
      </c>
      <c r="AA9" s="3441">
        <f t="shared" si="3"/>
        <v>1</v>
      </c>
      <c r="AB9" s="3441">
        <f t="shared" si="4"/>
        <v>1</v>
      </c>
      <c r="AC9" s="3441">
        <f t="shared" si="5"/>
        <v>1</v>
      </c>
    </row>
    <row r="10" spans="1:29" s="3462" customFormat="1" ht="27">
      <c r="A10" s="3454"/>
      <c r="B10" s="3444" t="s">
        <v>2735</v>
      </c>
      <c r="C10" s="3455" t="s">
        <v>3124</v>
      </c>
      <c r="D10" s="3456">
        <v>100</v>
      </c>
      <c r="E10" s="3455" t="s">
        <v>3125</v>
      </c>
      <c r="F10" s="3456">
        <f>SUMIF(65:65,E10,66:66)-SUMIF(65:65,C10,66:66)+100</f>
        <v>98</v>
      </c>
      <c r="G10" s="3457" t="s">
        <v>3125</v>
      </c>
      <c r="H10" s="3456">
        <f>SUMIF(65:65,G10,66:66)-SUMIF(65:65,C10,66:66)+100</f>
        <v>98</v>
      </c>
      <c r="I10" s="3455" t="s">
        <v>3125</v>
      </c>
      <c r="J10" s="3456">
        <f>SUMIF(65:65,I10,66:66)-SUMIF(65:65,C10,66:66)+100</f>
        <v>98</v>
      </c>
      <c r="K10" s="3458">
        <v>2</v>
      </c>
      <c r="L10" s="3459"/>
      <c r="M10" s="3460"/>
      <c r="N10" s="3460"/>
      <c r="O10" s="3461"/>
      <c r="P10" s="4115"/>
      <c r="Q10" s="3453" t="str">
        <f t="shared" si="6"/>
        <v>土地使用年限（年）</v>
      </c>
      <c r="R10" s="3438" t="s">
        <v>8</v>
      </c>
      <c r="S10" s="3439">
        <f t="shared" si="0"/>
        <v>98</v>
      </c>
      <c r="T10" s="3438" t="s">
        <v>8</v>
      </c>
      <c r="U10" s="3439">
        <f t="shared" si="1"/>
        <v>98</v>
      </c>
      <c r="V10" s="3438" t="s">
        <v>8</v>
      </c>
      <c r="W10" s="3439">
        <f t="shared" si="2"/>
        <v>98</v>
      </c>
      <c r="X10" s="3440"/>
      <c r="Y10" s="4116"/>
      <c r="Z10" s="3441" t="str">
        <f t="shared" si="7"/>
        <v>土地使用年限（年）</v>
      </c>
      <c r="AA10" s="3441">
        <f t="shared" si="3"/>
        <v>1.0204081632653061</v>
      </c>
      <c r="AB10" s="3441">
        <f t="shared" si="4"/>
        <v>1.0204081632653061</v>
      </c>
      <c r="AC10" s="3441">
        <f t="shared" si="5"/>
        <v>1.0204081632653061</v>
      </c>
    </row>
    <row r="11" spans="1:29" ht="15">
      <c r="A11" s="3463"/>
      <c r="B11" s="3444" t="s">
        <v>2736</v>
      </c>
      <c r="C11" s="3464">
        <f>'[2]4个单元汇总表'!$L$5</f>
        <v>6.35</v>
      </c>
      <c r="D11" s="3456">
        <v>100</v>
      </c>
      <c r="E11" s="3464">
        <v>1.8</v>
      </c>
      <c r="F11" s="3456">
        <f>LOOKUP(E11,68:68,69:69)-LOOKUP(C11,68:68,69:69)+100</f>
        <v>100</v>
      </c>
      <c r="G11" s="3465">
        <v>1.8</v>
      </c>
      <c r="H11" s="3456">
        <f>LOOKUP(G11,68:68,69:69)-LOOKUP(C11,68:68,69:69)+100</f>
        <v>100</v>
      </c>
      <c r="I11" s="3464">
        <v>1.8</v>
      </c>
      <c r="J11" s="3456">
        <f>LOOKUP(I11,68:68,69:69)-LOOKUP(C11,68:68,69:69)+100</f>
        <v>100</v>
      </c>
      <c r="K11" s="3458"/>
      <c r="L11" s="3466"/>
      <c r="M11" s="3422"/>
      <c r="N11" s="3422"/>
      <c r="O11" s="3467"/>
      <c r="P11" s="4115"/>
      <c r="Q11" s="3453" t="str">
        <f t="shared" si="6"/>
        <v>容积率</v>
      </c>
      <c r="R11" s="3438" t="s">
        <v>8</v>
      </c>
      <c r="S11" s="3439">
        <f t="shared" si="0"/>
        <v>100</v>
      </c>
      <c r="T11" s="3438" t="s">
        <v>8</v>
      </c>
      <c r="U11" s="3439">
        <f t="shared" si="1"/>
        <v>100</v>
      </c>
      <c r="V11" s="3438" t="s">
        <v>8</v>
      </c>
      <c r="W11" s="3439">
        <f t="shared" si="2"/>
        <v>100</v>
      </c>
      <c r="X11" s="3440"/>
      <c r="Y11" s="4116"/>
      <c r="Z11" s="3441" t="str">
        <f t="shared" si="7"/>
        <v>容积率</v>
      </c>
      <c r="AA11" s="3441">
        <f t="shared" si="3"/>
        <v>1</v>
      </c>
      <c r="AB11" s="3441">
        <f t="shared" si="4"/>
        <v>1</v>
      </c>
      <c r="AC11" s="3441">
        <f t="shared" si="5"/>
        <v>1</v>
      </c>
    </row>
    <row r="12" spans="1:29" s="3442" customFormat="1" ht="15">
      <c r="A12" s="3468"/>
      <c r="B12" s="3469">
        <v>111</v>
      </c>
      <c r="C12" s="3470"/>
      <c r="D12" s="3471">
        <v>100</v>
      </c>
      <c r="E12" s="3472"/>
      <c r="F12" s="3456">
        <f>SUMIF(70:70,E12,71:71)-SUMIF(70:70,C12,71:71)+100</f>
        <v>100</v>
      </c>
      <c r="G12" s="3473"/>
      <c r="H12" s="3456">
        <f>SUMIF(70:70,G12,71:71)-SUMIF(70:70,C12,71:71)+100</f>
        <v>100</v>
      </c>
      <c r="I12" s="3472"/>
      <c r="J12" s="3456">
        <f>SUMIF(70:70,I12,71:71)-SUMIF(70:70,C12,71:71)+100</f>
        <v>100</v>
      </c>
      <c r="K12" s="3474"/>
      <c r="L12" s="3436"/>
      <c r="M12" s="3437"/>
      <c r="N12" s="3437"/>
      <c r="O12" s="3452"/>
      <c r="P12" s="4115"/>
      <c r="Q12" s="3453">
        <f t="shared" si="6"/>
        <v>111</v>
      </c>
      <c r="R12" s="3438" t="s">
        <v>8</v>
      </c>
      <c r="S12" s="3439">
        <f t="shared" si="0"/>
        <v>100</v>
      </c>
      <c r="T12" s="3438" t="s">
        <v>8</v>
      </c>
      <c r="U12" s="3439">
        <f t="shared" si="1"/>
        <v>100</v>
      </c>
      <c r="V12" s="3438" t="s">
        <v>8</v>
      </c>
      <c r="W12" s="3439">
        <f t="shared" si="2"/>
        <v>100</v>
      </c>
      <c r="X12" s="3440"/>
      <c r="Y12" s="4116"/>
      <c r="Z12" s="3441">
        <f t="shared" si="7"/>
        <v>111</v>
      </c>
      <c r="AA12" s="3441">
        <f>D12/F12</f>
        <v>1</v>
      </c>
      <c r="AB12" s="3441">
        <f>D12/H12</f>
        <v>1</v>
      </c>
      <c r="AC12" s="3441">
        <f>D12/J12</f>
        <v>1</v>
      </c>
    </row>
    <row r="13" spans="1:29" ht="15">
      <c r="A13" s="3468"/>
      <c r="B13" s="3469">
        <v>111</v>
      </c>
      <c r="C13" s="3472"/>
      <c r="D13" s="3475">
        <v>100</v>
      </c>
      <c r="E13" s="3472"/>
      <c r="F13" s="3456">
        <f>SUMIF(72:72,E13,73:73)-SUMIF(72:72,C13,73:73)+100</f>
        <v>100</v>
      </c>
      <c r="G13" s="3473"/>
      <c r="H13" s="3475">
        <f>SUMIF(72:72,G13,73:73)-SUMIF(72:72,C13,73:73)+100</f>
        <v>100</v>
      </c>
      <c r="I13" s="3472"/>
      <c r="J13" s="3475">
        <f>SUMIF(72:72,I13,73:73)-SUMIF(72:72,C13,73:73)+100</f>
        <v>100</v>
      </c>
      <c r="K13" s="3474"/>
      <c r="L13" s="3476"/>
      <c r="M13" s="3422"/>
      <c r="N13" s="3422"/>
      <c r="O13" s="3467"/>
      <c r="P13" s="4115"/>
      <c r="Q13" s="3453">
        <f t="shared" si="6"/>
        <v>111</v>
      </c>
      <c r="R13" s="3438" t="s">
        <v>8</v>
      </c>
      <c r="S13" s="3439">
        <f t="shared" si="0"/>
        <v>100</v>
      </c>
      <c r="T13" s="3438" t="s">
        <v>8</v>
      </c>
      <c r="U13" s="3439">
        <f t="shared" si="1"/>
        <v>100</v>
      </c>
      <c r="V13" s="3438" t="s">
        <v>8</v>
      </c>
      <c r="W13" s="3439">
        <f t="shared" si="2"/>
        <v>100</v>
      </c>
      <c r="X13" s="3440"/>
      <c r="Y13" s="4116"/>
      <c r="Z13" s="3441">
        <f t="shared" si="7"/>
        <v>111</v>
      </c>
      <c r="AA13" s="3441">
        <f t="shared" si="3"/>
        <v>1</v>
      </c>
      <c r="AB13" s="3441">
        <f t="shared" si="4"/>
        <v>1</v>
      </c>
      <c r="AC13" s="3441">
        <f t="shared" si="5"/>
        <v>1</v>
      </c>
    </row>
    <row r="14" spans="1:29" ht="15.75" thickBot="1">
      <c r="A14" s="3477"/>
      <c r="B14" s="3478">
        <v>111</v>
      </c>
      <c r="C14" s="3479"/>
      <c r="D14" s="3480">
        <v>100</v>
      </c>
      <c r="E14" s="3479"/>
      <c r="F14" s="3480">
        <f>SUMIF(74:74,E14,75:75)-SUMIF(74:74,C14,75:75)+100</f>
        <v>100</v>
      </c>
      <c r="G14" s="3473"/>
      <c r="H14" s="3480">
        <f>SUMIF(74:74,G14,75:75)-SUMIF(74:74,C14,75:75)+100</f>
        <v>100</v>
      </c>
      <c r="I14" s="3472"/>
      <c r="J14" s="3480">
        <f>SUMIF(74:74,I14,75:75)-SUMIF(74:74,C14,75:75)+100</f>
        <v>100</v>
      </c>
      <c r="K14" s="3474"/>
      <c r="L14" s="3476"/>
      <c r="M14" s="3422"/>
      <c r="N14" s="3422"/>
      <c r="O14" s="3467"/>
      <c r="P14" s="4115"/>
      <c r="Q14" s="3453">
        <f t="shared" si="6"/>
        <v>111</v>
      </c>
      <c r="R14" s="3438" t="s">
        <v>8</v>
      </c>
      <c r="S14" s="3439">
        <f t="shared" si="0"/>
        <v>100</v>
      </c>
      <c r="T14" s="3438" t="s">
        <v>8</v>
      </c>
      <c r="U14" s="3439">
        <f t="shared" si="1"/>
        <v>100</v>
      </c>
      <c r="V14" s="3438" t="s">
        <v>8</v>
      </c>
      <c r="W14" s="3439">
        <f t="shared" si="2"/>
        <v>100</v>
      </c>
      <c r="X14" s="3440"/>
      <c r="Y14" s="4116"/>
      <c r="Z14" s="3441">
        <f t="shared" si="7"/>
        <v>111</v>
      </c>
      <c r="AA14" s="3441">
        <f t="shared" si="3"/>
        <v>1</v>
      </c>
      <c r="AB14" s="3441">
        <f t="shared" si="4"/>
        <v>1</v>
      </c>
      <c r="AC14" s="3441">
        <f t="shared" si="5"/>
        <v>1</v>
      </c>
    </row>
    <row r="15" spans="1:29" ht="57">
      <c r="A15" s="3481" t="s">
        <v>3179</v>
      </c>
      <c r="B15" s="3482" t="s">
        <v>576</v>
      </c>
      <c r="C15" s="3483" t="str">
        <f>[3]估价对象房地状况!C4</f>
        <v>估价对象位于XX商圈，周边商业氛围成熟，人流量大，商业繁华度好</v>
      </c>
      <c r="D15" s="3484">
        <v>100</v>
      </c>
      <c r="E15" s="3485"/>
      <c r="F15" s="3486">
        <f>SUMIF(76:76,E16,77:77)-SUMIF(76:76,C16,77:77)+100</f>
        <v>98</v>
      </c>
      <c r="G15" s="3487"/>
      <c r="H15" s="3484">
        <f>SUMIF(76:76,G16,77:77)-SUMIF(76:76,C16,77:77)+100</f>
        <v>98</v>
      </c>
      <c r="I15" s="3485"/>
      <c r="J15" s="3484">
        <f>SUMIF(76:76,I16,77:77)-SUMIF(76:76,C16,77:77)+100</f>
        <v>98</v>
      </c>
      <c r="K15" s="3488">
        <v>2</v>
      </c>
      <c r="L15" s="3476"/>
      <c r="M15" s="3422"/>
      <c r="N15" s="3422"/>
      <c r="O15" s="3467"/>
      <c r="P15" s="4117" t="s">
        <v>532</v>
      </c>
      <c r="Q15" s="3489" t="str">
        <f t="shared" si="6"/>
        <v>商业繁华度</v>
      </c>
      <c r="R15" s="3490" t="s">
        <v>8</v>
      </c>
      <c r="S15" s="3491">
        <f t="shared" si="0"/>
        <v>98</v>
      </c>
      <c r="T15" s="3490" t="s">
        <v>8</v>
      </c>
      <c r="U15" s="3491">
        <f t="shared" si="1"/>
        <v>98</v>
      </c>
      <c r="V15" s="3490" t="s">
        <v>8</v>
      </c>
      <c r="W15" s="3491">
        <f t="shared" si="2"/>
        <v>98</v>
      </c>
      <c r="X15" s="3423"/>
      <c r="Y15" s="4117" t="s">
        <v>532</v>
      </c>
      <c r="Z15" s="3492" t="str">
        <f t="shared" si="7"/>
        <v>商业繁华度</v>
      </c>
      <c r="AA15" s="3492">
        <f t="shared" si="3"/>
        <v>1.0204081632653061</v>
      </c>
      <c r="AB15" s="3492">
        <f t="shared" si="4"/>
        <v>1.0204081632653061</v>
      </c>
      <c r="AC15" s="3492">
        <f t="shared" si="5"/>
        <v>1.0204081632653061</v>
      </c>
    </row>
    <row r="16" spans="1:29" ht="15">
      <c r="A16" s="3493"/>
      <c r="B16" s="3494"/>
      <c r="C16" s="3495" t="s">
        <v>3071</v>
      </c>
      <c r="D16" s="3496"/>
      <c r="E16" s="3495" t="s">
        <v>3070</v>
      </c>
      <c r="F16" s="3497"/>
      <c r="G16" s="3495" t="s">
        <v>3070</v>
      </c>
      <c r="H16" s="3498"/>
      <c r="I16" s="3495" t="s">
        <v>3070</v>
      </c>
      <c r="J16" s="3496"/>
      <c r="K16" s="3499"/>
      <c r="L16" s="3476"/>
      <c r="M16" s="3422"/>
      <c r="N16" s="3422"/>
      <c r="O16" s="3467"/>
      <c r="P16" s="4118"/>
      <c r="Q16" s="3489"/>
      <c r="R16" s="3490"/>
      <c r="S16" s="3491"/>
      <c r="T16" s="3490"/>
      <c r="U16" s="3491"/>
      <c r="V16" s="3490"/>
      <c r="W16" s="3491"/>
      <c r="X16" s="3423"/>
      <c r="Y16" s="4118"/>
      <c r="Z16" s="3492"/>
      <c r="AA16" s="3492">
        <v>1</v>
      </c>
      <c r="AB16" s="3492">
        <v>1</v>
      </c>
      <c r="AC16" s="3492">
        <v>1</v>
      </c>
    </row>
    <row r="17" spans="1:29" ht="71.25">
      <c r="A17" s="3493"/>
      <c r="B17" s="3500" t="s">
        <v>294</v>
      </c>
      <c r="C17" s="3501" t="str">
        <f>[3]估价对象房地状况!C6</f>
        <v>估价对象周边道路状况、公共交通通达情况、停车便捷程度，综合评价交通便捷度较好</v>
      </c>
      <c r="D17" s="3498">
        <v>100</v>
      </c>
      <c r="E17" s="3502"/>
      <c r="F17" s="3503">
        <f>SUMIF(78:78,E18,79:79)-SUMIF(78:78,C18,79:79)+100</f>
        <v>102</v>
      </c>
      <c r="G17" s="3504"/>
      <c r="H17" s="3505">
        <f>SUMIF(78:78,G18,79:79)-SUMIF(78:78,C18,79:79)+100</f>
        <v>102</v>
      </c>
      <c r="I17" s="3502"/>
      <c r="J17" s="3505">
        <f>SUMIF(78:78,I18,79:79)-SUMIF(78:78,C18,79:79)+100</f>
        <v>102</v>
      </c>
      <c r="K17" s="3488">
        <v>2</v>
      </c>
      <c r="L17" s="3476"/>
      <c r="M17" s="3422"/>
      <c r="N17" s="3422"/>
      <c r="O17" s="3467"/>
      <c r="P17" s="4118"/>
      <c r="Q17" s="3489" t="str">
        <f>B17</f>
        <v>交通便捷度</v>
      </c>
      <c r="R17" s="3490" t="s">
        <v>8</v>
      </c>
      <c r="S17" s="3491">
        <f>F17</f>
        <v>102</v>
      </c>
      <c r="T17" s="3490" t="s">
        <v>8</v>
      </c>
      <c r="U17" s="3491">
        <f>H17</f>
        <v>102</v>
      </c>
      <c r="V17" s="3490" t="s">
        <v>8</v>
      </c>
      <c r="W17" s="3491">
        <f>J17</f>
        <v>102</v>
      </c>
      <c r="X17" s="3423"/>
      <c r="Y17" s="4118"/>
      <c r="Z17" s="3492" t="str">
        <f>Q17</f>
        <v>交通便捷度</v>
      </c>
      <c r="AA17" s="3492">
        <f t="shared" si="3"/>
        <v>0.98039215686274506</v>
      </c>
      <c r="AB17" s="3492">
        <f t="shared" si="4"/>
        <v>0.98039215686274506</v>
      </c>
      <c r="AC17" s="3492">
        <f t="shared" si="5"/>
        <v>0.98039215686274506</v>
      </c>
    </row>
    <row r="18" spans="1:29" ht="15">
      <c r="A18" s="3493"/>
      <c r="B18" s="3506"/>
      <c r="C18" s="3507" t="s">
        <v>3070</v>
      </c>
      <c r="D18" s="3498"/>
      <c r="E18" s="3508" t="s">
        <v>3071</v>
      </c>
      <c r="F18" s="3503"/>
      <c r="G18" s="3509" t="s">
        <v>3071</v>
      </c>
      <c r="H18" s="3496"/>
      <c r="I18" s="3508" t="s">
        <v>3071</v>
      </c>
      <c r="J18" s="3496"/>
      <c r="K18" s="3499"/>
      <c r="L18" s="3476"/>
      <c r="M18" s="3422"/>
      <c r="N18" s="3422"/>
      <c r="O18" s="3467"/>
      <c r="P18" s="4118"/>
      <c r="Q18" s="3489"/>
      <c r="R18" s="3490"/>
      <c r="S18" s="3491"/>
      <c r="T18" s="3490"/>
      <c r="U18" s="3491"/>
      <c r="V18" s="3490"/>
      <c r="W18" s="3491"/>
      <c r="X18" s="3423"/>
      <c r="Y18" s="4118"/>
      <c r="Z18" s="3492"/>
      <c r="AA18" s="3492">
        <v>1</v>
      </c>
      <c r="AB18" s="3492">
        <v>1</v>
      </c>
      <c r="AC18" s="3492">
        <v>1</v>
      </c>
    </row>
    <row r="19" spans="1:29" ht="28.5">
      <c r="A19" s="3493"/>
      <c r="B19" s="3510" t="s">
        <v>2302</v>
      </c>
      <c r="C19" s="3501" t="str">
        <f>[3]估价对象房地状况!C7</f>
        <v>估价对象所在区域公共配套设施齐备情况</v>
      </c>
      <c r="D19" s="3505">
        <v>100</v>
      </c>
      <c r="E19" s="3511"/>
      <c r="F19" s="3512">
        <f>SUMIF(80:80,E20,81:81)-SUMIF(80:80,C20,81:81)+100</f>
        <v>100</v>
      </c>
      <c r="G19" s="3513"/>
      <c r="H19" s="3498">
        <f>SUMIF(80:80,G20,81:81)-SUMIF(80:80,C20,81:81)+100</f>
        <v>100</v>
      </c>
      <c r="I19" s="3511"/>
      <c r="J19" s="3498">
        <f>SUMIF(80:80,I20,81:81)-SUMIF(80:80,C20,81:81)+100</f>
        <v>100</v>
      </c>
      <c r="K19" s="3488">
        <v>2</v>
      </c>
      <c r="L19" s="3476"/>
      <c r="M19" s="3422"/>
      <c r="N19" s="3422"/>
      <c r="O19" s="3467"/>
      <c r="P19" s="4118"/>
      <c r="Q19" s="3489" t="str">
        <f>B19</f>
        <v>公共配套设施</v>
      </c>
      <c r="R19" s="3490" t="s">
        <v>8</v>
      </c>
      <c r="S19" s="3491">
        <f>F19</f>
        <v>100</v>
      </c>
      <c r="T19" s="3490" t="s">
        <v>8</v>
      </c>
      <c r="U19" s="3491">
        <f>H19</f>
        <v>100</v>
      </c>
      <c r="V19" s="3490" t="s">
        <v>8</v>
      </c>
      <c r="W19" s="3491">
        <f>J19</f>
        <v>100</v>
      </c>
      <c r="X19" s="3423"/>
      <c r="Y19" s="4118"/>
      <c r="Z19" s="3492" t="str">
        <f>Q19</f>
        <v>公共配套设施</v>
      </c>
      <c r="AA19" s="3492">
        <f t="shared" si="3"/>
        <v>1</v>
      </c>
      <c r="AB19" s="3492">
        <f t="shared" si="4"/>
        <v>1</v>
      </c>
      <c r="AC19" s="3492">
        <f t="shared" si="5"/>
        <v>1</v>
      </c>
    </row>
    <row r="20" spans="1:29" ht="15">
      <c r="A20" s="3493"/>
      <c r="B20" s="3506"/>
      <c r="C20" s="3495" t="s">
        <v>3071</v>
      </c>
      <c r="D20" s="3496"/>
      <c r="E20" s="3514" t="s">
        <v>3071</v>
      </c>
      <c r="F20" s="3497"/>
      <c r="G20" s="3515" t="s">
        <v>3071</v>
      </c>
      <c r="H20" s="3496"/>
      <c r="I20" s="3514" t="s">
        <v>3071</v>
      </c>
      <c r="J20" s="3496"/>
      <c r="K20" s="3499"/>
      <c r="L20" s="3476"/>
      <c r="M20" s="3422"/>
      <c r="N20" s="3422"/>
      <c r="O20" s="3467"/>
      <c r="P20" s="4118"/>
      <c r="Q20" s="3489"/>
      <c r="R20" s="3490"/>
      <c r="S20" s="3491"/>
      <c r="T20" s="3490"/>
      <c r="U20" s="3491"/>
      <c r="V20" s="3490"/>
      <c r="W20" s="3491"/>
      <c r="X20" s="3423"/>
      <c r="Y20" s="4118"/>
      <c r="Z20" s="3492"/>
      <c r="AA20" s="3492">
        <v>1</v>
      </c>
      <c r="AB20" s="3492">
        <v>1</v>
      </c>
      <c r="AC20" s="3492">
        <v>1</v>
      </c>
    </row>
    <row r="21" spans="1:29" ht="28.5">
      <c r="A21" s="3493"/>
      <c r="B21" s="3516" t="s">
        <v>3180</v>
      </c>
      <c r="C21" s="3501" t="str">
        <f>[3]估价对象房地状况!C8</f>
        <v>估价对象所在区域基础设施水平</v>
      </c>
      <c r="D21" s="3505">
        <v>100</v>
      </c>
      <c r="E21" s="3513"/>
      <c r="F21" s="3512">
        <f>SUMIF(82:82,E22,83:83)-SUMIF(82:82,C22,83:83)+100</f>
        <v>100</v>
      </c>
      <c r="G21" s="3513"/>
      <c r="H21" s="3505">
        <f>SUMIF(82:82,G22,83:83)-SUMIF(82:82,C22,83:83)+100</f>
        <v>100</v>
      </c>
      <c r="I21" s="3511"/>
      <c r="J21" s="3505">
        <f>SUMIF(82:82,I22,83:83)-SUMIF(82:82,C22,83:83)+100</f>
        <v>100</v>
      </c>
      <c r="K21" s="3488"/>
      <c r="L21" s="3476"/>
      <c r="M21" s="3422"/>
      <c r="N21" s="3422"/>
      <c r="O21" s="3467"/>
      <c r="P21" s="4118"/>
      <c r="Q21" s="3489" t="str">
        <f>B21</f>
        <v>基础设施水平</v>
      </c>
      <c r="R21" s="3490" t="s">
        <v>8</v>
      </c>
      <c r="S21" s="3491">
        <f>F21</f>
        <v>100</v>
      </c>
      <c r="T21" s="3490" t="s">
        <v>8</v>
      </c>
      <c r="U21" s="3491">
        <f>H21</f>
        <v>100</v>
      </c>
      <c r="V21" s="3490" t="s">
        <v>8</v>
      </c>
      <c r="W21" s="3491">
        <f>J21</f>
        <v>100</v>
      </c>
      <c r="X21" s="3423"/>
      <c r="Y21" s="4118"/>
      <c r="Z21" s="3492" t="str">
        <f>Q21</f>
        <v>基础设施水平</v>
      </c>
      <c r="AA21" s="3492">
        <f t="shared" ref="AA21" si="8">D21/F21</f>
        <v>1</v>
      </c>
      <c r="AB21" s="3492">
        <f t="shared" ref="AB21" si="9">D21/H21</f>
        <v>1</v>
      </c>
      <c r="AC21" s="3492">
        <f t="shared" ref="AC21" si="10">D21/J21</f>
        <v>1</v>
      </c>
    </row>
    <row r="22" spans="1:29" ht="15">
      <c r="A22" s="3493"/>
      <c r="B22" s="3517"/>
      <c r="C22" s="3507" t="s">
        <v>3078</v>
      </c>
      <c r="D22" s="3496"/>
      <c r="E22" s="3495" t="s">
        <v>3078</v>
      </c>
      <c r="F22" s="3497"/>
      <c r="G22" s="3495" t="s">
        <v>3078</v>
      </c>
      <c r="H22" s="3496"/>
      <c r="I22" s="3495" t="s">
        <v>3078</v>
      </c>
      <c r="J22" s="3496"/>
      <c r="K22" s="3518"/>
      <c r="L22" s="3476"/>
      <c r="M22" s="3422"/>
      <c r="N22" s="3422"/>
      <c r="O22" s="3467"/>
      <c r="P22" s="4118"/>
      <c r="Q22" s="3489"/>
      <c r="R22" s="3490"/>
      <c r="S22" s="3491"/>
      <c r="T22" s="3490"/>
      <c r="U22" s="3491"/>
      <c r="V22" s="3490"/>
      <c r="W22" s="3491"/>
      <c r="X22" s="3423"/>
      <c r="Y22" s="4118"/>
      <c r="Z22" s="3492"/>
      <c r="AA22" s="3492">
        <v>1</v>
      </c>
      <c r="AB22" s="3492">
        <v>1</v>
      </c>
      <c r="AC22" s="3492">
        <v>1</v>
      </c>
    </row>
    <row r="23" spans="1:29" ht="42.75">
      <c r="A23" s="3493"/>
      <c r="B23" s="3500" t="s">
        <v>295</v>
      </c>
      <c r="C23" s="3519" t="str">
        <f>[3]估价对象房地状况!C9</f>
        <v>区域自然环境：；人文环境；综合评价环境状况一般</v>
      </c>
      <c r="D23" s="3498">
        <v>100</v>
      </c>
      <c r="E23" s="3502"/>
      <c r="F23" s="3503">
        <f>SUMIF(84:84,E24,85:85)-SUMIF(84:84,C24,85:85)+100</f>
        <v>98</v>
      </c>
      <c r="G23" s="3504"/>
      <c r="H23" s="3498">
        <f>SUMIF(84:84,G24,85:85)-SUMIF(84:84,C24,85:85)+100</f>
        <v>98</v>
      </c>
      <c r="I23" s="3502"/>
      <c r="J23" s="3498">
        <f>SUMIF(84:84,I24,85:85)-SUMIF(84:84,C24,85:85)+100</f>
        <v>98</v>
      </c>
      <c r="K23" s="3488">
        <v>1</v>
      </c>
      <c r="L23" s="3476"/>
      <c r="M23" s="3422"/>
      <c r="N23" s="3422"/>
      <c r="O23" s="3467"/>
      <c r="P23" s="4118"/>
      <c r="Q23" s="3489" t="str">
        <f>B23</f>
        <v>自然及人文环境</v>
      </c>
      <c r="R23" s="3490" t="s">
        <v>8</v>
      </c>
      <c r="S23" s="3491">
        <f>F23</f>
        <v>98</v>
      </c>
      <c r="T23" s="3490" t="s">
        <v>8</v>
      </c>
      <c r="U23" s="3491">
        <f>H23</f>
        <v>98</v>
      </c>
      <c r="V23" s="3490" t="s">
        <v>8</v>
      </c>
      <c r="W23" s="3491">
        <f>J23</f>
        <v>98</v>
      </c>
      <c r="X23" s="3423"/>
      <c r="Y23" s="4118"/>
      <c r="Z23" s="3492" t="str">
        <f>Q23</f>
        <v>自然及人文环境</v>
      </c>
      <c r="AA23" s="3492">
        <f t="shared" si="3"/>
        <v>1.0204081632653061</v>
      </c>
      <c r="AB23" s="3492">
        <f t="shared" si="4"/>
        <v>1.0204081632653061</v>
      </c>
      <c r="AC23" s="3492">
        <f t="shared" si="5"/>
        <v>1.0204081632653061</v>
      </c>
    </row>
    <row r="24" spans="1:29" ht="15">
      <c r="A24" s="3493"/>
      <c r="B24" s="3506"/>
      <c r="C24" s="3495" t="s">
        <v>3077</v>
      </c>
      <c r="D24" s="3496"/>
      <c r="E24" s="3514" t="s">
        <v>3070</v>
      </c>
      <c r="F24" s="3497"/>
      <c r="G24" s="3515" t="s">
        <v>3070</v>
      </c>
      <c r="H24" s="3496"/>
      <c r="I24" s="3514" t="s">
        <v>3070</v>
      </c>
      <c r="J24" s="3496"/>
      <c r="K24" s="3499"/>
      <c r="L24" s="3476"/>
      <c r="M24" s="3422"/>
      <c r="N24" s="3422"/>
      <c r="O24" s="3467"/>
      <c r="P24" s="4118"/>
      <c r="Q24" s="3489"/>
      <c r="R24" s="3490"/>
      <c r="S24" s="3491"/>
      <c r="T24" s="3490"/>
      <c r="U24" s="3491"/>
      <c r="V24" s="3490"/>
      <c r="W24" s="3491"/>
      <c r="X24" s="3423"/>
      <c r="Y24" s="4118"/>
      <c r="Z24" s="3492"/>
      <c r="AA24" s="3492">
        <v>1</v>
      </c>
      <c r="AB24" s="3492">
        <v>1</v>
      </c>
      <c r="AC24" s="3492">
        <v>1</v>
      </c>
    </row>
    <row r="25" spans="1:29" ht="15">
      <c r="A25" s="3493"/>
      <c r="B25" s="3520" t="s">
        <v>763</v>
      </c>
      <c r="C25" s="3521" t="s">
        <v>3083</v>
      </c>
      <c r="D25" s="3475">
        <v>100</v>
      </c>
      <c r="E25" s="3521" t="s">
        <v>3083</v>
      </c>
      <c r="F25" s="3522">
        <f>SUMIF(86:86,E25,87:87)-SUMIF(86:86,C25,87:87)+100</f>
        <v>100</v>
      </c>
      <c r="G25" s="3521" t="s">
        <v>3081</v>
      </c>
      <c r="H25" s="3475">
        <f>SUMIF(86:86,G25,87:87)-SUMIF(86:86,C25,87:87)+100</f>
        <v>101</v>
      </c>
      <c r="I25" s="3521" t="s">
        <v>3081</v>
      </c>
      <c r="J25" s="3475">
        <f>SUMIF(86:86,I25,87:87)-SUMIF(86:86,C25,87:87)+100</f>
        <v>101</v>
      </c>
      <c r="K25" s="3458">
        <v>1</v>
      </c>
      <c r="L25" s="3476"/>
      <c r="M25" s="3422"/>
      <c r="N25" s="3422"/>
      <c r="O25" s="3467"/>
      <c r="P25" s="4118"/>
      <c r="Q25" s="3489" t="str">
        <f t="shared" ref="Q25:Q46" si="11">B25</f>
        <v>临街状况</v>
      </c>
      <c r="R25" s="3490" t="s">
        <v>8</v>
      </c>
      <c r="S25" s="3491">
        <f>F25</f>
        <v>100</v>
      </c>
      <c r="T25" s="3490" t="s">
        <v>8</v>
      </c>
      <c r="U25" s="3491">
        <f>H25</f>
        <v>101</v>
      </c>
      <c r="V25" s="3490" t="s">
        <v>8</v>
      </c>
      <c r="W25" s="3491">
        <f>J25</f>
        <v>101</v>
      </c>
      <c r="X25" s="3423"/>
      <c r="Y25" s="4118"/>
      <c r="Z25" s="3492" t="str">
        <f>Q25</f>
        <v>临街状况</v>
      </c>
      <c r="AA25" s="3492">
        <f t="shared" si="3"/>
        <v>1</v>
      </c>
      <c r="AB25" s="3492">
        <f t="shared" si="4"/>
        <v>0.99009900990099009</v>
      </c>
      <c r="AC25" s="3492">
        <f t="shared" si="5"/>
        <v>0.99009900990099009</v>
      </c>
    </row>
    <row r="26" spans="1:29" ht="15">
      <c r="A26" s="3493"/>
      <c r="B26" s="3523" t="s">
        <v>3181</v>
      </c>
      <c r="C26" s="3472"/>
      <c r="D26" s="3475">
        <v>100</v>
      </c>
      <c r="E26" s="3472"/>
      <c r="F26" s="3522">
        <f>SUMIF(88:88,E26,89:89)-SUMIF(88:88,C26,89:89)+100</f>
        <v>100</v>
      </c>
      <c r="G26" s="3472"/>
      <c r="H26" s="3475">
        <f>SUMIF(88:88,G26,89:89)-SUMIF(88:88,C26,89:89)+100</f>
        <v>100</v>
      </c>
      <c r="I26" s="3472"/>
      <c r="J26" s="3475">
        <f>SUMIF(88:88,I26,89:89)-SUMIF(88:88,C26,89:89)+100</f>
        <v>100</v>
      </c>
      <c r="K26" s="3474"/>
      <c r="L26" s="3476"/>
      <c r="M26" s="3422"/>
      <c r="N26" s="3422"/>
      <c r="O26" s="3467"/>
      <c r="P26" s="4118"/>
      <c r="Q26" s="3489" t="str">
        <f t="shared" si="11"/>
        <v>平面位置/可视性</v>
      </c>
      <c r="R26" s="3490" t="s">
        <v>8</v>
      </c>
      <c r="S26" s="3491">
        <f>F26</f>
        <v>100</v>
      </c>
      <c r="T26" s="3490" t="s">
        <v>8</v>
      </c>
      <c r="U26" s="3491">
        <f>H26</f>
        <v>100</v>
      </c>
      <c r="V26" s="3490" t="s">
        <v>8</v>
      </c>
      <c r="W26" s="3491">
        <f>J26</f>
        <v>100</v>
      </c>
      <c r="X26" s="3423"/>
      <c r="Y26" s="4118"/>
      <c r="Z26" s="3492" t="str">
        <f>Q26</f>
        <v>平面位置/可视性</v>
      </c>
      <c r="AA26" s="3492">
        <f t="shared" si="3"/>
        <v>1</v>
      </c>
      <c r="AB26" s="3492">
        <f t="shared" si="4"/>
        <v>1</v>
      </c>
      <c r="AC26" s="3492">
        <f t="shared" si="5"/>
        <v>1</v>
      </c>
    </row>
    <row r="27" spans="1:29" s="3442" customFormat="1" ht="15">
      <c r="A27" s="3524"/>
      <c r="B27" s="3500" t="s">
        <v>3182</v>
      </c>
      <c r="C27" s="3525" t="s">
        <v>3088</v>
      </c>
      <c r="D27" s="3526">
        <v>100</v>
      </c>
      <c r="E27" s="3525" t="s">
        <v>3070</v>
      </c>
      <c r="F27" s="3506">
        <f>SUMIF(90:90,E27,91:91)-SUMIF(90:90,C27,91:91)+100</f>
        <v>98</v>
      </c>
      <c r="G27" s="3525" t="s">
        <v>3070</v>
      </c>
      <c r="H27" s="3526">
        <f>SUMIF(90:90,G27,91:91)-SUMIF(90:90,C27,91:91)+100</f>
        <v>98</v>
      </c>
      <c r="I27" s="3525" t="s">
        <v>3095</v>
      </c>
      <c r="J27" s="3526">
        <f>SUMIF(90:90,I27,91:91)-SUMIF(90:90,C27,91:91)+100</f>
        <v>99</v>
      </c>
      <c r="K27" s="3458">
        <v>1</v>
      </c>
      <c r="L27" s="3436"/>
      <c r="M27" s="3437"/>
      <c r="N27" s="3437"/>
      <c r="O27" s="3452"/>
      <c r="P27" s="4118"/>
      <c r="Q27" s="3453" t="str">
        <f t="shared" si="11"/>
        <v>人流量</v>
      </c>
      <c r="R27" s="3438" t="s">
        <v>8</v>
      </c>
      <c r="S27" s="3439">
        <f>F27</f>
        <v>98</v>
      </c>
      <c r="T27" s="3438" t="s">
        <v>8</v>
      </c>
      <c r="U27" s="3439">
        <f>H27</f>
        <v>98</v>
      </c>
      <c r="V27" s="3438" t="s">
        <v>8</v>
      </c>
      <c r="W27" s="3439">
        <f>J27</f>
        <v>99</v>
      </c>
      <c r="X27" s="3440"/>
      <c r="Y27" s="4118"/>
      <c r="Z27" s="3441" t="str">
        <f>Q27</f>
        <v>人流量</v>
      </c>
      <c r="AA27" s="3492">
        <f>D27/F27</f>
        <v>1.0204081632653061</v>
      </c>
      <c r="AB27" s="3492">
        <f>D27/H27</f>
        <v>1.0204081632653061</v>
      </c>
      <c r="AC27" s="3492">
        <f>D27/J27</f>
        <v>1.0101010101010102</v>
      </c>
    </row>
    <row r="28" spans="1:29" ht="15">
      <c r="A28" s="3493"/>
      <c r="B28" s="3520" t="s">
        <v>737</v>
      </c>
      <c r="C28" s="3521" t="s">
        <v>3100</v>
      </c>
      <c r="D28" s="3475">
        <v>100</v>
      </c>
      <c r="E28" s="3521" t="s">
        <v>3100</v>
      </c>
      <c r="F28" s="3522">
        <f>SUMIF(92:92,E28,93:93)-SUMIF(92:92,C28,93:93)+100</f>
        <v>100</v>
      </c>
      <c r="G28" s="3521" t="s">
        <v>3100</v>
      </c>
      <c r="H28" s="3475">
        <f>SUMIF(92:92,G28,93:93)-SUMIF(92:92,C28,93:93)+100</f>
        <v>100</v>
      </c>
      <c r="I28" s="3521" t="s">
        <v>3100</v>
      </c>
      <c r="J28" s="3475">
        <f>SUMIF(92:92,I28,93:93)-SUMIF(92:92,C28,93:93)+100</f>
        <v>100</v>
      </c>
      <c r="K28" s="3474"/>
      <c r="L28" s="3476"/>
      <c r="M28" s="3422"/>
      <c r="N28" s="3422"/>
      <c r="O28" s="3467"/>
      <c r="P28" s="4118"/>
      <c r="Q28" s="3489" t="str">
        <f t="shared" si="11"/>
        <v>楼层</v>
      </c>
      <c r="R28" s="3490" t="s">
        <v>8</v>
      </c>
      <c r="S28" s="3491">
        <f t="shared" ref="S28:S46" si="12">F28</f>
        <v>100</v>
      </c>
      <c r="T28" s="3490" t="s">
        <v>8</v>
      </c>
      <c r="U28" s="3491">
        <f t="shared" ref="U28:U46" si="13">H28</f>
        <v>100</v>
      </c>
      <c r="V28" s="3490" t="s">
        <v>8</v>
      </c>
      <c r="W28" s="3491">
        <f t="shared" ref="W28:W46" si="14">J28</f>
        <v>100</v>
      </c>
      <c r="X28" s="3423"/>
      <c r="Y28" s="4118"/>
      <c r="Z28" s="3492" t="str">
        <f t="shared" ref="Z28:Z46" si="15">Q28</f>
        <v>楼层</v>
      </c>
      <c r="AA28" s="3492">
        <f t="shared" si="3"/>
        <v>1</v>
      </c>
      <c r="AB28" s="3492">
        <f t="shared" si="4"/>
        <v>1</v>
      </c>
      <c r="AC28" s="3492">
        <f t="shared" si="5"/>
        <v>1</v>
      </c>
    </row>
    <row r="29" spans="1:29" ht="15">
      <c r="A29" s="3493"/>
      <c r="B29" s="3527" t="s">
        <v>3183</v>
      </c>
      <c r="C29" s="3528" t="s">
        <v>3184</v>
      </c>
      <c r="D29" s="3475">
        <v>100</v>
      </c>
      <c r="E29" s="3528" t="s">
        <v>3184</v>
      </c>
      <c r="F29" s="3522">
        <f>SUMIF(94:94,E29,95:95)-SUMIF(94:94,C29,95:95)+100</f>
        <v>100</v>
      </c>
      <c r="G29" s="3528" t="s">
        <v>3184</v>
      </c>
      <c r="H29" s="3475">
        <f>SUMIF(94:94,G29,95:95)-SUMIF(94:94,C29,95:95)+100</f>
        <v>100</v>
      </c>
      <c r="I29" s="3528" t="s">
        <v>3184</v>
      </c>
      <c r="J29" s="3475">
        <f>SUMIF(94:94,I29,95:95)-SUMIF(94:94,C29,95:95)+100</f>
        <v>100</v>
      </c>
      <c r="K29" s="3474"/>
      <c r="L29" s="3476"/>
      <c r="M29" s="3422"/>
      <c r="N29" s="3422"/>
      <c r="O29" s="3467"/>
      <c r="P29" s="4118"/>
      <c r="Q29" s="3489" t="str">
        <f t="shared" si="11"/>
        <v xml:space="preserve">临街 </v>
      </c>
      <c r="R29" s="3490" t="s">
        <v>8</v>
      </c>
      <c r="S29" s="3491">
        <f t="shared" si="12"/>
        <v>100</v>
      </c>
      <c r="T29" s="3490" t="s">
        <v>8</v>
      </c>
      <c r="U29" s="3491">
        <f t="shared" si="13"/>
        <v>100</v>
      </c>
      <c r="V29" s="3490" t="s">
        <v>8</v>
      </c>
      <c r="W29" s="3491">
        <f t="shared" si="14"/>
        <v>100</v>
      </c>
      <c r="X29" s="3423"/>
      <c r="Y29" s="4118"/>
      <c r="Z29" s="3492" t="str">
        <f t="shared" si="15"/>
        <v xml:space="preserve">临街 </v>
      </c>
      <c r="AA29" s="3492">
        <f t="shared" si="3"/>
        <v>1</v>
      </c>
      <c r="AB29" s="3492">
        <f t="shared" si="4"/>
        <v>1</v>
      </c>
      <c r="AC29" s="3492">
        <f t="shared" si="5"/>
        <v>1</v>
      </c>
    </row>
    <row r="30" spans="1:29" ht="15">
      <c r="A30" s="3493"/>
      <c r="B30" s="3523">
        <v>111</v>
      </c>
      <c r="C30" s="3472"/>
      <c r="D30" s="3475">
        <v>100</v>
      </c>
      <c r="E30" s="3472"/>
      <c r="F30" s="3522">
        <f>SUMIF(96:96,E30,97:97)-SUMIF(96:96,C30,97:97)+100</f>
        <v>100</v>
      </c>
      <c r="G30" s="3472"/>
      <c r="H30" s="3475">
        <f>SUMIF(96:96,G30,97:97)-SUMIF(96:96,C30,97:97)+100</f>
        <v>100</v>
      </c>
      <c r="I30" s="3472"/>
      <c r="J30" s="3475">
        <f>SUMIF(96:96,I30,97:97)-SUMIF(96:96,C30,97:97)+100</f>
        <v>100</v>
      </c>
      <c r="K30" s="3474"/>
      <c r="L30" s="3476"/>
      <c r="M30" s="3422"/>
      <c r="N30" s="3422"/>
      <c r="O30" s="3467"/>
      <c r="P30" s="4118"/>
      <c r="Q30" s="3489">
        <f t="shared" si="11"/>
        <v>111</v>
      </c>
      <c r="R30" s="3490" t="s">
        <v>8</v>
      </c>
      <c r="S30" s="3491">
        <f t="shared" si="12"/>
        <v>100</v>
      </c>
      <c r="T30" s="3490" t="s">
        <v>8</v>
      </c>
      <c r="U30" s="3491">
        <f t="shared" si="13"/>
        <v>100</v>
      </c>
      <c r="V30" s="3490" t="s">
        <v>8</v>
      </c>
      <c r="W30" s="3491">
        <f t="shared" si="14"/>
        <v>100</v>
      </c>
      <c r="X30" s="3423"/>
      <c r="Y30" s="4118"/>
      <c r="Z30" s="3492">
        <f t="shared" si="15"/>
        <v>111</v>
      </c>
      <c r="AA30" s="3492">
        <f t="shared" si="3"/>
        <v>1</v>
      </c>
      <c r="AB30" s="3492">
        <f t="shared" si="4"/>
        <v>1</v>
      </c>
      <c r="AC30" s="3492">
        <f t="shared" si="5"/>
        <v>1</v>
      </c>
    </row>
    <row r="31" spans="1:29" ht="15.75" thickBot="1">
      <c r="A31" s="3529"/>
      <c r="B31" s="3523">
        <v>111</v>
      </c>
      <c r="C31" s="3479"/>
      <c r="D31" s="3480">
        <v>100</v>
      </c>
      <c r="E31" s="3472"/>
      <c r="F31" s="3530">
        <f>SUMIF(98:98,E31,99:99)-SUMIF(98:98,C31,99:99)+100</f>
        <v>100</v>
      </c>
      <c r="G31" s="3472"/>
      <c r="H31" s="3480">
        <f>SUMIF(98:98,G31,99:99)-SUMIF(98:98,C31,99:99)+100</f>
        <v>100</v>
      </c>
      <c r="I31" s="3472"/>
      <c r="J31" s="3480">
        <f>SUMIF(98:98,I31,99:99)-SUMIF(98:98,C31,99:99)+100</f>
        <v>100</v>
      </c>
      <c r="K31" s="3474"/>
      <c r="L31" s="3476"/>
      <c r="M31" s="3422"/>
      <c r="N31" s="3422"/>
      <c r="O31" s="3467"/>
      <c r="P31" s="4118"/>
      <c r="Q31" s="3489">
        <f t="shared" si="11"/>
        <v>111</v>
      </c>
      <c r="R31" s="3490" t="s">
        <v>8</v>
      </c>
      <c r="S31" s="3491">
        <f t="shared" si="12"/>
        <v>100</v>
      </c>
      <c r="T31" s="3490" t="s">
        <v>8</v>
      </c>
      <c r="U31" s="3491">
        <f t="shared" si="13"/>
        <v>100</v>
      </c>
      <c r="V31" s="3490" t="s">
        <v>8</v>
      </c>
      <c r="W31" s="3491">
        <f t="shared" si="14"/>
        <v>100</v>
      </c>
      <c r="X31" s="3423"/>
      <c r="Y31" s="4118"/>
      <c r="Z31" s="3492">
        <f t="shared" si="15"/>
        <v>111</v>
      </c>
      <c r="AA31" s="3492">
        <f t="shared" si="3"/>
        <v>1</v>
      </c>
      <c r="AB31" s="3492">
        <f t="shared" si="4"/>
        <v>1</v>
      </c>
      <c r="AC31" s="3492">
        <f t="shared" si="5"/>
        <v>1</v>
      </c>
    </row>
    <row r="32" spans="1:29" ht="15">
      <c r="A32" s="3531" t="s">
        <v>3185</v>
      </c>
      <c r="B32" s="3532" t="s">
        <v>764</v>
      </c>
      <c r="C32" s="3758" t="s">
        <v>3222</v>
      </c>
      <c r="D32" s="3534">
        <v>100</v>
      </c>
      <c r="E32" s="3533" t="s">
        <v>3105</v>
      </c>
      <c r="F32" s="3522">
        <f>SUMIF(100:100,E32,101:101)-SUMIF(100:100,C32,101:101)+100</f>
        <v>99</v>
      </c>
      <c r="G32" s="3533" t="s">
        <v>3105</v>
      </c>
      <c r="H32" s="3475">
        <f>SUMIF(100:100,G32,101:101)-SUMIF(100:100,C32,101:101)+100</f>
        <v>99</v>
      </c>
      <c r="I32" s="3533" t="s">
        <v>3105</v>
      </c>
      <c r="J32" s="3534">
        <f>SUMIF(100:100,I32,101:101)-SUMIF(100:100,C32,101:101)+100</f>
        <v>99</v>
      </c>
      <c r="K32" s="3458">
        <v>1</v>
      </c>
      <c r="L32" s="3476"/>
      <c r="M32" s="3422"/>
      <c r="N32" s="3422"/>
      <c r="O32" s="3467"/>
      <c r="P32" s="4119" t="s">
        <v>542</v>
      </c>
      <c r="Q32" s="3489" t="str">
        <f t="shared" si="11"/>
        <v>商业类型</v>
      </c>
      <c r="R32" s="3490" t="s">
        <v>8</v>
      </c>
      <c r="S32" s="3491">
        <f t="shared" si="12"/>
        <v>99</v>
      </c>
      <c r="T32" s="3490" t="s">
        <v>8</v>
      </c>
      <c r="U32" s="3491">
        <f t="shared" si="13"/>
        <v>99</v>
      </c>
      <c r="V32" s="3490" t="s">
        <v>8</v>
      </c>
      <c r="W32" s="3491">
        <f t="shared" si="14"/>
        <v>99</v>
      </c>
      <c r="X32" s="3423"/>
      <c r="Y32" s="4120" t="s">
        <v>542</v>
      </c>
      <c r="Z32" s="3492" t="str">
        <f t="shared" si="15"/>
        <v>商业类型</v>
      </c>
      <c r="AA32" s="3492">
        <f t="shared" si="3"/>
        <v>1.0101010101010102</v>
      </c>
      <c r="AB32" s="3492">
        <f t="shared" si="4"/>
        <v>1.0101010101010102</v>
      </c>
      <c r="AC32" s="3492">
        <f t="shared" si="5"/>
        <v>1.0101010101010102</v>
      </c>
    </row>
    <row r="33" spans="1:29" s="3544" customFormat="1" ht="15">
      <c r="A33" s="3535"/>
      <c r="B33" s="3520" t="s">
        <v>718</v>
      </c>
      <c r="C33" s="3536">
        <f>'数据-汇总表'!F20</f>
        <v>302100</v>
      </c>
      <c r="D33" s="3456">
        <v>100</v>
      </c>
      <c r="E33" s="3465">
        <v>165</v>
      </c>
      <c r="F33" s="3520">
        <f>LOOKUP(E33,103:103,104:104)-LOOKUP(C33,103:103,104:104)+100</f>
        <v>102</v>
      </c>
      <c r="G33" s="3464">
        <v>167</v>
      </c>
      <c r="H33" s="3456">
        <f>LOOKUP(G33,103:103,104:104)-LOOKUP(C33,103:103,104:104)+100</f>
        <v>102</v>
      </c>
      <c r="I33" s="3464">
        <v>223.3</v>
      </c>
      <c r="J33" s="3456">
        <f>LOOKUP(I33,103:103,104:104)-LOOKUP(C33,103:103,104:104)+100</f>
        <v>102</v>
      </c>
      <c r="K33" s="3474"/>
      <c r="L33" s="3466"/>
      <c r="M33" s="3537"/>
      <c r="N33" s="3537"/>
      <c r="O33" s="3538"/>
      <c r="P33" s="4120"/>
      <c r="Q33" s="3539" t="str">
        <f t="shared" si="11"/>
        <v>项目建筑规模</v>
      </c>
      <c r="R33" s="3540" t="s">
        <v>8</v>
      </c>
      <c r="S33" s="3541">
        <f t="shared" si="12"/>
        <v>102</v>
      </c>
      <c r="T33" s="3540" t="s">
        <v>8</v>
      </c>
      <c r="U33" s="3541">
        <f t="shared" si="13"/>
        <v>102</v>
      </c>
      <c r="V33" s="3540" t="s">
        <v>8</v>
      </c>
      <c r="W33" s="3541">
        <f t="shared" si="14"/>
        <v>102</v>
      </c>
      <c r="X33" s="3542"/>
      <c r="Y33" s="4120"/>
      <c r="Z33" s="3543" t="str">
        <f t="shared" si="15"/>
        <v>项目建筑规模</v>
      </c>
      <c r="AA33" s="3492">
        <f t="shared" si="3"/>
        <v>0.98039215686274506</v>
      </c>
      <c r="AB33" s="3492">
        <f t="shared" si="4"/>
        <v>0.98039215686274506</v>
      </c>
      <c r="AC33" s="3492">
        <f t="shared" si="5"/>
        <v>0.98039215686274506</v>
      </c>
    </row>
    <row r="34" spans="1:29" ht="15">
      <c r="A34" s="3545"/>
      <c r="B34" s="3520" t="s">
        <v>719</v>
      </c>
      <c r="C34" s="3546"/>
      <c r="D34" s="3475">
        <v>100</v>
      </c>
      <c r="E34" s="3547"/>
      <c r="F34" s="3522">
        <f>SUMIF(105:105,E34,106:106)-SUMIF(105:105,C34,106:106)+100</f>
        <v>100</v>
      </c>
      <c r="G34" s="3546"/>
      <c r="H34" s="3475">
        <f>SUMIF(105:105,G34,106:106)-SUMIF(105:105,C34,106:106)+100</f>
        <v>100</v>
      </c>
      <c r="I34" s="3546"/>
      <c r="J34" s="3475">
        <f>SUMIF(105:105,I34,106:106)-SUMIF(105:105,C34,106:106)+100</f>
        <v>100</v>
      </c>
      <c r="K34" s="3458"/>
      <c r="L34" s="3476"/>
      <c r="M34" s="3422"/>
      <c r="N34" s="3422"/>
      <c r="O34" s="3467"/>
      <c r="P34" s="4120"/>
      <c r="Q34" s="3489" t="str">
        <f t="shared" si="11"/>
        <v>建筑结构</v>
      </c>
      <c r="R34" s="3490" t="s">
        <v>8</v>
      </c>
      <c r="S34" s="3491">
        <f t="shared" si="12"/>
        <v>100</v>
      </c>
      <c r="T34" s="3490" t="s">
        <v>8</v>
      </c>
      <c r="U34" s="3491">
        <f t="shared" si="13"/>
        <v>100</v>
      </c>
      <c r="V34" s="3490" t="s">
        <v>8</v>
      </c>
      <c r="W34" s="3491">
        <f t="shared" si="14"/>
        <v>100</v>
      </c>
      <c r="X34" s="3423"/>
      <c r="Y34" s="4120"/>
      <c r="Z34" s="3492" t="str">
        <f t="shared" si="15"/>
        <v>建筑结构</v>
      </c>
      <c r="AA34" s="3492">
        <f t="shared" si="3"/>
        <v>1</v>
      </c>
      <c r="AB34" s="3492">
        <f t="shared" si="4"/>
        <v>1</v>
      </c>
      <c r="AC34" s="3492">
        <f t="shared" si="5"/>
        <v>1</v>
      </c>
    </row>
    <row r="35" spans="1:29" ht="15">
      <c r="A35" s="3545"/>
      <c r="B35" s="3520" t="s">
        <v>743</v>
      </c>
      <c r="C35" s="3548"/>
      <c r="D35" s="3475">
        <v>100</v>
      </c>
      <c r="E35" s="3548"/>
      <c r="F35" s="3522">
        <f>SUMIF(107:107,E35,108:108)-SUMIF(107:107,C35,108:108)+100</f>
        <v>100</v>
      </c>
      <c r="G35" s="3548"/>
      <c r="H35" s="3475">
        <f>SUMIF(107:107,G35,108:108)-SUMIF(107:107,C35,108:108)+100</f>
        <v>100</v>
      </c>
      <c r="I35" s="3548"/>
      <c r="J35" s="3475">
        <f>SUMIF(107:107,I35,108:108)-SUMIF(107:107,C35,108:108)+100</f>
        <v>100</v>
      </c>
      <c r="K35" s="3458"/>
      <c r="L35" s="3476"/>
      <c r="M35" s="3422"/>
      <c r="N35" s="3422"/>
      <c r="O35" s="3467"/>
      <c r="P35" s="4120"/>
      <c r="Q35" s="3489" t="str">
        <f t="shared" si="11"/>
        <v>公共部分装修</v>
      </c>
      <c r="R35" s="3490" t="s">
        <v>8</v>
      </c>
      <c r="S35" s="3491">
        <f t="shared" si="12"/>
        <v>100</v>
      </c>
      <c r="T35" s="3490" t="s">
        <v>8</v>
      </c>
      <c r="U35" s="3491">
        <f t="shared" si="13"/>
        <v>100</v>
      </c>
      <c r="V35" s="3490" t="s">
        <v>8</v>
      </c>
      <c r="W35" s="3491">
        <f t="shared" si="14"/>
        <v>100</v>
      </c>
      <c r="X35" s="3423"/>
      <c r="Y35" s="4120"/>
      <c r="Z35" s="3492" t="str">
        <f t="shared" si="15"/>
        <v>公共部分装修</v>
      </c>
      <c r="AA35" s="3492">
        <f t="shared" si="3"/>
        <v>1</v>
      </c>
      <c r="AB35" s="3492">
        <f t="shared" si="4"/>
        <v>1</v>
      </c>
      <c r="AC35" s="3492">
        <f t="shared" si="5"/>
        <v>1</v>
      </c>
    </row>
    <row r="36" spans="1:29" ht="15">
      <c r="A36" s="3545"/>
      <c r="B36" s="3520" t="s">
        <v>744</v>
      </c>
      <c r="C36" s="3549">
        <v>1</v>
      </c>
      <c r="D36" s="3475">
        <v>100</v>
      </c>
      <c r="E36" s="3549">
        <v>0.85</v>
      </c>
      <c r="F36" s="3522">
        <f>LOOKUP(E36,110:110,111:111)-LOOKUP(C36,110:110,111:111)+100</f>
        <v>98</v>
      </c>
      <c r="G36" s="3549">
        <v>0.85</v>
      </c>
      <c r="H36" s="3522">
        <f>LOOKUP(G36,110:110,111:111)-LOOKUP(C36,110:110,111:111)+100</f>
        <v>98</v>
      </c>
      <c r="I36" s="3549">
        <v>0.85</v>
      </c>
      <c r="J36" s="3475">
        <f>LOOKUP(I36,110:110,111:111)-LOOKUP(C36,110:110,111:111)+100</f>
        <v>98</v>
      </c>
      <c r="K36" s="3458">
        <v>2</v>
      </c>
      <c r="L36" s="3476"/>
      <c r="M36" s="3422"/>
      <c r="N36" s="3422"/>
      <c r="O36" s="3467"/>
      <c r="P36" s="4120"/>
      <c r="Q36" s="3489" t="str">
        <f t="shared" si="11"/>
        <v>成新度</v>
      </c>
      <c r="R36" s="3490" t="s">
        <v>8</v>
      </c>
      <c r="S36" s="3491">
        <f t="shared" si="12"/>
        <v>98</v>
      </c>
      <c r="T36" s="3490" t="s">
        <v>8</v>
      </c>
      <c r="U36" s="3491">
        <f t="shared" si="13"/>
        <v>98</v>
      </c>
      <c r="V36" s="3490" t="s">
        <v>8</v>
      </c>
      <c r="W36" s="3491">
        <f t="shared" si="14"/>
        <v>98</v>
      </c>
      <c r="X36" s="3423"/>
      <c r="Y36" s="4120"/>
      <c r="Z36" s="3492" t="str">
        <f t="shared" si="15"/>
        <v>成新度</v>
      </c>
      <c r="AA36" s="3492">
        <f t="shared" si="3"/>
        <v>1.0204081632653061</v>
      </c>
      <c r="AB36" s="3492">
        <f t="shared" si="4"/>
        <v>1.0204081632653061</v>
      </c>
      <c r="AC36" s="3492">
        <f t="shared" si="5"/>
        <v>1.0204081632653061</v>
      </c>
    </row>
    <row r="37" spans="1:29" s="3442" customFormat="1" ht="15">
      <c r="A37" s="3550"/>
      <c r="B37" s="3551" t="s">
        <v>2535</v>
      </c>
      <c r="C37" s="3548"/>
      <c r="D37" s="3456">
        <v>100</v>
      </c>
      <c r="E37" s="3548"/>
      <c r="F37" s="3522">
        <f>SUMIF(112:112,E37,113:113)-SUMIF(112:112,C37,113:113)+100</f>
        <v>100</v>
      </c>
      <c r="G37" s="3548"/>
      <c r="H37" s="3475">
        <f>SUMIF(112:112,G37,113:113)-SUMIF(112:112,C37,113:113)+100</f>
        <v>100</v>
      </c>
      <c r="I37" s="3548"/>
      <c r="J37" s="3475">
        <f>SUMIF(112:112,I37,113:113)-SUMIF(112:112,C37,113:113)+100</f>
        <v>100</v>
      </c>
      <c r="K37" s="3458"/>
      <c r="L37" s="3436"/>
      <c r="M37" s="3437"/>
      <c r="N37" s="3437"/>
      <c r="O37" s="3452"/>
      <c r="P37" s="4120"/>
      <c r="Q37" s="3453" t="str">
        <f t="shared" si="11"/>
        <v>市政基础设施</v>
      </c>
      <c r="R37" s="3438" t="s">
        <v>8</v>
      </c>
      <c r="S37" s="3439">
        <f t="shared" si="12"/>
        <v>100</v>
      </c>
      <c r="T37" s="3438" t="s">
        <v>8</v>
      </c>
      <c r="U37" s="3439">
        <f t="shared" si="13"/>
        <v>100</v>
      </c>
      <c r="V37" s="3438" t="s">
        <v>8</v>
      </c>
      <c r="W37" s="3439">
        <f t="shared" si="14"/>
        <v>100</v>
      </c>
      <c r="X37" s="3440"/>
      <c r="Y37" s="4120"/>
      <c r="Z37" s="3441" t="str">
        <f t="shared" si="15"/>
        <v>市政基础设施</v>
      </c>
      <c r="AA37" s="3441">
        <f t="shared" si="3"/>
        <v>1</v>
      </c>
      <c r="AB37" s="3441">
        <f t="shared" si="4"/>
        <v>1</v>
      </c>
      <c r="AC37" s="3441">
        <f t="shared" si="5"/>
        <v>1</v>
      </c>
    </row>
    <row r="38" spans="1:29" ht="15">
      <c r="A38" s="3545"/>
      <c r="B38" s="3520" t="s">
        <v>765</v>
      </c>
      <c r="C38" s="3548"/>
      <c r="D38" s="3475">
        <v>100</v>
      </c>
      <c r="E38" s="3548"/>
      <c r="F38" s="3522">
        <f>SUMIF(114:114,E38,115:115)-SUMIF(114:114,C38,115:115)+100</f>
        <v>100</v>
      </c>
      <c r="G38" s="3548"/>
      <c r="H38" s="3475">
        <f>SUMIF(114:114,G38,115:115)-SUMIF(114:114,C38,115:115)+100</f>
        <v>100</v>
      </c>
      <c r="I38" s="3548"/>
      <c r="J38" s="3475">
        <f>SUMIF(114:114,I38,115:115)-SUMIF(114:114,C38,115:115)+100</f>
        <v>100</v>
      </c>
      <c r="K38" s="3458"/>
      <c r="L38" s="3476"/>
      <c r="M38" s="3422"/>
      <c r="N38" s="3422"/>
      <c r="O38" s="3467"/>
      <c r="P38" s="4120" t="s">
        <v>542</v>
      </c>
      <c r="Q38" s="3489" t="str">
        <f t="shared" si="11"/>
        <v>业态</v>
      </c>
      <c r="R38" s="3490" t="s">
        <v>8</v>
      </c>
      <c r="S38" s="3491">
        <f t="shared" si="12"/>
        <v>100</v>
      </c>
      <c r="T38" s="3490" t="s">
        <v>8</v>
      </c>
      <c r="U38" s="3491">
        <f t="shared" si="13"/>
        <v>100</v>
      </c>
      <c r="V38" s="3490" t="s">
        <v>8</v>
      </c>
      <c r="W38" s="3491">
        <f t="shared" si="14"/>
        <v>100</v>
      </c>
      <c r="X38" s="3423"/>
      <c r="Y38" s="4120" t="s">
        <v>542</v>
      </c>
      <c r="Z38" s="3492" t="str">
        <f t="shared" si="15"/>
        <v>业态</v>
      </c>
      <c r="AA38" s="3492">
        <f t="shared" si="3"/>
        <v>1</v>
      </c>
      <c r="AB38" s="3492">
        <f t="shared" si="4"/>
        <v>1</v>
      </c>
      <c r="AC38" s="3492">
        <f t="shared" si="5"/>
        <v>1</v>
      </c>
    </row>
    <row r="39" spans="1:29" ht="15">
      <c r="A39" s="3545"/>
      <c r="B39" s="3520" t="s">
        <v>766</v>
      </c>
      <c r="C39" s="3548"/>
      <c r="D39" s="3475">
        <v>100</v>
      </c>
      <c r="E39" s="3548"/>
      <c r="F39" s="3522">
        <f>SUMIF(116:116,E39,117:117)-SUMIF(116:116,C39,117:117)+100</f>
        <v>100</v>
      </c>
      <c r="G39" s="3548"/>
      <c r="H39" s="3475">
        <f>SUMIF(116:116,G39,117:117)-SUMIF(116:116,C39,117:117)+100</f>
        <v>100</v>
      </c>
      <c r="I39" s="3548"/>
      <c r="J39" s="3475">
        <f>SUMIF(116:116,I39,117:117)-SUMIF(116:116,C39,117:117)+100</f>
        <v>100</v>
      </c>
      <c r="K39" s="3458"/>
      <c r="L39" s="3476"/>
      <c r="M39" s="3422"/>
      <c r="N39" s="3422"/>
      <c r="O39" s="3467"/>
      <c r="P39" s="4120"/>
      <c r="Q39" s="3489" t="str">
        <f t="shared" si="11"/>
        <v>层高</v>
      </c>
      <c r="R39" s="3490" t="s">
        <v>8</v>
      </c>
      <c r="S39" s="3491">
        <f t="shared" si="12"/>
        <v>100</v>
      </c>
      <c r="T39" s="3490" t="s">
        <v>8</v>
      </c>
      <c r="U39" s="3491">
        <f t="shared" si="13"/>
        <v>100</v>
      </c>
      <c r="V39" s="3490" t="s">
        <v>8</v>
      </c>
      <c r="W39" s="3491">
        <f t="shared" si="14"/>
        <v>100</v>
      </c>
      <c r="X39" s="3423"/>
      <c r="Y39" s="4120"/>
      <c r="Z39" s="3492" t="str">
        <f t="shared" si="15"/>
        <v>层高</v>
      </c>
      <c r="AA39" s="3492">
        <f t="shared" si="3"/>
        <v>1</v>
      </c>
      <c r="AB39" s="3492">
        <f t="shared" si="4"/>
        <v>1</v>
      </c>
      <c r="AC39" s="3492">
        <f t="shared" si="5"/>
        <v>1</v>
      </c>
    </row>
    <row r="40" spans="1:29" ht="15">
      <c r="A40" s="3545"/>
      <c r="B40" s="3520" t="s">
        <v>767</v>
      </c>
      <c r="C40" s="3552"/>
      <c r="D40" s="3475">
        <v>100</v>
      </c>
      <c r="E40" s="3553"/>
      <c r="F40" s="3522">
        <f>SUMIF(118:118,E40,119:119)-SUMIF(118:118,C40,119:119)+100</f>
        <v>100</v>
      </c>
      <c r="G40" s="3553"/>
      <c r="H40" s="3475">
        <f>SUMIF(118:118,G40,119:119)-SUMIF(118:118,C40,119:119)+100</f>
        <v>100</v>
      </c>
      <c r="I40" s="3553"/>
      <c r="J40" s="3475">
        <f>SUMIF(118:118,I40,119:119)-SUMIF(118:118,C40,119:119)+100</f>
        <v>100</v>
      </c>
      <c r="K40" s="3474"/>
      <c r="L40" s="3476"/>
      <c r="M40" s="3422"/>
      <c r="N40" s="3422"/>
      <c r="O40" s="3467"/>
      <c r="P40" s="4120"/>
      <c r="Q40" s="3489" t="str">
        <f t="shared" si="11"/>
        <v>单套建筑面积</v>
      </c>
      <c r="R40" s="3490" t="s">
        <v>8</v>
      </c>
      <c r="S40" s="3491">
        <f t="shared" si="12"/>
        <v>100</v>
      </c>
      <c r="T40" s="3490" t="s">
        <v>8</v>
      </c>
      <c r="U40" s="3491">
        <f t="shared" si="13"/>
        <v>100</v>
      </c>
      <c r="V40" s="3490" t="s">
        <v>8</v>
      </c>
      <c r="W40" s="3491">
        <f t="shared" si="14"/>
        <v>100</v>
      </c>
      <c r="X40" s="3423"/>
      <c r="Y40" s="4120"/>
      <c r="Z40" s="3492" t="str">
        <f t="shared" si="15"/>
        <v>单套建筑面积</v>
      </c>
      <c r="AA40" s="3492">
        <f t="shared" si="3"/>
        <v>1</v>
      </c>
      <c r="AB40" s="3492">
        <f t="shared" si="4"/>
        <v>1</v>
      </c>
      <c r="AC40" s="3492">
        <f t="shared" si="5"/>
        <v>1</v>
      </c>
    </row>
    <row r="41" spans="1:29" s="3544" customFormat="1" ht="15">
      <c r="A41" s="3535"/>
      <c r="B41" s="3522" t="s">
        <v>761</v>
      </c>
      <c r="C41" s="3521"/>
      <c r="D41" s="3475">
        <v>100</v>
      </c>
      <c r="E41" s="3521"/>
      <c r="F41" s="3522">
        <f>SUMIF(120:120,E41,121:121)-SUMIF(120:120,C41,121:121)+100</f>
        <v>100</v>
      </c>
      <c r="G41" s="3521"/>
      <c r="H41" s="3475">
        <f>SUMIF(120:120,G41,121:121)-SUMIF(120:120,C41,121:121)+100</f>
        <v>100</v>
      </c>
      <c r="I41" s="3521"/>
      <c r="J41" s="3475">
        <f>SUMIF(120:120,I41,121:121)-SUMIF(120:120,C41,121:121)+100</f>
        <v>100</v>
      </c>
      <c r="K41" s="3458"/>
      <c r="L41" s="3466"/>
      <c r="M41" s="3537"/>
      <c r="N41" s="3537"/>
      <c r="O41" s="3538"/>
      <c r="P41" s="4120"/>
      <c r="Q41" s="3539" t="str">
        <f t="shared" si="11"/>
        <v>进深比</v>
      </c>
      <c r="R41" s="3540" t="s">
        <v>8</v>
      </c>
      <c r="S41" s="3541">
        <f t="shared" si="12"/>
        <v>100</v>
      </c>
      <c r="T41" s="3540" t="s">
        <v>8</v>
      </c>
      <c r="U41" s="3541">
        <f t="shared" si="13"/>
        <v>100</v>
      </c>
      <c r="V41" s="3540" t="s">
        <v>8</v>
      </c>
      <c r="W41" s="3541">
        <f t="shared" si="14"/>
        <v>100</v>
      </c>
      <c r="X41" s="3542"/>
      <c r="Y41" s="4120"/>
      <c r="Z41" s="3543" t="str">
        <f t="shared" si="15"/>
        <v>进深比</v>
      </c>
      <c r="AA41" s="3492">
        <f t="shared" si="3"/>
        <v>1</v>
      </c>
      <c r="AB41" s="3492">
        <f t="shared" si="4"/>
        <v>1</v>
      </c>
      <c r="AC41" s="3492">
        <f t="shared" si="5"/>
        <v>1</v>
      </c>
    </row>
    <row r="42" spans="1:29" ht="15">
      <c r="A42" s="3545"/>
      <c r="B42" s="3520" t="s">
        <v>747</v>
      </c>
      <c r="C42" s="3548"/>
      <c r="D42" s="3475">
        <v>100</v>
      </c>
      <c r="E42" s="3548"/>
      <c r="F42" s="3522">
        <f>SUMIF(122:122,E42,123:123)-SUMIF(122:122,C42,123:123)+100</f>
        <v>100</v>
      </c>
      <c r="G42" s="3548"/>
      <c r="H42" s="3475">
        <f>SUMIF(122:122,G42,123:123)-SUMIF(122:122,C42,123:123)+100</f>
        <v>100</v>
      </c>
      <c r="I42" s="3548"/>
      <c r="J42" s="3475">
        <f>SUMIF(122:122,I42,123:123)-SUMIF(122:122,C42,123:123)+100</f>
        <v>100</v>
      </c>
      <c r="K42" s="3458"/>
      <c r="L42" s="3476"/>
      <c r="M42" s="3422"/>
      <c r="N42" s="3422"/>
      <c r="O42" s="3467"/>
      <c r="P42" s="4120"/>
      <c r="Q42" s="3489" t="str">
        <f t="shared" si="11"/>
        <v>内部装修</v>
      </c>
      <c r="R42" s="3490" t="s">
        <v>8</v>
      </c>
      <c r="S42" s="3491">
        <f t="shared" si="12"/>
        <v>100</v>
      </c>
      <c r="T42" s="3490" t="s">
        <v>8</v>
      </c>
      <c r="U42" s="3491">
        <f t="shared" si="13"/>
        <v>100</v>
      </c>
      <c r="V42" s="3490" t="s">
        <v>8</v>
      </c>
      <c r="W42" s="3491">
        <f t="shared" si="14"/>
        <v>100</v>
      </c>
      <c r="X42" s="3423"/>
      <c r="Y42" s="4120"/>
      <c r="Z42" s="3492" t="str">
        <f t="shared" si="15"/>
        <v>内部装修</v>
      </c>
      <c r="AA42" s="3492">
        <f t="shared" si="3"/>
        <v>1</v>
      </c>
      <c r="AB42" s="3492">
        <f t="shared" si="4"/>
        <v>1</v>
      </c>
      <c r="AC42" s="3492">
        <f t="shared" si="5"/>
        <v>1</v>
      </c>
    </row>
    <row r="43" spans="1:29" ht="27">
      <c r="A43" s="3545"/>
      <c r="B43" s="3520" t="s">
        <v>727</v>
      </c>
      <c r="C43" s="3548"/>
      <c r="D43" s="3475">
        <v>100</v>
      </c>
      <c r="E43" s="3548"/>
      <c r="F43" s="3522">
        <f>SUMIF(124:124,E43,125:125)-SUMIF(124:124,C43,125:125)+100</f>
        <v>100</v>
      </c>
      <c r="G43" s="3548"/>
      <c r="H43" s="3475">
        <f>SUMIF(124:124,G43,125:125)-SUMIF(124:124,C43,125:125)+100</f>
        <v>100</v>
      </c>
      <c r="I43" s="3548"/>
      <c r="J43" s="3475">
        <f>SUMIF(124:124,I43,125:125)-SUMIF(124:124,C43,125:125)+100</f>
        <v>100</v>
      </c>
      <c r="K43" s="3458"/>
      <c r="L43" s="3476"/>
      <c r="M43" s="3422"/>
      <c r="N43" s="3422"/>
      <c r="O43" s="3467"/>
      <c r="P43" s="4120"/>
      <c r="Q43" s="3489" t="str">
        <f t="shared" si="11"/>
        <v>内部装修维护情况</v>
      </c>
      <c r="R43" s="3490" t="s">
        <v>8</v>
      </c>
      <c r="S43" s="3491">
        <f t="shared" si="12"/>
        <v>100</v>
      </c>
      <c r="T43" s="3490" t="s">
        <v>8</v>
      </c>
      <c r="U43" s="3491">
        <f t="shared" si="13"/>
        <v>100</v>
      </c>
      <c r="V43" s="3490" t="s">
        <v>8</v>
      </c>
      <c r="W43" s="3491">
        <f t="shared" si="14"/>
        <v>100</v>
      </c>
      <c r="X43" s="3423"/>
      <c r="Y43" s="4120"/>
      <c r="Z43" s="3492" t="str">
        <f t="shared" si="15"/>
        <v>内部装修维护情况</v>
      </c>
      <c r="AA43" s="3492">
        <f t="shared" si="3"/>
        <v>1</v>
      </c>
      <c r="AB43" s="3492">
        <f t="shared" si="4"/>
        <v>1</v>
      </c>
      <c r="AC43" s="3492">
        <f t="shared" si="5"/>
        <v>1</v>
      </c>
    </row>
    <row r="44" spans="1:29" s="3442" customFormat="1" ht="15">
      <c r="A44" s="3550"/>
      <c r="B44" s="3523">
        <v>111</v>
      </c>
      <c r="C44" s="3536"/>
      <c r="D44" s="3456">
        <v>100</v>
      </c>
      <c r="E44" s="3472"/>
      <c r="F44" s="3520">
        <f>SUMIF(126:126,E44,127:127)-SUMIF(126:126,C44,127:127)+100</f>
        <v>100</v>
      </c>
      <c r="G44" s="3472"/>
      <c r="H44" s="3456">
        <f>SUMIF(126:126,G44,127:127)-SUMIF(126:126,C44,127:127)+100</f>
        <v>100</v>
      </c>
      <c r="I44" s="3472"/>
      <c r="J44" s="3456">
        <f>SUMIF(126:126,I44,127:127)-SUMIF(126:126,C44,127:127)+100</f>
        <v>100</v>
      </c>
      <c r="K44" s="3474"/>
      <c r="L44" s="3436"/>
      <c r="M44" s="3437"/>
      <c r="N44" s="3437"/>
      <c r="O44" s="3452"/>
      <c r="P44" s="4120"/>
      <c r="Q44" s="3453">
        <f t="shared" si="11"/>
        <v>111</v>
      </c>
      <c r="R44" s="3438" t="s">
        <v>8</v>
      </c>
      <c r="S44" s="3439">
        <f t="shared" si="12"/>
        <v>100</v>
      </c>
      <c r="T44" s="3438" t="s">
        <v>8</v>
      </c>
      <c r="U44" s="3439">
        <f t="shared" si="13"/>
        <v>100</v>
      </c>
      <c r="V44" s="3438" t="s">
        <v>8</v>
      </c>
      <c r="W44" s="3439">
        <f t="shared" si="14"/>
        <v>100</v>
      </c>
      <c r="X44" s="3440"/>
      <c r="Y44" s="4120"/>
      <c r="Z44" s="3441">
        <f t="shared" si="15"/>
        <v>111</v>
      </c>
      <c r="AA44" s="3441">
        <f t="shared" si="3"/>
        <v>1</v>
      </c>
      <c r="AB44" s="3441">
        <f t="shared" si="4"/>
        <v>1</v>
      </c>
      <c r="AC44" s="3441">
        <f t="shared" si="5"/>
        <v>1</v>
      </c>
    </row>
    <row r="45" spans="1:29" ht="15">
      <c r="A45" s="3545"/>
      <c r="B45" s="3523">
        <v>111</v>
      </c>
      <c r="C45" s="3472"/>
      <c r="D45" s="3475">
        <v>100</v>
      </c>
      <c r="E45" s="3472"/>
      <c r="F45" s="3522">
        <f>SUMIF(128:128,E45,129:129)-SUMIF(128:128,C45,129:129)+100</f>
        <v>100</v>
      </c>
      <c r="G45" s="3472"/>
      <c r="H45" s="3475">
        <f>SUMIF(128:128,G45,129:129)-SUMIF(128:128,C45,129:129)+100</f>
        <v>100</v>
      </c>
      <c r="I45" s="3472"/>
      <c r="J45" s="3475">
        <f>SUMIF(128:128,I45,129:129)-SUMIF(128:128,C45,129:129)+100</f>
        <v>100</v>
      </c>
      <c r="K45" s="3474"/>
      <c r="L45" s="3476"/>
      <c r="M45" s="3422"/>
      <c r="N45" s="3422"/>
      <c r="O45" s="3467"/>
      <c r="P45" s="4120"/>
      <c r="Q45" s="3489">
        <f t="shared" si="11"/>
        <v>111</v>
      </c>
      <c r="R45" s="3490" t="s">
        <v>8</v>
      </c>
      <c r="S45" s="3491">
        <f t="shared" si="12"/>
        <v>100</v>
      </c>
      <c r="T45" s="3490" t="s">
        <v>8</v>
      </c>
      <c r="U45" s="3491">
        <f t="shared" si="13"/>
        <v>100</v>
      </c>
      <c r="V45" s="3490" t="s">
        <v>8</v>
      </c>
      <c r="W45" s="3491">
        <f t="shared" si="14"/>
        <v>100</v>
      </c>
      <c r="X45" s="3423"/>
      <c r="Y45" s="4120"/>
      <c r="Z45" s="3492">
        <f t="shared" si="15"/>
        <v>111</v>
      </c>
      <c r="AA45" s="3492">
        <f t="shared" si="3"/>
        <v>1</v>
      </c>
      <c r="AB45" s="3492">
        <f t="shared" si="4"/>
        <v>1</v>
      </c>
      <c r="AC45" s="3492">
        <f t="shared" si="5"/>
        <v>1</v>
      </c>
    </row>
    <row r="46" spans="1:29" ht="15.75" thickBot="1">
      <c r="A46" s="3554"/>
      <c r="B46" s="3555">
        <v>111</v>
      </c>
      <c r="C46" s="3479"/>
      <c r="D46" s="3480">
        <v>100</v>
      </c>
      <c r="E46" s="3472"/>
      <c r="F46" s="3530">
        <f>SUMIF(130:130,E46,131:131)-SUMIF(130:130,C46,131:131)+100</f>
        <v>100</v>
      </c>
      <c r="G46" s="3472"/>
      <c r="H46" s="3480">
        <f>SUMIF(130:130,G46,131:131)-SUMIF(130:130,C46,131:131)+100</f>
        <v>100</v>
      </c>
      <c r="I46" s="3472"/>
      <c r="J46" s="3480">
        <f>SUMIF(130:130,I46,131:131)-SUMIF(130:130,C46,131:131)+100</f>
        <v>100</v>
      </c>
      <c r="K46" s="3474"/>
      <c r="L46" s="3476"/>
      <c r="M46" s="3422"/>
      <c r="N46" s="3422"/>
      <c r="O46" s="3467"/>
      <c r="P46" s="4121"/>
      <c r="Q46" s="3489">
        <f t="shared" si="11"/>
        <v>111</v>
      </c>
      <c r="R46" s="3490" t="s">
        <v>8</v>
      </c>
      <c r="S46" s="3491">
        <f t="shared" si="12"/>
        <v>100</v>
      </c>
      <c r="T46" s="3490" t="s">
        <v>8</v>
      </c>
      <c r="U46" s="3491">
        <f t="shared" si="13"/>
        <v>100</v>
      </c>
      <c r="V46" s="3490" t="s">
        <v>8</v>
      </c>
      <c r="W46" s="3491">
        <f t="shared" si="14"/>
        <v>100</v>
      </c>
      <c r="X46" s="3423"/>
      <c r="Y46" s="4121"/>
      <c r="Z46" s="3492">
        <f t="shared" si="15"/>
        <v>111</v>
      </c>
      <c r="AA46" s="3492">
        <f t="shared" si="3"/>
        <v>1</v>
      </c>
      <c r="AB46" s="3492">
        <f t="shared" si="4"/>
        <v>1</v>
      </c>
      <c r="AC46" s="3492">
        <f t="shared" si="5"/>
        <v>1</v>
      </c>
    </row>
    <row r="47" spans="1:29" ht="15">
      <c r="A47" s="3556" t="s">
        <v>728</v>
      </c>
      <c r="B47" s="3557"/>
      <c r="C47" s="3558" t="s">
        <v>1</v>
      </c>
      <c r="D47" s="3559"/>
      <c r="E47" s="3560">
        <v>31000</v>
      </c>
      <c r="F47" s="3561"/>
      <c r="G47" s="3562">
        <f>商业案例截图及地图!$A$39</f>
        <v>30958</v>
      </c>
      <c r="H47" s="3563"/>
      <c r="I47" s="3560">
        <f>商业案例截图及地图!$A$75</f>
        <v>30000</v>
      </c>
      <c r="J47" s="3563"/>
      <c r="K47" s="3564"/>
      <c r="L47" s="3565"/>
      <c r="M47" s="3422"/>
      <c r="N47" s="3422"/>
      <c r="O47" s="3422"/>
      <c r="P47" s="4115" t="str">
        <f>A47</f>
        <v>成交单价（元/平方米）</v>
      </c>
      <c r="Q47" s="4115"/>
      <c r="R47" s="4111">
        <f>E47</f>
        <v>31000</v>
      </c>
      <c r="S47" s="4111"/>
      <c r="T47" s="4111">
        <f>G47</f>
        <v>30958</v>
      </c>
      <c r="U47" s="4111"/>
      <c r="V47" s="4111">
        <f>I47</f>
        <v>30000</v>
      </c>
      <c r="W47" s="4111"/>
      <c r="X47" s="3494"/>
      <c r="Y47" s="3566"/>
      <c r="Z47" s="3494"/>
      <c r="AA47" s="3494"/>
      <c r="AB47" s="3494"/>
      <c r="AC47" s="3494"/>
    </row>
    <row r="48" spans="1:29" ht="15.75" thickBot="1">
      <c r="A48" s="3567" t="s">
        <v>2671</v>
      </c>
      <c r="B48" s="3568"/>
      <c r="C48" s="3569">
        <f>R49</f>
        <v>32600</v>
      </c>
      <c r="D48" s="3570" t="s">
        <v>2963</v>
      </c>
      <c r="E48" s="3571">
        <f>R48</f>
        <v>33296</v>
      </c>
      <c r="F48" s="3572"/>
      <c r="G48" s="3569">
        <f>T48</f>
        <v>32922</v>
      </c>
      <c r="H48" s="3572"/>
      <c r="I48" s="3571">
        <f>V48</f>
        <v>31581</v>
      </c>
      <c r="J48" s="3572"/>
      <c r="K48" s="3573">
        <f>F48+H48+J48</f>
        <v>0</v>
      </c>
      <c r="L48" s="3565"/>
      <c r="M48" s="3422"/>
      <c r="N48" s="3422"/>
      <c r="O48" s="3422"/>
      <c r="P48" s="4115" t="str">
        <f>A48</f>
        <v>比较价格（元/平方米）</v>
      </c>
      <c r="Q48" s="4115"/>
      <c r="R48" s="4111">
        <f>IF(F1="售价",ROUND(PRODUCT(R47,AA7:AA46),0),ROUND(PRODUCT(R47,AA7:AA46),0))</f>
        <v>33296</v>
      </c>
      <c r="S48" s="4111"/>
      <c r="T48" s="4111">
        <f>IF(F1="售价",ROUND(PRODUCT(T47,AB7:AB46),0),ROUND(PRODUCT(T47,AB7:AB46),0))</f>
        <v>32922</v>
      </c>
      <c r="U48" s="4111"/>
      <c r="V48" s="4111">
        <f>IF(F1="售价",ROUND(PRODUCT(V47,AC7:AC46),0),ROUND(PRODUCT(V47,AC7:AC46),0))</f>
        <v>31581</v>
      </c>
      <c r="W48" s="4111"/>
      <c r="X48" s="3494"/>
      <c r="Y48" s="3494"/>
      <c r="Z48" s="3494"/>
      <c r="AA48" s="3494"/>
      <c r="AB48" s="3494"/>
      <c r="AC48" s="3494"/>
    </row>
    <row r="49" spans="1:29" ht="15.75" thickBot="1">
      <c r="A49" s="3574" t="s">
        <v>2898</v>
      </c>
      <c r="B49" s="3575"/>
      <c r="C49" s="3428">
        <f>R49</f>
        <v>32600</v>
      </c>
      <c r="D49" s="3428"/>
      <c r="E49" s="3428"/>
      <c r="F49" s="3428"/>
      <c r="G49" s="3428"/>
      <c r="H49" s="3428"/>
      <c r="I49" s="3428"/>
      <c r="J49" s="3428"/>
      <c r="K49" s="3576"/>
      <c r="L49" s="3565"/>
      <c r="M49" s="3422"/>
      <c r="N49" s="3422"/>
      <c r="O49" s="3422"/>
      <c r="P49" s="4133" t="str">
        <f>A49</f>
        <v>估价对象XX用房的比较价格（楼面单价，元/平方米）</v>
      </c>
      <c r="Q49" s="4122"/>
      <c r="R49" s="4124">
        <f>IF(F1="售价",ROUND(IF(D48="简单平均",AVERAGE(R48:V48),R48*F48+T48*H48+V48*J48),0),ROUND(IF(D48="简单平均",AVERAGE(R48:V48),R48*F48+T48*H48+V48*J48),0))</f>
        <v>32600</v>
      </c>
      <c r="S49" s="4124"/>
      <c r="T49" s="4124"/>
      <c r="U49" s="4124"/>
      <c r="V49" s="4124"/>
      <c r="W49" s="4124"/>
      <c r="X49" s="3494"/>
      <c r="Y49" s="3494"/>
      <c r="Z49" s="3494"/>
      <c r="AA49" s="3494"/>
      <c r="AB49" s="3494"/>
      <c r="AC49" s="3494"/>
    </row>
    <row r="50" spans="1:29">
      <c r="A50" s="3577"/>
      <c r="B50" s="3577"/>
      <c r="C50" s="3577"/>
      <c r="D50" s="3577"/>
      <c r="E50" s="3577"/>
      <c r="F50" s="3577"/>
      <c r="G50" s="3578"/>
      <c r="H50" s="3577"/>
      <c r="I50" s="3577"/>
      <c r="J50" s="3577"/>
      <c r="K50" s="3579"/>
      <c r="L50" s="3580"/>
      <c r="M50" s="3422"/>
      <c r="N50" s="3422"/>
      <c r="O50" s="3422"/>
      <c r="P50" s="3422"/>
      <c r="Q50" s="3422"/>
      <c r="R50" s="3422"/>
      <c r="S50" s="3422"/>
      <c r="T50" s="3422"/>
      <c r="U50" s="3422"/>
      <c r="V50" s="3422"/>
      <c r="W50" s="3422"/>
      <c r="X50" s="3422"/>
      <c r="Y50" s="3422"/>
      <c r="Z50" s="3422"/>
      <c r="AA50" s="3422"/>
      <c r="AB50" s="3422"/>
      <c r="AC50" s="3422"/>
    </row>
    <row r="51" spans="1:29">
      <c r="A51" s="3577"/>
      <c r="B51" s="3577"/>
      <c r="C51" s="3577"/>
      <c r="D51" s="3577"/>
      <c r="E51" s="3577"/>
      <c r="F51" s="3577"/>
      <c r="G51" s="3577"/>
      <c r="H51" s="3577"/>
      <c r="I51" s="3577"/>
      <c r="J51" s="3577"/>
      <c r="K51" s="3579"/>
      <c r="L51" s="3580"/>
      <c r="M51" s="3422"/>
      <c r="N51" s="3422"/>
      <c r="O51" s="3422"/>
      <c r="P51" s="3422"/>
      <c r="Q51" s="3422"/>
      <c r="R51" s="3422"/>
      <c r="S51" s="3422"/>
      <c r="T51" s="3422"/>
      <c r="U51" s="3422"/>
      <c r="V51" s="3422"/>
      <c r="W51" s="3422"/>
      <c r="X51" s="3422"/>
      <c r="Y51" s="3422"/>
      <c r="Z51" s="3422"/>
      <c r="AA51" s="3422"/>
      <c r="AB51" s="3422"/>
      <c r="AC51" s="3422"/>
    </row>
    <row r="52" spans="1:29" ht="13.5" customHeight="1">
      <c r="A52" s="3577"/>
      <c r="B52" s="3577"/>
      <c r="C52" s="3581" t="s">
        <v>549</v>
      </c>
      <c r="D52" s="3582"/>
      <c r="E52" s="3583">
        <f>IF(E47&lt;E48,E48/E47-1,E47/E48-1)</f>
        <v>7.406451612903231E-2</v>
      </c>
      <c r="F52" s="3584" t="str">
        <f>IF(OR(E52&gt;=0.3,E52&lt;=-0.3),"超过30%","")</f>
        <v/>
      </c>
      <c r="G52" s="3583">
        <f>IF(G47&lt;G48,G48/G47-1,G47/G48-1)</f>
        <v>6.3440790748756415E-2</v>
      </c>
      <c r="H52" s="3584" t="str">
        <f>IF(OR(G52&gt;=0.3,G52&lt;=-0.3),"超过30%","")</f>
        <v/>
      </c>
      <c r="I52" s="3583">
        <f>IF(I47&lt;I48,I48/I47-1,I47/I48-1)</f>
        <v>5.2699999999999969E-2</v>
      </c>
      <c r="J52" s="3584" t="str">
        <f>IF(OR(I52&gt;=0.3,I52&lt;=-0.3),"超过30%","")</f>
        <v/>
      </c>
      <c r="K52" s="3579"/>
      <c r="L52" s="3580"/>
      <c r="M52" s="3422"/>
      <c r="N52" s="3422"/>
      <c r="O52" s="3422"/>
      <c r="P52" s="3422"/>
      <c r="Q52" s="3422"/>
      <c r="R52" s="3422"/>
      <c r="S52" s="3422"/>
      <c r="T52" s="3422"/>
      <c r="U52" s="3422"/>
      <c r="V52" s="3422"/>
      <c r="W52" s="3422"/>
      <c r="X52" s="3422"/>
      <c r="Y52" s="3422"/>
      <c r="Z52" s="3422"/>
      <c r="AA52" s="3422"/>
      <c r="AB52" s="3422"/>
      <c r="AC52" s="3422"/>
    </row>
    <row r="53" spans="1:29" ht="13.5" customHeight="1">
      <c r="A53" s="3577"/>
      <c r="B53" s="3577"/>
      <c r="C53" s="3581" t="s">
        <v>550</v>
      </c>
      <c r="D53" s="3585"/>
      <c r="E53" s="3583">
        <f>IF(E48&lt;G48,G48/E48-1,E48/G48-1)</f>
        <v>1.1360184678938179E-2</v>
      </c>
      <c r="F53" s="3584" t="str">
        <f>IF(OR(E53&gt;=0.2,E53&lt;=-0.2),"超过20%","")</f>
        <v/>
      </c>
      <c r="G53" s="3583">
        <f>IF(G48&lt;I48,I48/G48-1,G48/I48-1)</f>
        <v>4.2462239954403014E-2</v>
      </c>
      <c r="H53" s="3584" t="str">
        <f>IF(OR(G53&gt;=0.2,G53&lt;=-0.2),"超过20%","")</f>
        <v/>
      </c>
      <c r="I53" s="3583">
        <f>IF(I48&lt;E48,E48/I48-1,I48/E48-1)</f>
        <v>5.430480352110445E-2</v>
      </c>
      <c r="J53" s="3584" t="str">
        <f>IF(OR(I53&gt;=0.2,I53&lt;=-0.2),"超过20%","")</f>
        <v/>
      </c>
      <c r="K53" s="3579"/>
      <c r="L53" s="3580"/>
      <c r="M53" s="3422"/>
      <c r="N53" s="3422"/>
      <c r="O53" s="3422"/>
      <c r="P53" s="3422"/>
      <c r="Q53" s="3422"/>
      <c r="R53" s="3422"/>
      <c r="S53" s="3422"/>
      <c r="T53" s="3422"/>
      <c r="U53" s="3422"/>
      <c r="V53" s="3422"/>
      <c r="W53" s="3422"/>
      <c r="X53" s="3422"/>
      <c r="Y53" s="3422"/>
      <c r="Z53" s="3422"/>
      <c r="AA53" s="3422"/>
      <c r="AB53" s="3422"/>
      <c r="AC53" s="3422"/>
    </row>
    <row r="54" spans="1:29" s="3590" customFormat="1" ht="13.5" customHeight="1">
      <c r="A54" s="3586"/>
      <c r="B54" s="3586"/>
      <c r="C54" s="3581" t="s">
        <v>551</v>
      </c>
      <c r="D54" s="3585"/>
      <c r="E54" s="3583">
        <f>IF(E47&lt;G47,G47/E47-1,E47/G47-1)</f>
        <v>1.3566767879062969E-3</v>
      </c>
      <c r="F54" s="3584" t="str">
        <f>IF(OR(E54&gt;=0.3,E54&lt;=-0.3),"超过30%","")</f>
        <v/>
      </c>
      <c r="G54" s="3583">
        <f>IF(G47&lt;I47,I47/G47-1,G47/I47-1)</f>
        <v>3.1933333333333369E-2</v>
      </c>
      <c r="H54" s="3584" t="str">
        <f>IF(OR(G54&gt;=0.3,G54&lt;=-0.3),"超过30%","")</f>
        <v/>
      </c>
      <c r="I54" s="3583">
        <f>IF(I47&lt;E47,E47/I47-1,I47/E47-1)</f>
        <v>3.3333333333333437E-2</v>
      </c>
      <c r="J54" s="3584" t="str">
        <f>IF(OR(I54&gt;=0.3,I54&lt;=-0.3),"超过30%","")</f>
        <v/>
      </c>
      <c r="K54" s="3587"/>
      <c r="L54" s="3588"/>
      <c r="M54" s="3589"/>
      <c r="N54" s="3589"/>
      <c r="O54" s="3589"/>
      <c r="P54" s="3589"/>
      <c r="Q54" s="3589"/>
      <c r="R54" s="3589"/>
      <c r="S54" s="3589"/>
      <c r="T54" s="3589"/>
      <c r="U54" s="3589"/>
      <c r="V54" s="3589"/>
      <c r="W54" s="3589"/>
      <c r="X54" s="3589"/>
      <c r="Y54" s="3589"/>
      <c r="Z54" s="3589"/>
      <c r="AA54" s="3589"/>
      <c r="AB54" s="3589"/>
      <c r="AC54" s="3589"/>
    </row>
    <row r="55" spans="1:29" s="3590" customFormat="1">
      <c r="A55" s="3589"/>
      <c r="B55" s="3591"/>
      <c r="C55" s="3592"/>
      <c r="D55" s="3589"/>
      <c r="E55" s="3589"/>
      <c r="F55" s="3589"/>
      <c r="G55" s="3589"/>
      <c r="H55" s="3589"/>
      <c r="I55" s="3589"/>
      <c r="J55" s="3589"/>
      <c r="K55" s="3593"/>
      <c r="L55" s="3588"/>
      <c r="M55" s="3589"/>
      <c r="N55" s="3589"/>
      <c r="O55" s="3589"/>
      <c r="P55" s="3589"/>
      <c r="Q55" s="3589"/>
      <c r="R55" s="3589"/>
      <c r="S55" s="3589"/>
      <c r="T55" s="3589"/>
      <c r="U55" s="3589"/>
      <c r="V55" s="3589"/>
      <c r="W55" s="3589"/>
      <c r="X55" s="3589"/>
      <c r="Y55" s="3589"/>
      <c r="Z55" s="3589"/>
      <c r="AA55" s="3589"/>
      <c r="AB55" s="3589"/>
      <c r="AC55" s="3589"/>
    </row>
    <row r="56" spans="1:29">
      <c r="A56" s="3422"/>
      <c r="B56" s="3591"/>
      <c r="C56" s="3592"/>
      <c r="D56" s="3422"/>
      <c r="E56" s="3422"/>
      <c r="F56" s="3422"/>
      <c r="G56" s="3422"/>
      <c r="H56" s="3422"/>
      <c r="I56" s="3422"/>
      <c r="J56" s="3422"/>
      <c r="K56" s="3594"/>
      <c r="L56" s="3580"/>
      <c r="M56" s="3422"/>
      <c r="N56" s="3422"/>
      <c r="O56" s="3422"/>
      <c r="P56" s="3422"/>
      <c r="Q56" s="3422"/>
      <c r="R56" s="3422"/>
      <c r="S56" s="3422"/>
      <c r="T56" s="3422"/>
      <c r="U56" s="3422"/>
      <c r="V56" s="3422"/>
      <c r="W56" s="3422"/>
      <c r="X56" s="3422"/>
      <c r="Y56" s="3422"/>
      <c r="Z56" s="3422"/>
      <c r="AA56" s="3422"/>
      <c r="AB56" s="3422"/>
      <c r="AC56" s="3422"/>
    </row>
    <row r="57" spans="1:29" ht="21.75" thickBot="1">
      <c r="A57" s="3595" t="s">
        <v>566</v>
      </c>
      <c r="B57" s="3494"/>
      <c r="C57" s="3596"/>
      <c r="D57" s="3596"/>
      <c r="E57" s="3596"/>
      <c r="F57" s="3597"/>
      <c r="G57" s="3597"/>
      <c r="H57" s="3596"/>
      <c r="I57" s="3596"/>
      <c r="J57" s="3596"/>
      <c r="K57" s="3598"/>
      <c r="L57" s="3599"/>
      <c r="M57" s="3596"/>
      <c r="N57" s="3600"/>
      <c r="O57" s="3600"/>
      <c r="P57" s="3600"/>
      <c r="Q57" s="3601"/>
      <c r="R57" s="3422"/>
      <c r="S57" s="3422"/>
      <c r="T57" s="3422"/>
      <c r="U57" s="3422"/>
      <c r="V57" s="3422"/>
      <c r="W57" s="3422"/>
      <c r="X57" s="3422"/>
      <c r="Y57" s="3422"/>
      <c r="Z57" s="3422"/>
      <c r="AA57" s="3422"/>
      <c r="AB57" s="3422"/>
      <c r="AC57" s="3422"/>
    </row>
    <row r="58" spans="1:29" s="3607" customFormat="1" ht="15">
      <c r="A58" s="3602" t="s">
        <v>521</v>
      </c>
      <c r="B58" s="3603"/>
      <c r="C58" s="3604" t="str">
        <f>YEAR(C7)&amp;"-"&amp;MONTH(C7)</f>
        <v>2021-10</v>
      </c>
      <c r="D58" s="3605">
        <f>EDATE(C58,-1)</f>
        <v>44440</v>
      </c>
      <c r="E58" s="3605">
        <f t="shared" ref="E58:O58" si="16">EDATE(D58,-1)</f>
        <v>44409</v>
      </c>
      <c r="F58" s="3605">
        <f t="shared" si="16"/>
        <v>44378</v>
      </c>
      <c r="G58" s="3605">
        <f t="shared" si="16"/>
        <v>44348</v>
      </c>
      <c r="H58" s="3605">
        <f t="shared" si="16"/>
        <v>44317</v>
      </c>
      <c r="I58" s="3605">
        <f t="shared" si="16"/>
        <v>44287</v>
      </c>
      <c r="J58" s="3605">
        <f t="shared" si="16"/>
        <v>44256</v>
      </c>
      <c r="K58" s="3605">
        <f t="shared" si="16"/>
        <v>44228</v>
      </c>
      <c r="L58" s="3605">
        <f t="shared" si="16"/>
        <v>44197</v>
      </c>
      <c r="M58" s="3605">
        <f t="shared" si="16"/>
        <v>44166</v>
      </c>
      <c r="N58" s="3605">
        <f t="shared" si="16"/>
        <v>44136</v>
      </c>
      <c r="O58" s="3605">
        <f t="shared" si="16"/>
        <v>44105</v>
      </c>
      <c r="P58" s="3606"/>
      <c r="Q58" s="3606"/>
      <c r="R58" s="3606"/>
      <c r="S58" s="3606"/>
      <c r="T58" s="3606"/>
      <c r="U58" s="3606"/>
      <c r="V58" s="3606"/>
      <c r="W58" s="3606"/>
      <c r="X58" s="3606"/>
      <c r="Y58" s="3606"/>
      <c r="Z58" s="3606"/>
      <c r="AA58" s="3606"/>
      <c r="AB58" s="3606"/>
      <c r="AC58" s="3606"/>
    </row>
    <row r="59" spans="1:29" s="3442" customFormat="1" ht="15">
      <c r="A59" s="3608"/>
      <c r="B59" s="3609"/>
      <c r="C59" s="3610">
        <v>100</v>
      </c>
      <c r="D59" s="3611">
        <v>100</v>
      </c>
      <c r="E59" s="3611"/>
      <c r="F59" s="3611"/>
      <c r="G59" s="3611"/>
      <c r="H59" s="3611"/>
      <c r="I59" s="3611"/>
      <c r="J59" s="3611"/>
      <c r="K59" s="3611"/>
      <c r="L59" s="3611"/>
      <c r="M59" s="3612"/>
      <c r="N59" s="3611"/>
      <c r="O59" s="3613"/>
      <c r="P59" s="3601"/>
      <c r="Q59" s="3437"/>
      <c r="R59" s="3437"/>
      <c r="S59" s="3437"/>
      <c r="T59" s="3437"/>
      <c r="U59" s="3437"/>
      <c r="V59" s="3437"/>
      <c r="W59" s="3437"/>
      <c r="X59" s="3437"/>
      <c r="Y59" s="3437"/>
      <c r="Z59" s="3437"/>
      <c r="AA59" s="3437"/>
      <c r="AB59" s="3437"/>
      <c r="AC59" s="3437"/>
    </row>
    <row r="60" spans="1:29" s="3442" customFormat="1" ht="15.75" thickBot="1">
      <c r="A60" s="3614" t="s">
        <v>3186</v>
      </c>
      <c r="B60" s="3615"/>
      <c r="C60" s="3616"/>
      <c r="D60" s="3617"/>
      <c r="E60" s="3617"/>
      <c r="F60" s="3617"/>
      <c r="G60" s="3617"/>
      <c r="H60" s="3617"/>
      <c r="I60" s="3617"/>
      <c r="J60" s="3617"/>
      <c r="K60" s="3617"/>
      <c r="L60" s="3617"/>
      <c r="M60" s="3618"/>
      <c r="N60" s="3617"/>
      <c r="O60" s="3619"/>
      <c r="P60" s="3601"/>
      <c r="Q60" s="3601"/>
      <c r="R60" s="3437"/>
      <c r="S60" s="3437"/>
      <c r="T60" s="3437"/>
      <c r="U60" s="3437"/>
      <c r="V60" s="3437"/>
      <c r="W60" s="3437"/>
      <c r="X60" s="3437"/>
      <c r="Y60" s="3437"/>
      <c r="Z60" s="3437"/>
      <c r="AA60" s="3437"/>
      <c r="AB60" s="3437"/>
      <c r="AC60" s="3437"/>
    </row>
    <row r="61" spans="1:29" s="3442" customFormat="1" ht="15">
      <c r="A61" s="3620" t="s">
        <v>523</v>
      </c>
      <c r="B61" s="3609"/>
      <c r="C61" s="3621" t="s">
        <v>3178</v>
      </c>
      <c r="D61" s="3622"/>
      <c r="E61" s="3622"/>
      <c r="F61" s="3622"/>
      <c r="G61" s="3622"/>
      <c r="H61" s="3622"/>
      <c r="I61" s="3622"/>
      <c r="J61" s="3622"/>
      <c r="K61" s="3622"/>
      <c r="L61" s="3623"/>
      <c r="M61" s="3624"/>
      <c r="N61" s="3625"/>
      <c r="O61" s="3625"/>
      <c r="P61" s="3626"/>
      <c r="Q61" s="3601"/>
      <c r="R61" s="3437"/>
      <c r="S61" s="3437"/>
      <c r="T61" s="3437"/>
      <c r="U61" s="3437"/>
      <c r="V61" s="3437"/>
      <c r="W61" s="3437"/>
      <c r="X61" s="3437"/>
      <c r="Y61" s="3437"/>
      <c r="Z61" s="3437"/>
      <c r="AA61" s="3437"/>
      <c r="AB61" s="3437"/>
      <c r="AC61" s="3437"/>
    </row>
    <row r="62" spans="1:29" s="3442" customFormat="1" ht="15.75" thickBot="1">
      <c r="A62" s="3620"/>
      <c r="B62" s="3609"/>
      <c r="C62" s="3627">
        <v>100</v>
      </c>
      <c r="D62" s="3611"/>
      <c r="E62" s="3611"/>
      <c r="F62" s="3611"/>
      <c r="G62" s="3611"/>
      <c r="H62" s="3611"/>
      <c r="I62" s="3611"/>
      <c r="J62" s="3611"/>
      <c r="K62" s="3611"/>
      <c r="L62" s="3611"/>
      <c r="M62" s="3613"/>
      <c r="N62" s="3625"/>
      <c r="O62" s="3625"/>
      <c r="P62" s="3601"/>
      <c r="Q62" s="3601"/>
      <c r="R62" s="3437"/>
      <c r="S62" s="3437"/>
      <c r="T62" s="3437"/>
      <c r="U62" s="3437"/>
      <c r="V62" s="3437"/>
      <c r="W62" s="3437"/>
      <c r="X62" s="3437"/>
      <c r="Y62" s="3437"/>
      <c r="Z62" s="3437"/>
      <c r="AA62" s="3437"/>
      <c r="AB62" s="3437"/>
      <c r="AC62" s="3628"/>
    </row>
    <row r="63" spans="1:29">
      <c r="A63" s="3629" t="s">
        <v>569</v>
      </c>
      <c r="B63" s="3630" t="s">
        <v>526</v>
      </c>
      <c r="C63" s="3631">
        <f>C9</f>
        <v>0</v>
      </c>
      <c r="D63" s="3632"/>
      <c r="E63" s="3632"/>
      <c r="F63" s="3632"/>
      <c r="G63" s="3632"/>
      <c r="H63" s="3632"/>
      <c r="I63" s="3632"/>
      <c r="J63" s="3632"/>
      <c r="K63" s="3633"/>
      <c r="L63" s="3634"/>
      <c r="M63" s="3635"/>
      <c r="N63" s="3636"/>
      <c r="O63" s="3636"/>
      <c r="P63" s="3625"/>
      <c r="Q63" s="3601"/>
      <c r="R63" s="3422"/>
      <c r="S63" s="3422"/>
      <c r="T63" s="3422"/>
      <c r="U63" s="3422"/>
      <c r="V63" s="3422"/>
      <c r="W63" s="3422"/>
      <c r="X63" s="3422"/>
      <c r="Y63" s="3422"/>
      <c r="Z63" s="3422"/>
      <c r="AA63" s="3422"/>
      <c r="AB63" s="3422"/>
      <c r="AC63" s="3422"/>
    </row>
    <row r="64" spans="1:29" ht="15.75" thickBot="1">
      <c r="A64" s="3493"/>
      <c r="B64" s="3637"/>
      <c r="C64" s="3638"/>
      <c r="D64" s="3638"/>
      <c r="E64" s="3638"/>
      <c r="F64" s="3638"/>
      <c r="G64" s="3638"/>
      <c r="H64" s="3638"/>
      <c r="I64" s="3638"/>
      <c r="J64" s="3638"/>
      <c r="K64" s="3638"/>
      <c r="L64" s="3638"/>
      <c r="M64" s="3639"/>
      <c r="N64" s="3640"/>
      <c r="O64" s="3640"/>
      <c r="P64" s="3625"/>
      <c r="Q64" s="3601"/>
      <c r="R64" s="3422"/>
      <c r="S64" s="3422"/>
      <c r="T64" s="3422"/>
      <c r="U64" s="3422"/>
      <c r="V64" s="3422"/>
      <c r="W64" s="3422"/>
      <c r="X64" s="3422"/>
      <c r="Y64" s="3422"/>
      <c r="Z64" s="3422"/>
      <c r="AA64" s="3422"/>
      <c r="AB64" s="3422"/>
      <c r="AC64" s="3422"/>
    </row>
    <row r="65" spans="1:29" ht="27.75" thickTop="1">
      <c r="A65" s="3493"/>
      <c r="B65" s="3641" t="s">
        <v>529</v>
      </c>
      <c r="C65" s="3642" t="s">
        <v>3187</v>
      </c>
      <c r="D65" s="3642" t="s">
        <v>3188</v>
      </c>
      <c r="E65" s="3642" t="s">
        <v>3189</v>
      </c>
      <c r="F65" s="3642" t="s">
        <v>3190</v>
      </c>
      <c r="G65" s="3642" t="s">
        <v>3191</v>
      </c>
      <c r="H65" s="3642" t="s">
        <v>3192</v>
      </c>
      <c r="I65" s="3642" t="s">
        <v>3193</v>
      </c>
      <c r="J65" s="3642"/>
      <c r="K65" s="3643"/>
      <c r="L65" s="3644"/>
      <c r="M65" s="3645"/>
      <c r="N65" s="3636"/>
      <c r="O65" s="3636"/>
      <c r="P65" s="3625"/>
      <c r="Q65" s="3601"/>
      <c r="R65" s="3422"/>
      <c r="S65" s="3422"/>
      <c r="T65" s="3422"/>
      <c r="U65" s="3422"/>
      <c r="V65" s="3422"/>
      <c r="W65" s="3422"/>
      <c r="X65" s="3422"/>
      <c r="Y65" s="3422"/>
      <c r="Z65" s="3422"/>
      <c r="AA65" s="3422"/>
      <c r="AB65" s="3422"/>
      <c r="AC65" s="3422"/>
    </row>
    <row r="66" spans="1:29" ht="15.75" thickBot="1">
      <c r="A66" s="3493"/>
      <c r="B66" s="3646"/>
      <c r="C66" s="3647" t="s">
        <v>2279</v>
      </c>
      <c r="D66" s="3647" t="s">
        <v>2279</v>
      </c>
      <c r="E66" s="3647" t="s">
        <v>2279</v>
      </c>
      <c r="F66" s="3647">
        <v>100</v>
      </c>
      <c r="G66" s="3647">
        <f>F66-$K10</f>
        <v>98</v>
      </c>
      <c r="H66" s="3647">
        <f>G66-$K10</f>
        <v>96</v>
      </c>
      <c r="I66" s="3647">
        <f>H66-$K10</f>
        <v>94</v>
      </c>
      <c r="J66" s="3647"/>
      <c r="K66" s="3647"/>
      <c r="L66" s="3647"/>
      <c r="M66" s="3648"/>
      <c r="N66" s="3640"/>
      <c r="O66" s="3640"/>
      <c r="P66" s="3625"/>
      <c r="Q66" s="3601"/>
      <c r="R66" s="3422"/>
      <c r="S66" s="3422"/>
      <c r="T66" s="3422"/>
      <c r="U66" s="3422"/>
      <c r="V66" s="3422"/>
      <c r="W66" s="3422"/>
      <c r="X66" s="3422"/>
      <c r="Y66" s="3422"/>
      <c r="Z66" s="3422"/>
      <c r="AA66" s="3422"/>
      <c r="AB66" s="3422"/>
      <c r="AC66" s="3422"/>
    </row>
    <row r="67" spans="1:29" ht="15.75" thickTop="1">
      <c r="A67" s="3493"/>
      <c r="B67" s="3649" t="s">
        <v>530</v>
      </c>
      <c r="C67" s="3650" t="str">
        <f>C68&amp;"（含）"&amp;"-"&amp;D68</f>
        <v>0（含）-1</v>
      </c>
      <c r="D67" s="3650" t="str">
        <f t="shared" ref="D67:L67" si="17">D68&amp;"（含）"&amp;"-"&amp;E68</f>
        <v>1（含）-2</v>
      </c>
      <c r="E67" s="3650" t="str">
        <f t="shared" si="17"/>
        <v>2（含）-</v>
      </c>
      <c r="F67" s="3650" t="str">
        <f t="shared" si="17"/>
        <v>（含）-</v>
      </c>
      <c r="G67" s="3650" t="str">
        <f t="shared" si="17"/>
        <v>（含）-</v>
      </c>
      <c r="H67" s="3650" t="str">
        <f t="shared" si="17"/>
        <v>（含）-</v>
      </c>
      <c r="I67" s="3650" t="str">
        <f t="shared" si="17"/>
        <v>（含）-</v>
      </c>
      <c r="J67" s="3650" t="str">
        <f t="shared" si="17"/>
        <v>（含）-</v>
      </c>
      <c r="K67" s="3650" t="str">
        <f t="shared" si="17"/>
        <v>（含）-</v>
      </c>
      <c r="L67" s="3650" t="str">
        <f t="shared" si="17"/>
        <v>（含）-</v>
      </c>
      <c r="M67" s="3496" t="str">
        <f>M68&amp;"（含）"&amp;"-"&amp;P68</f>
        <v>（含）-</v>
      </c>
      <c r="N67" s="3640"/>
      <c r="O67" s="3640"/>
      <c r="P67" s="3625"/>
      <c r="Q67" s="3601"/>
      <c r="R67" s="3422"/>
      <c r="S67" s="3422"/>
      <c r="T67" s="3422"/>
      <c r="U67" s="3422"/>
      <c r="V67" s="3422"/>
      <c r="W67" s="3422"/>
      <c r="X67" s="3422"/>
      <c r="Y67" s="3422"/>
      <c r="Z67" s="3422"/>
      <c r="AA67" s="3422"/>
      <c r="AB67" s="3422"/>
      <c r="AC67" s="3422"/>
    </row>
    <row r="68" spans="1:29" ht="15">
      <c r="A68" s="3493"/>
      <c r="B68" s="3651"/>
      <c r="C68" s="3652">
        <v>0</v>
      </c>
      <c r="D68" s="3652">
        <v>1</v>
      </c>
      <c r="E68" s="3652">
        <v>2</v>
      </c>
      <c r="F68" s="3652"/>
      <c r="G68" s="3652"/>
      <c r="H68" s="3652"/>
      <c r="I68" s="3652"/>
      <c r="J68" s="3652"/>
      <c r="K68" s="3653"/>
      <c r="L68" s="3654"/>
      <c r="M68" s="3655"/>
      <c r="N68" s="3636"/>
      <c r="O68" s="3636"/>
      <c r="P68" s="3625"/>
      <c r="Q68" s="3601"/>
      <c r="R68" s="3422"/>
      <c r="S68" s="3422"/>
      <c r="T68" s="3422"/>
      <c r="U68" s="3422"/>
      <c r="V68" s="3422"/>
      <c r="W68" s="3422"/>
      <c r="X68" s="3422"/>
      <c r="Y68" s="3422"/>
      <c r="Z68" s="3422"/>
      <c r="AA68" s="3422"/>
      <c r="AB68" s="3422"/>
      <c r="AC68" s="3422"/>
    </row>
    <row r="69" spans="1:29" ht="15.75" thickBot="1">
      <c r="A69" s="3493"/>
      <c r="B69" s="3637"/>
      <c r="C69" s="3647">
        <v>100</v>
      </c>
      <c r="D69" s="3647">
        <f t="shared" ref="D69:M69" si="18">C69-$K11</f>
        <v>100</v>
      </c>
      <c r="E69" s="3647">
        <f t="shared" si="18"/>
        <v>100</v>
      </c>
      <c r="F69" s="3647">
        <f t="shared" si="18"/>
        <v>100</v>
      </c>
      <c r="G69" s="3647">
        <f t="shared" si="18"/>
        <v>100</v>
      </c>
      <c r="H69" s="3647">
        <f t="shared" si="18"/>
        <v>100</v>
      </c>
      <c r="I69" s="3647">
        <f t="shared" si="18"/>
        <v>100</v>
      </c>
      <c r="J69" s="3647">
        <f t="shared" si="18"/>
        <v>100</v>
      </c>
      <c r="K69" s="3647">
        <f t="shared" si="18"/>
        <v>100</v>
      </c>
      <c r="L69" s="3647">
        <f t="shared" si="18"/>
        <v>100</v>
      </c>
      <c r="M69" s="3648">
        <f t="shared" si="18"/>
        <v>100</v>
      </c>
      <c r="N69" s="3640"/>
      <c r="O69" s="3640"/>
      <c r="P69" s="3625"/>
      <c r="Q69" s="3601"/>
      <c r="R69" s="3422"/>
      <c r="S69" s="3422"/>
      <c r="T69" s="3422"/>
      <c r="U69" s="3422"/>
      <c r="V69" s="3422"/>
      <c r="W69" s="3422"/>
      <c r="X69" s="3422"/>
      <c r="Y69" s="3422"/>
      <c r="Z69" s="3422"/>
      <c r="AA69" s="3422"/>
      <c r="AB69" s="3422"/>
      <c r="AC69" s="3422"/>
    </row>
    <row r="70" spans="1:29" s="3544" customFormat="1" ht="15.75" thickTop="1">
      <c r="A70" s="3656"/>
      <c r="B70" s="3641">
        <f>B12</f>
        <v>111</v>
      </c>
      <c r="C70" s="3657"/>
      <c r="D70" s="3657"/>
      <c r="E70" s="3657"/>
      <c r="F70" s="3657"/>
      <c r="G70" s="3657"/>
      <c r="H70" s="3658"/>
      <c r="I70" s="3658"/>
      <c r="J70" s="3658"/>
      <c r="K70" s="3658"/>
      <c r="L70" s="3659"/>
      <c r="M70" s="3660"/>
      <c r="N70" s="3661"/>
      <c r="O70" s="3661"/>
      <c r="P70" s="3661"/>
      <c r="Q70" s="3662"/>
      <c r="R70" s="3537"/>
      <c r="S70" s="3537"/>
      <c r="T70" s="3537"/>
      <c r="U70" s="3537"/>
      <c r="V70" s="3537"/>
      <c r="W70" s="3537"/>
      <c r="X70" s="3537"/>
      <c r="Y70" s="3537"/>
      <c r="Z70" s="3537"/>
      <c r="AA70" s="3537"/>
      <c r="AB70" s="3537"/>
      <c r="AC70" s="3537"/>
    </row>
    <row r="71" spans="1:29" s="3544" customFormat="1" ht="15.75" thickBot="1">
      <c r="A71" s="3656"/>
      <c r="B71" s="3646"/>
      <c r="C71" s="3663"/>
      <c r="D71" s="3638"/>
      <c r="E71" s="3638"/>
      <c r="F71" s="3638"/>
      <c r="G71" s="3638"/>
      <c r="H71" s="3638"/>
      <c r="I71" s="3638"/>
      <c r="J71" s="3638"/>
      <c r="K71" s="3638"/>
      <c r="L71" s="3638"/>
      <c r="M71" s="3639"/>
      <c r="N71" s="3640"/>
      <c r="O71" s="3640"/>
      <c r="P71" s="3661"/>
      <c r="Q71" s="3662"/>
      <c r="R71" s="3537"/>
      <c r="S71" s="3537"/>
      <c r="T71" s="3537"/>
      <c r="U71" s="3537"/>
      <c r="V71" s="3537"/>
      <c r="W71" s="3537"/>
      <c r="X71" s="3537"/>
      <c r="Y71" s="3537"/>
      <c r="Z71" s="3537"/>
      <c r="AA71" s="3537"/>
      <c r="AB71" s="3537"/>
      <c r="AC71" s="3537"/>
    </row>
    <row r="72" spans="1:29" s="3544" customFormat="1" ht="15.75" thickTop="1">
      <c r="A72" s="3656"/>
      <c r="B72" s="3641">
        <f>B13</f>
        <v>111</v>
      </c>
      <c r="C72" s="3657"/>
      <c r="D72" s="3657"/>
      <c r="E72" s="3657"/>
      <c r="F72" s="3657"/>
      <c r="G72" s="3657"/>
      <c r="H72" s="3658"/>
      <c r="I72" s="3658"/>
      <c r="J72" s="3658"/>
      <c r="K72" s="3658"/>
      <c r="L72" s="3659"/>
      <c r="M72" s="3660"/>
      <c r="N72" s="3661"/>
      <c r="O72" s="3661"/>
      <c r="P72" s="3537"/>
      <c r="Q72" s="3664"/>
      <c r="R72" s="3537"/>
      <c r="S72" s="3537"/>
      <c r="T72" s="3537"/>
      <c r="U72" s="3537"/>
      <c r="V72" s="3537"/>
      <c r="W72" s="3537"/>
      <c r="X72" s="3537"/>
      <c r="Y72" s="3537"/>
      <c r="Z72" s="3537"/>
      <c r="AA72" s="3537"/>
      <c r="AB72" s="3537"/>
      <c r="AC72" s="3537"/>
    </row>
    <row r="73" spans="1:29" s="3544" customFormat="1" ht="15.75" thickBot="1">
      <c r="A73" s="3656"/>
      <c r="B73" s="3646"/>
      <c r="C73" s="3663"/>
      <c r="D73" s="3638"/>
      <c r="E73" s="3638"/>
      <c r="F73" s="3638"/>
      <c r="G73" s="3663"/>
      <c r="H73" s="3665"/>
      <c r="I73" s="3665"/>
      <c r="J73" s="3665"/>
      <c r="K73" s="3665"/>
      <c r="L73" s="3665"/>
      <c r="M73" s="3666"/>
      <c r="N73" s="3661"/>
      <c r="O73" s="3661"/>
      <c r="P73" s="3661"/>
      <c r="Q73" s="3662"/>
      <c r="R73" s="3537"/>
      <c r="S73" s="3537"/>
      <c r="T73" s="3537"/>
      <c r="U73" s="3537"/>
      <c r="V73" s="3537"/>
      <c r="W73" s="3537"/>
      <c r="X73" s="3537"/>
      <c r="Y73" s="3537"/>
      <c r="Z73" s="3537"/>
      <c r="AA73" s="3537"/>
      <c r="AB73" s="3537"/>
      <c r="AC73" s="3537"/>
    </row>
    <row r="74" spans="1:29" s="3544" customFormat="1" ht="15.75" thickTop="1">
      <c r="A74" s="3656"/>
      <c r="B74" s="3649">
        <f>B14</f>
        <v>111</v>
      </c>
      <c r="C74" s="3657"/>
      <c r="D74" s="3657"/>
      <c r="E74" s="3657"/>
      <c r="F74" s="3657"/>
      <c r="G74" s="3622"/>
      <c r="H74" s="3667"/>
      <c r="I74" s="3667"/>
      <c r="J74" s="3667"/>
      <c r="K74" s="3667"/>
      <c r="L74" s="3668"/>
      <c r="M74" s="3669"/>
      <c r="N74" s="3661"/>
      <c r="O74" s="3661"/>
      <c r="P74" s="3670"/>
      <c r="Q74" s="3662"/>
      <c r="R74" s="3537"/>
      <c r="S74" s="3537"/>
      <c r="T74" s="3537"/>
      <c r="U74" s="3537"/>
      <c r="V74" s="3537"/>
      <c r="W74" s="3537"/>
      <c r="X74" s="3537"/>
      <c r="Y74" s="3537"/>
      <c r="Z74" s="3537"/>
      <c r="AA74" s="3537"/>
      <c r="AB74" s="3537"/>
      <c r="AC74" s="3537"/>
    </row>
    <row r="75" spans="1:29" s="3544" customFormat="1" ht="15.75" thickBot="1">
      <c r="A75" s="3671"/>
      <c r="B75" s="3672"/>
      <c r="C75" s="3673"/>
      <c r="D75" s="3673"/>
      <c r="E75" s="3673"/>
      <c r="F75" s="3673"/>
      <c r="G75" s="3673"/>
      <c r="H75" s="3674"/>
      <c r="I75" s="3674"/>
      <c r="J75" s="3674"/>
      <c r="K75" s="3674"/>
      <c r="L75" s="3674"/>
      <c r="M75" s="3675"/>
      <c r="N75" s="3661"/>
      <c r="O75" s="3661"/>
      <c r="P75" s="3661"/>
      <c r="Q75" s="3662"/>
      <c r="R75" s="3537"/>
      <c r="S75" s="3537"/>
      <c r="T75" s="3537"/>
      <c r="U75" s="3537"/>
      <c r="V75" s="3537"/>
      <c r="W75" s="3537"/>
      <c r="X75" s="3537"/>
      <c r="Y75" s="3537"/>
      <c r="Z75" s="3537"/>
      <c r="AA75" s="3537"/>
      <c r="AB75" s="3537"/>
      <c r="AC75" s="3537"/>
    </row>
    <row r="76" spans="1:29">
      <c r="A76" s="3629" t="s">
        <v>531</v>
      </c>
      <c r="B76" s="3630" t="s">
        <v>570</v>
      </c>
      <c r="C76" s="3676" t="s">
        <v>571</v>
      </c>
      <c r="D76" s="3676" t="s">
        <v>572</v>
      </c>
      <c r="E76" s="3676" t="s">
        <v>573</v>
      </c>
      <c r="F76" s="3676" t="s">
        <v>574</v>
      </c>
      <c r="G76" s="3676" t="s">
        <v>575</v>
      </c>
      <c r="H76" s="3631"/>
      <c r="I76" s="3631"/>
      <c r="J76" s="3631"/>
      <c r="K76" s="3677"/>
      <c r="L76" s="3678"/>
      <c r="M76" s="3679"/>
      <c r="N76" s="3636"/>
      <c r="O76" s="3636"/>
      <c r="P76" s="3680"/>
      <c r="Q76" s="3601"/>
      <c r="R76" s="3422"/>
      <c r="S76" s="3422"/>
      <c r="T76" s="3422"/>
      <c r="U76" s="3422"/>
      <c r="V76" s="3422"/>
      <c r="W76" s="3422"/>
      <c r="X76" s="3422"/>
      <c r="Y76" s="3422"/>
      <c r="Z76" s="3422"/>
      <c r="AA76" s="3422"/>
      <c r="AB76" s="3422"/>
      <c r="AC76" s="3422"/>
    </row>
    <row r="77" spans="1:29" ht="15.75" thickBot="1">
      <c r="A77" s="3493"/>
      <c r="B77" s="3646"/>
      <c r="C77" s="3647">
        <v>100</v>
      </c>
      <c r="D77" s="3647">
        <f>C77-$K15</f>
        <v>98</v>
      </c>
      <c r="E77" s="3647">
        <f>D77-$K15</f>
        <v>96</v>
      </c>
      <c r="F77" s="3647">
        <f>E77-$K15</f>
        <v>94</v>
      </c>
      <c r="G77" s="3647">
        <f>F77-$K15</f>
        <v>92</v>
      </c>
      <c r="H77" s="3647"/>
      <c r="I77" s="3647"/>
      <c r="J77" s="3647"/>
      <c r="K77" s="3647"/>
      <c r="L77" s="3647"/>
      <c r="M77" s="3648"/>
      <c r="N77" s="3640"/>
      <c r="O77" s="3640"/>
      <c r="P77" s="3625"/>
      <c r="Q77" s="3601"/>
      <c r="R77" s="3422"/>
      <c r="S77" s="3422"/>
      <c r="T77" s="3422"/>
      <c r="U77" s="3422"/>
      <c r="V77" s="3422"/>
      <c r="W77" s="3422"/>
      <c r="X77" s="3422"/>
      <c r="Y77" s="3422"/>
      <c r="Z77" s="3422"/>
      <c r="AA77" s="3422"/>
      <c r="AB77" s="3422"/>
      <c r="AC77" s="3422"/>
    </row>
    <row r="78" spans="1:29" ht="15.75" thickTop="1">
      <c r="A78" s="3493"/>
      <c r="B78" s="3641" t="s">
        <v>578</v>
      </c>
      <c r="C78" s="3681" t="s">
        <v>571</v>
      </c>
      <c r="D78" s="3681" t="s">
        <v>572</v>
      </c>
      <c r="E78" s="3681" t="s">
        <v>573</v>
      </c>
      <c r="F78" s="3681" t="s">
        <v>574</v>
      </c>
      <c r="G78" s="3681" t="s">
        <v>575</v>
      </c>
      <c r="H78" s="3642"/>
      <c r="I78" s="3642"/>
      <c r="J78" s="3642"/>
      <c r="K78" s="3643"/>
      <c r="L78" s="3644"/>
      <c r="M78" s="3645"/>
      <c r="N78" s="3636"/>
      <c r="O78" s="3636"/>
      <c r="P78" s="3625"/>
      <c r="Q78" s="3601"/>
      <c r="R78" s="3422"/>
      <c r="S78" s="3422"/>
      <c r="T78" s="3422"/>
      <c r="U78" s="3422"/>
      <c r="V78" s="3422"/>
      <c r="W78" s="3422"/>
      <c r="X78" s="3422"/>
      <c r="Y78" s="3422"/>
      <c r="Z78" s="3422"/>
      <c r="AA78" s="3422"/>
      <c r="AB78" s="3422"/>
      <c r="AC78" s="3422"/>
    </row>
    <row r="79" spans="1:29" ht="15.75" thickBot="1">
      <c r="A79" s="3493"/>
      <c r="B79" s="3646"/>
      <c r="C79" s="3647">
        <v>100</v>
      </c>
      <c r="D79" s="3647">
        <f>C79-$K17</f>
        <v>98</v>
      </c>
      <c r="E79" s="3647">
        <f>D79-$K17</f>
        <v>96</v>
      </c>
      <c r="F79" s="3647">
        <f>E79-$K17</f>
        <v>94</v>
      </c>
      <c r="G79" s="3647">
        <f>F79-$K17</f>
        <v>92</v>
      </c>
      <c r="H79" s="3647"/>
      <c r="I79" s="3647"/>
      <c r="J79" s="3647"/>
      <c r="K79" s="3647"/>
      <c r="L79" s="3647"/>
      <c r="M79" s="3648"/>
      <c r="N79" s="3640"/>
      <c r="O79" s="3640"/>
      <c r="P79" s="3625"/>
      <c r="Q79" s="3601"/>
      <c r="R79" s="3422"/>
      <c r="S79" s="3422"/>
      <c r="T79" s="3422"/>
      <c r="U79" s="3422"/>
      <c r="V79" s="3422"/>
      <c r="W79" s="3422"/>
      <c r="X79" s="3422"/>
      <c r="Y79" s="3422"/>
      <c r="Z79" s="3422"/>
      <c r="AA79" s="3422"/>
      <c r="AB79" s="3422"/>
      <c r="AC79" s="3422"/>
    </row>
    <row r="80" spans="1:29" ht="15.75" thickTop="1">
      <c r="A80" s="3493"/>
      <c r="B80" s="3682" t="s">
        <v>2302</v>
      </c>
      <c r="C80" s="3681" t="s">
        <v>571</v>
      </c>
      <c r="D80" s="3681" t="s">
        <v>572</v>
      </c>
      <c r="E80" s="3681" t="s">
        <v>573</v>
      </c>
      <c r="F80" s="3681" t="s">
        <v>574</v>
      </c>
      <c r="G80" s="3681" t="s">
        <v>575</v>
      </c>
      <c r="H80" s="3642"/>
      <c r="I80" s="3642"/>
      <c r="J80" s="3642"/>
      <c r="K80" s="3643"/>
      <c r="L80" s="3644"/>
      <c r="M80" s="3645"/>
      <c r="N80" s="3636"/>
      <c r="O80" s="3636"/>
      <c r="P80" s="3625"/>
      <c r="Q80" s="3601"/>
      <c r="R80" s="3422"/>
      <c r="S80" s="3422"/>
      <c r="T80" s="3422"/>
      <c r="U80" s="3422"/>
      <c r="V80" s="3422"/>
      <c r="W80" s="3422"/>
      <c r="X80" s="3422"/>
      <c r="Y80" s="3422"/>
      <c r="Z80" s="3422"/>
      <c r="AA80" s="3422"/>
      <c r="AB80" s="3422"/>
      <c r="AC80" s="3422"/>
    </row>
    <row r="81" spans="1:29" ht="15.75" thickBot="1">
      <c r="A81" s="3493"/>
      <c r="B81" s="3646"/>
      <c r="C81" s="3647">
        <v>100</v>
      </c>
      <c r="D81" s="3647">
        <f>C81-$K19</f>
        <v>98</v>
      </c>
      <c r="E81" s="3647">
        <f>D81-$K19</f>
        <v>96</v>
      </c>
      <c r="F81" s="3647">
        <f>E81-$K19</f>
        <v>94</v>
      </c>
      <c r="G81" s="3647">
        <f>F81-$K19</f>
        <v>92</v>
      </c>
      <c r="H81" s="3647"/>
      <c r="I81" s="3647"/>
      <c r="J81" s="3647"/>
      <c r="K81" s="3647"/>
      <c r="L81" s="3647"/>
      <c r="M81" s="3648"/>
      <c r="N81" s="3640"/>
      <c r="O81" s="3640"/>
      <c r="P81" s="3625"/>
      <c r="Q81" s="3601"/>
      <c r="R81" s="3422"/>
      <c r="S81" s="3422"/>
      <c r="T81" s="3422"/>
      <c r="U81" s="3422"/>
      <c r="V81" s="3422"/>
      <c r="W81" s="3422"/>
      <c r="X81" s="3422"/>
      <c r="Y81" s="3422"/>
      <c r="Z81" s="3422"/>
      <c r="AA81" s="3422"/>
      <c r="AB81" s="3422"/>
      <c r="AC81" s="3422"/>
    </row>
    <row r="82" spans="1:29" ht="15.75" thickTop="1">
      <c r="A82" s="3493"/>
      <c r="B82" s="3683" t="s">
        <v>3180</v>
      </c>
      <c r="C82" s="3684" t="s">
        <v>1970</v>
      </c>
      <c r="D82" s="3684" t="s">
        <v>1969</v>
      </c>
      <c r="E82" s="3684" t="s">
        <v>1968</v>
      </c>
      <c r="F82" s="3684" t="s">
        <v>1967</v>
      </c>
      <c r="G82" s="3684" t="s">
        <v>1966</v>
      </c>
      <c r="H82" s="3642"/>
      <c r="I82" s="3642"/>
      <c r="J82" s="3642"/>
      <c r="K82" s="3642"/>
      <c r="L82" s="3642"/>
      <c r="M82" s="3685"/>
      <c r="N82" s="3640"/>
      <c r="O82" s="3640"/>
      <c r="P82" s="3625"/>
      <c r="Q82" s="3601"/>
      <c r="R82" s="3422"/>
      <c r="S82" s="3422"/>
      <c r="T82" s="3422"/>
      <c r="U82" s="3422"/>
      <c r="V82" s="3422"/>
      <c r="W82" s="3422"/>
      <c r="X82" s="3422"/>
      <c r="Y82" s="3422"/>
      <c r="Z82" s="3422"/>
      <c r="AA82" s="3422"/>
      <c r="AB82" s="3422"/>
      <c r="AC82" s="3422"/>
    </row>
    <row r="83" spans="1:29" ht="15.75" thickBot="1">
      <c r="A83" s="3493"/>
      <c r="B83" s="3649"/>
      <c r="C83" s="3647">
        <v>100</v>
      </c>
      <c r="D83" s="3647">
        <f>C83-$K21</f>
        <v>100</v>
      </c>
      <c r="E83" s="3647">
        <f>D83-$K21</f>
        <v>100</v>
      </c>
      <c r="F83" s="3647">
        <f>E83-$K21</f>
        <v>100</v>
      </c>
      <c r="G83" s="3647">
        <f>F83-$K21</f>
        <v>100</v>
      </c>
      <c r="H83" s="3686"/>
      <c r="I83" s="3686"/>
      <c r="J83" s="3686"/>
      <c r="K83" s="3686"/>
      <c r="L83" s="3686"/>
      <c r="M83" s="3498"/>
      <c r="N83" s="3640"/>
      <c r="O83" s="3640"/>
      <c r="P83" s="3625"/>
      <c r="Q83" s="3601"/>
      <c r="R83" s="3422"/>
      <c r="S83" s="3422"/>
      <c r="T83" s="3422"/>
      <c r="U83" s="3422"/>
      <c r="V83" s="3422"/>
      <c r="W83" s="3422"/>
      <c r="X83" s="3422"/>
      <c r="Y83" s="3422"/>
      <c r="Z83" s="3422"/>
      <c r="AA83" s="3422"/>
      <c r="AB83" s="3422"/>
      <c r="AC83" s="3422"/>
    </row>
    <row r="84" spans="1:29" ht="15.75" thickTop="1">
      <c r="A84" s="3493"/>
      <c r="B84" s="3641" t="s">
        <v>736</v>
      </c>
      <c r="C84" s="3681" t="s">
        <v>571</v>
      </c>
      <c r="D84" s="3681" t="s">
        <v>572</v>
      </c>
      <c r="E84" s="3681" t="s">
        <v>573</v>
      </c>
      <c r="F84" s="3681" t="s">
        <v>574</v>
      </c>
      <c r="G84" s="3681" t="s">
        <v>575</v>
      </c>
      <c r="H84" s="3642"/>
      <c r="I84" s="3642"/>
      <c r="J84" s="3642"/>
      <c r="K84" s="3643"/>
      <c r="L84" s="3644"/>
      <c r="M84" s="3645"/>
      <c r="N84" s="3636"/>
      <c r="O84" s="3636"/>
      <c r="P84" s="3625"/>
      <c r="Q84" s="3601"/>
      <c r="R84" s="3422"/>
      <c r="S84" s="3422"/>
      <c r="T84" s="3422"/>
      <c r="U84" s="3422"/>
      <c r="V84" s="3422"/>
      <c r="W84" s="3422"/>
      <c r="X84" s="3422"/>
      <c r="Y84" s="3422"/>
      <c r="Z84" s="3422"/>
      <c r="AA84" s="3422"/>
      <c r="AB84" s="3422"/>
      <c r="AC84" s="3422"/>
    </row>
    <row r="85" spans="1:29" ht="15.75" thickBot="1">
      <c r="A85" s="3493"/>
      <c r="B85" s="3646"/>
      <c r="C85" s="3647">
        <v>100</v>
      </c>
      <c r="D85" s="3647">
        <f>C85-$K23</f>
        <v>99</v>
      </c>
      <c r="E85" s="3647">
        <f>D85-$K23</f>
        <v>98</v>
      </c>
      <c r="F85" s="3647">
        <f>E85-$K23</f>
        <v>97</v>
      </c>
      <c r="G85" s="3647">
        <f>F85-$K23</f>
        <v>96</v>
      </c>
      <c r="H85" s="3647"/>
      <c r="I85" s="3647"/>
      <c r="J85" s="3647"/>
      <c r="K85" s="3647"/>
      <c r="L85" s="3647"/>
      <c r="M85" s="3648"/>
      <c r="N85" s="3640"/>
      <c r="O85" s="3640"/>
      <c r="P85" s="3625"/>
      <c r="Q85" s="3601"/>
      <c r="R85" s="3422"/>
      <c r="S85" s="3422"/>
      <c r="T85" s="3422"/>
      <c r="U85" s="3422"/>
      <c r="V85" s="3422"/>
      <c r="W85" s="3422"/>
      <c r="X85" s="3422"/>
      <c r="Y85" s="3422"/>
      <c r="Z85" s="3422"/>
      <c r="AA85" s="3422"/>
      <c r="AB85" s="3422"/>
      <c r="AC85" s="3422"/>
    </row>
    <row r="86" spans="1:29" s="3442" customFormat="1" ht="15.75" thickTop="1">
      <c r="A86" s="3524"/>
      <c r="B86" s="3641" t="s">
        <v>763</v>
      </c>
      <c r="C86" s="3687" t="s">
        <v>3194</v>
      </c>
      <c r="D86" s="3687" t="s">
        <v>3195</v>
      </c>
      <c r="E86" s="3657"/>
      <c r="F86" s="3657"/>
      <c r="G86" s="3657"/>
      <c r="H86" s="3657"/>
      <c r="I86" s="3657"/>
      <c r="J86" s="3657"/>
      <c r="K86" s="3657"/>
      <c r="L86" s="3688"/>
      <c r="M86" s="3689"/>
      <c r="N86" s="3625"/>
      <c r="O86" s="3625"/>
      <c r="P86" s="3625"/>
      <c r="Q86" s="3601"/>
      <c r="R86" s="3437"/>
      <c r="S86" s="3437"/>
      <c r="T86" s="3437"/>
      <c r="U86" s="3437"/>
      <c r="V86" s="3437"/>
      <c r="W86" s="3437"/>
      <c r="X86" s="3437"/>
      <c r="Y86" s="3437"/>
      <c r="Z86" s="3437"/>
      <c r="AA86" s="3437"/>
      <c r="AB86" s="3437"/>
      <c r="AC86" s="3437"/>
    </row>
    <row r="87" spans="1:29" s="3442" customFormat="1" ht="15.75" thickBot="1">
      <c r="A87" s="3524"/>
      <c r="B87" s="3646"/>
      <c r="C87" s="3690">
        <v>100</v>
      </c>
      <c r="D87" s="3647">
        <f t="shared" ref="D87:M87" si="19">C87-$K25</f>
        <v>99</v>
      </c>
      <c r="E87" s="3647">
        <f t="shared" si="19"/>
        <v>98</v>
      </c>
      <c r="F87" s="3647">
        <f t="shared" si="19"/>
        <v>97</v>
      </c>
      <c r="G87" s="3647">
        <f t="shared" si="19"/>
        <v>96</v>
      </c>
      <c r="H87" s="3647">
        <f t="shared" si="19"/>
        <v>95</v>
      </c>
      <c r="I87" s="3647">
        <f t="shared" si="19"/>
        <v>94</v>
      </c>
      <c r="J87" s="3647">
        <f t="shared" si="19"/>
        <v>93</v>
      </c>
      <c r="K87" s="3647">
        <f t="shared" si="19"/>
        <v>92</v>
      </c>
      <c r="L87" s="3647">
        <f t="shared" si="19"/>
        <v>91</v>
      </c>
      <c r="M87" s="3647">
        <f t="shared" si="19"/>
        <v>90</v>
      </c>
      <c r="N87" s="3640"/>
      <c r="O87" s="3640"/>
      <c r="P87" s="3625"/>
      <c r="Q87" s="3601"/>
      <c r="R87" s="3437"/>
      <c r="S87" s="3437"/>
      <c r="T87" s="3437"/>
      <c r="U87" s="3437"/>
      <c r="V87" s="3437"/>
      <c r="W87" s="3437"/>
      <c r="X87" s="3437"/>
      <c r="Y87" s="3437"/>
      <c r="Z87" s="3437"/>
      <c r="AA87" s="3437"/>
      <c r="AB87" s="3437"/>
      <c r="AC87" s="3437"/>
    </row>
    <row r="88" spans="1:29" s="3442" customFormat="1" ht="15.75" thickTop="1">
      <c r="A88" s="3524"/>
      <c r="B88" s="3641" t="str">
        <f>B26</f>
        <v>平面位置/可视性</v>
      </c>
      <c r="C88" s="3657"/>
      <c r="D88" s="3657"/>
      <c r="E88" s="3657"/>
      <c r="F88" s="3691"/>
      <c r="G88" s="3657"/>
      <c r="H88" s="3657"/>
      <c r="I88" s="3657"/>
      <c r="J88" s="3657"/>
      <c r="K88" s="3657"/>
      <c r="L88" s="3657"/>
      <c r="M88" s="3689"/>
      <c r="N88" s="3625"/>
      <c r="O88" s="3625"/>
      <c r="P88" s="3625"/>
      <c r="Q88" s="3601"/>
      <c r="R88" s="3437"/>
      <c r="S88" s="3437"/>
      <c r="T88" s="3437"/>
      <c r="U88" s="3437"/>
      <c r="V88" s="3437"/>
      <c r="W88" s="3437"/>
      <c r="X88" s="3437"/>
      <c r="Y88" s="3437"/>
      <c r="Z88" s="3437"/>
      <c r="AA88" s="3437"/>
      <c r="AB88" s="3437"/>
      <c r="AC88" s="3437"/>
    </row>
    <row r="89" spans="1:29" s="3442" customFormat="1" ht="15.75" thickBot="1">
      <c r="A89" s="3524"/>
      <c r="B89" s="3646"/>
      <c r="C89" s="3663"/>
      <c r="D89" s="3638"/>
      <c r="E89" s="3638"/>
      <c r="F89" s="3638"/>
      <c r="G89" s="3638"/>
      <c r="H89" s="3638"/>
      <c r="I89" s="3638"/>
      <c r="J89" s="3638"/>
      <c r="K89" s="3638"/>
      <c r="L89" s="3638"/>
      <c r="M89" s="3638"/>
      <c r="N89" s="3640"/>
      <c r="O89" s="3640"/>
      <c r="P89" s="3625"/>
      <c r="Q89" s="3601"/>
      <c r="R89" s="3437"/>
      <c r="S89" s="3437"/>
      <c r="T89" s="3437"/>
      <c r="U89" s="3437"/>
      <c r="V89" s="3437"/>
      <c r="W89" s="3437"/>
      <c r="X89" s="3437"/>
      <c r="Y89" s="3437"/>
      <c r="Z89" s="3437"/>
      <c r="AA89" s="3437"/>
      <c r="AB89" s="3437"/>
      <c r="AC89" s="3437"/>
    </row>
    <row r="90" spans="1:29" s="3544" customFormat="1" ht="15.75" thickTop="1">
      <c r="A90" s="3656"/>
      <c r="B90" s="3641" t="str">
        <f>B27</f>
        <v>人流量</v>
      </c>
      <c r="C90" s="3687" t="s">
        <v>2483</v>
      </c>
      <c r="D90" s="3687" t="s">
        <v>3220</v>
      </c>
      <c r="E90" s="3687" t="s">
        <v>3196</v>
      </c>
      <c r="F90" s="3687" t="s">
        <v>3221</v>
      </c>
      <c r="G90" s="3687" t="s">
        <v>2485</v>
      </c>
      <c r="H90" s="3658"/>
      <c r="I90" s="3658"/>
      <c r="J90" s="3658"/>
      <c r="K90" s="3658"/>
      <c r="L90" s="3659"/>
      <c r="M90" s="3660"/>
      <c r="N90" s="3661"/>
      <c r="O90" s="3661"/>
      <c r="P90" s="3661"/>
      <c r="Q90" s="3662"/>
      <c r="R90" s="3537"/>
      <c r="S90" s="3537"/>
      <c r="T90" s="3537"/>
      <c r="U90" s="3537"/>
      <c r="V90" s="3537"/>
      <c r="W90" s="3537"/>
      <c r="X90" s="3537"/>
      <c r="Y90" s="3537"/>
      <c r="Z90" s="3537"/>
      <c r="AA90" s="3537"/>
      <c r="AB90" s="3537"/>
      <c r="AC90" s="3537"/>
    </row>
    <row r="91" spans="1:29" s="3544" customFormat="1" ht="15.75" thickBot="1">
      <c r="A91" s="3656"/>
      <c r="B91" s="3646"/>
      <c r="C91" s="3690">
        <v>100</v>
      </c>
      <c r="D91" s="3647">
        <f>C91-$K27</f>
        <v>99</v>
      </c>
      <c r="E91" s="3647">
        <f t="shared" ref="E91:M91" si="20">D91-$K27</f>
        <v>98</v>
      </c>
      <c r="F91" s="3647">
        <f t="shared" si="20"/>
        <v>97</v>
      </c>
      <c r="G91" s="3647">
        <f t="shared" si="20"/>
        <v>96</v>
      </c>
      <c r="H91" s="3647">
        <f t="shared" si="20"/>
        <v>95</v>
      </c>
      <c r="I91" s="3647">
        <f t="shared" si="20"/>
        <v>94</v>
      </c>
      <c r="J91" s="3647">
        <f t="shared" si="20"/>
        <v>93</v>
      </c>
      <c r="K91" s="3647">
        <f t="shared" si="20"/>
        <v>92</v>
      </c>
      <c r="L91" s="3647">
        <f t="shared" si="20"/>
        <v>91</v>
      </c>
      <c r="M91" s="3647">
        <f t="shared" si="20"/>
        <v>90</v>
      </c>
      <c r="N91" s="3661"/>
      <c r="O91" s="3661"/>
      <c r="P91" s="3661"/>
      <c r="Q91" s="3662"/>
      <c r="R91" s="3537"/>
      <c r="S91" s="3537"/>
      <c r="T91" s="3537"/>
      <c r="U91" s="3537"/>
      <c r="V91" s="3537"/>
      <c r="W91" s="3537"/>
      <c r="X91" s="3537"/>
      <c r="Y91" s="3537"/>
      <c r="Z91" s="3537"/>
      <c r="AA91" s="3537"/>
      <c r="AB91" s="3537"/>
      <c r="AC91" s="3537"/>
    </row>
    <row r="92" spans="1:29" ht="15.75" thickTop="1">
      <c r="A92" s="3493"/>
      <c r="B92" s="3641" t="str">
        <f>B28</f>
        <v>楼层</v>
      </c>
      <c r="C92" s="3657" t="s">
        <v>3197</v>
      </c>
      <c r="D92" s="3657" t="s">
        <v>3198</v>
      </c>
      <c r="E92" s="3657"/>
      <c r="F92" s="3657"/>
      <c r="G92" s="3657"/>
      <c r="H92" s="3657"/>
      <c r="I92" s="3657"/>
      <c r="J92" s="3657"/>
      <c r="K92" s="3657"/>
      <c r="L92" s="3688"/>
      <c r="M92" s="3689"/>
      <c r="N92" s="3636"/>
      <c r="O92" s="3636"/>
      <c r="P92" s="3625"/>
      <c r="Q92" s="3601"/>
      <c r="R92" s="3422"/>
      <c r="S92" s="3422"/>
      <c r="T92" s="3422"/>
      <c r="U92" s="3422"/>
      <c r="V92" s="3422"/>
      <c r="W92" s="3422"/>
      <c r="X92" s="3422"/>
      <c r="Y92" s="3422"/>
      <c r="Z92" s="3422"/>
      <c r="AA92" s="3422"/>
      <c r="AB92" s="3422"/>
      <c r="AC92" s="3422"/>
    </row>
    <row r="93" spans="1:29" ht="15.75" thickBot="1">
      <c r="A93" s="3493"/>
      <c r="B93" s="3646"/>
      <c r="C93" s="3638">
        <v>100</v>
      </c>
      <c r="D93" s="3638">
        <v>90</v>
      </c>
      <c r="E93" s="3638"/>
      <c r="F93" s="3638"/>
      <c r="G93" s="3638"/>
      <c r="H93" s="3638"/>
      <c r="I93" s="3638"/>
      <c r="J93" s="3638"/>
      <c r="K93" s="3638"/>
      <c r="L93" s="3638"/>
      <c r="M93" s="3639"/>
      <c r="N93" s="3640"/>
      <c r="O93" s="3640"/>
      <c r="P93" s="3625"/>
      <c r="Q93" s="3601"/>
      <c r="R93" s="3422"/>
      <c r="S93" s="3422"/>
      <c r="T93" s="3422"/>
      <c r="U93" s="3422"/>
      <c r="V93" s="3422"/>
      <c r="W93" s="3422"/>
      <c r="X93" s="3422"/>
      <c r="Y93" s="3422"/>
      <c r="Z93" s="3422"/>
      <c r="AA93" s="3422"/>
      <c r="AB93" s="3422"/>
      <c r="AC93" s="3422"/>
    </row>
    <row r="94" spans="1:29" ht="15.75" thickTop="1">
      <c r="A94" s="3493"/>
      <c r="B94" s="3641" t="str">
        <f>B29</f>
        <v xml:space="preserve">临街 </v>
      </c>
      <c r="C94" s="3657"/>
      <c r="D94" s="3657"/>
      <c r="E94" s="3657"/>
      <c r="F94" s="3657"/>
      <c r="G94" s="3692"/>
      <c r="H94" s="3692"/>
      <c r="I94" s="3692"/>
      <c r="J94" s="3692"/>
      <c r="K94" s="3693"/>
      <c r="L94" s="3694"/>
      <c r="M94" s="3695"/>
      <c r="N94" s="3636"/>
      <c r="O94" s="3636"/>
      <c r="P94" s="3625"/>
      <c r="Q94" s="3601"/>
      <c r="R94" s="3422"/>
      <c r="S94" s="3422"/>
      <c r="T94" s="3422"/>
      <c r="U94" s="3422"/>
      <c r="V94" s="3422"/>
      <c r="W94" s="3422"/>
      <c r="X94" s="3422"/>
      <c r="Y94" s="3422"/>
      <c r="Z94" s="3422"/>
      <c r="AA94" s="3422"/>
      <c r="AB94" s="3422"/>
      <c r="AC94" s="3422"/>
    </row>
    <row r="95" spans="1:29" ht="15.75" thickBot="1">
      <c r="A95" s="3493"/>
      <c r="B95" s="3646"/>
      <c r="C95" s="3663"/>
      <c r="D95" s="3638"/>
      <c r="E95" s="3638"/>
      <c r="F95" s="3638"/>
      <c r="G95" s="3638"/>
      <c r="H95" s="3638"/>
      <c r="I95" s="3638"/>
      <c r="J95" s="3638"/>
      <c r="K95" s="3638"/>
      <c r="L95" s="3638"/>
      <c r="M95" s="3639"/>
      <c r="N95" s="3640"/>
      <c r="O95" s="3640"/>
      <c r="P95" s="3625"/>
      <c r="Q95" s="3601"/>
      <c r="R95" s="3422"/>
      <c r="S95" s="3422"/>
      <c r="T95" s="3422"/>
      <c r="U95" s="3422"/>
      <c r="V95" s="3422"/>
      <c r="W95" s="3422"/>
      <c r="X95" s="3422"/>
      <c r="Y95" s="3422"/>
      <c r="Z95" s="3422"/>
      <c r="AA95" s="3422"/>
      <c r="AB95" s="3422"/>
      <c r="AC95" s="3422"/>
    </row>
    <row r="96" spans="1:29" ht="15.75" thickTop="1">
      <c r="A96" s="3493"/>
      <c r="B96" s="3641">
        <f>B30</f>
        <v>111</v>
      </c>
      <c r="C96" s="3657"/>
      <c r="D96" s="3657"/>
      <c r="E96" s="3657"/>
      <c r="F96" s="3657"/>
      <c r="G96" s="3692"/>
      <c r="H96" s="3692"/>
      <c r="I96" s="3692"/>
      <c r="J96" s="3692"/>
      <c r="K96" s="3693"/>
      <c r="L96" s="3694"/>
      <c r="M96" s="3695"/>
      <c r="N96" s="3636"/>
      <c r="O96" s="3636"/>
      <c r="P96" s="3625"/>
      <c r="Q96" s="3601"/>
      <c r="R96" s="3422"/>
      <c r="S96" s="3422"/>
      <c r="T96" s="3422"/>
      <c r="U96" s="3422"/>
      <c r="V96" s="3422"/>
      <c r="W96" s="3422"/>
      <c r="X96" s="3422"/>
      <c r="Y96" s="3422"/>
      <c r="Z96" s="3422"/>
      <c r="AA96" s="3422"/>
      <c r="AB96" s="3422"/>
      <c r="AC96" s="3422"/>
    </row>
    <row r="97" spans="1:29" ht="15.75" thickBot="1">
      <c r="A97" s="3493"/>
      <c r="B97" s="3646"/>
      <c r="C97" s="3663"/>
      <c r="D97" s="3638"/>
      <c r="E97" s="3638"/>
      <c r="F97" s="3638"/>
      <c r="G97" s="3638"/>
      <c r="H97" s="3638"/>
      <c r="I97" s="3638"/>
      <c r="J97" s="3638"/>
      <c r="K97" s="3638"/>
      <c r="L97" s="3638"/>
      <c r="M97" s="3639"/>
      <c r="N97" s="3640"/>
      <c r="O97" s="3640"/>
      <c r="P97" s="3625"/>
      <c r="Q97" s="3601"/>
      <c r="R97" s="3422"/>
      <c r="S97" s="3422"/>
      <c r="T97" s="3422"/>
      <c r="U97" s="3422"/>
      <c r="V97" s="3422"/>
      <c r="W97" s="3422"/>
      <c r="X97" s="3422"/>
      <c r="Y97" s="3422"/>
      <c r="Z97" s="3422"/>
      <c r="AA97" s="3422"/>
      <c r="AB97" s="3422"/>
      <c r="AC97" s="3422"/>
    </row>
    <row r="98" spans="1:29" ht="15.75" thickTop="1">
      <c r="A98" s="3493"/>
      <c r="B98" s="3649">
        <f>B31</f>
        <v>111</v>
      </c>
      <c r="C98" s="3657"/>
      <c r="D98" s="3657"/>
      <c r="E98" s="3657"/>
      <c r="F98" s="3657"/>
      <c r="G98" s="3696"/>
      <c r="H98" s="3696"/>
      <c r="I98" s="3696"/>
      <c r="J98" s="3696"/>
      <c r="K98" s="3697"/>
      <c r="L98" s="3698"/>
      <c r="M98" s="3699"/>
      <c r="N98" s="3636"/>
      <c r="O98" s="3636"/>
      <c r="P98" s="3625"/>
      <c r="Q98" s="3601"/>
      <c r="R98" s="3422"/>
      <c r="S98" s="3422"/>
      <c r="T98" s="3422"/>
      <c r="U98" s="3422"/>
      <c r="V98" s="3422"/>
      <c r="W98" s="3422"/>
      <c r="X98" s="3422"/>
      <c r="Y98" s="3422"/>
      <c r="Z98" s="3422"/>
      <c r="AA98" s="3422"/>
      <c r="AB98" s="3422"/>
      <c r="AC98" s="3422"/>
    </row>
    <row r="99" spans="1:29" ht="15.75" thickBot="1">
      <c r="A99" s="3529"/>
      <c r="B99" s="3672"/>
      <c r="C99" s="3673"/>
      <c r="D99" s="3673"/>
      <c r="E99" s="3673"/>
      <c r="F99" s="3673"/>
      <c r="G99" s="3700"/>
      <c r="H99" s="3700"/>
      <c r="I99" s="3700"/>
      <c r="J99" s="3700"/>
      <c r="K99" s="3700"/>
      <c r="L99" s="3700"/>
      <c r="M99" s="3701"/>
      <c r="N99" s="3640"/>
      <c r="O99" s="3640"/>
      <c r="P99" s="3625"/>
      <c r="Q99" s="3601"/>
      <c r="R99" s="3422"/>
      <c r="S99" s="3422"/>
      <c r="T99" s="3422"/>
      <c r="U99" s="3422"/>
      <c r="V99" s="3422"/>
      <c r="W99" s="3422"/>
      <c r="X99" s="3422"/>
      <c r="Y99" s="3422"/>
      <c r="Z99" s="3422"/>
      <c r="AA99" s="3422"/>
      <c r="AB99" s="3422"/>
      <c r="AC99" s="3422"/>
    </row>
    <row r="100" spans="1:29">
      <c r="A100" s="3629" t="s">
        <v>543</v>
      </c>
      <c r="B100" s="3630" t="s">
        <v>764</v>
      </c>
      <c r="C100" s="3702" t="s">
        <v>3199</v>
      </c>
      <c r="D100" s="3702" t="s">
        <v>3200</v>
      </c>
      <c r="E100" s="3632"/>
      <c r="F100" s="3632"/>
      <c r="G100" s="3632"/>
      <c r="H100" s="3632"/>
      <c r="I100" s="3632"/>
      <c r="J100" s="3632"/>
      <c r="K100" s="3633"/>
      <c r="L100" s="3634"/>
      <c r="M100" s="3635"/>
      <c r="N100" s="3636"/>
      <c r="O100" s="3636"/>
      <c r="P100" s="3625"/>
      <c r="Q100" s="3601"/>
      <c r="R100" s="3422"/>
      <c r="S100" s="3422"/>
      <c r="T100" s="3422"/>
      <c r="U100" s="3422"/>
      <c r="V100" s="3422"/>
      <c r="W100" s="3422"/>
      <c r="X100" s="3422"/>
      <c r="Y100" s="3422"/>
      <c r="Z100" s="3422"/>
      <c r="AA100" s="3422"/>
      <c r="AB100" s="3422"/>
      <c r="AC100" s="3422"/>
    </row>
    <row r="101" spans="1:29" ht="15.75" thickBot="1">
      <c r="A101" s="3493"/>
      <c r="B101" s="3646"/>
      <c r="C101" s="3647">
        <v>100</v>
      </c>
      <c r="D101" s="3647">
        <f t="shared" ref="D101:M101" si="21">C101-$K32</f>
        <v>99</v>
      </c>
      <c r="E101" s="3647">
        <f t="shared" si="21"/>
        <v>98</v>
      </c>
      <c r="F101" s="3647">
        <f t="shared" si="21"/>
        <v>97</v>
      </c>
      <c r="G101" s="3647">
        <f t="shared" si="21"/>
        <v>96</v>
      </c>
      <c r="H101" s="3647">
        <f t="shared" si="21"/>
        <v>95</v>
      </c>
      <c r="I101" s="3647">
        <f t="shared" si="21"/>
        <v>94</v>
      </c>
      <c r="J101" s="3647">
        <f t="shared" si="21"/>
        <v>93</v>
      </c>
      <c r="K101" s="3647">
        <f t="shared" si="21"/>
        <v>92</v>
      </c>
      <c r="L101" s="3647">
        <f t="shared" si="21"/>
        <v>91</v>
      </c>
      <c r="M101" s="3648">
        <f t="shared" si="21"/>
        <v>90</v>
      </c>
      <c r="N101" s="3640"/>
      <c r="O101" s="3640"/>
      <c r="P101" s="3625"/>
      <c r="Q101" s="3601"/>
      <c r="R101" s="3422"/>
      <c r="S101" s="3422"/>
      <c r="T101" s="3422"/>
      <c r="U101" s="3422"/>
      <c r="V101" s="3422"/>
      <c r="W101" s="3422"/>
      <c r="X101" s="3422"/>
      <c r="Y101" s="3422"/>
      <c r="Z101" s="3422"/>
      <c r="AA101" s="3422"/>
      <c r="AB101" s="3422"/>
      <c r="AC101" s="3422"/>
    </row>
    <row r="102" spans="1:29" ht="29.25" thickTop="1">
      <c r="A102" s="3493"/>
      <c r="B102" s="3641" t="s">
        <v>740</v>
      </c>
      <c r="C102" s="3681" t="str">
        <f>C103&amp;"(含)"&amp;"-"&amp;D103</f>
        <v>0(含)-500</v>
      </c>
      <c r="D102" s="3681" t="str">
        <f t="shared" ref="D102:L102" si="22">D103&amp;"(含)"&amp;"-"&amp;E103</f>
        <v>500(含)-2000</v>
      </c>
      <c r="E102" s="3681" t="str">
        <f t="shared" si="22"/>
        <v>2000(含)-5000</v>
      </c>
      <c r="F102" s="3681" t="str">
        <f t="shared" si="22"/>
        <v>5000(含)-10000</v>
      </c>
      <c r="G102" s="3681" t="str">
        <f t="shared" si="22"/>
        <v>10000(含)-</v>
      </c>
      <c r="H102" s="3681" t="str">
        <f t="shared" si="22"/>
        <v>(含)-</v>
      </c>
      <c r="I102" s="3681" t="str">
        <f t="shared" si="22"/>
        <v>(含)-</v>
      </c>
      <c r="J102" s="3681" t="str">
        <f t="shared" si="22"/>
        <v>(含)-</v>
      </c>
      <c r="K102" s="3681" t="str">
        <f t="shared" si="22"/>
        <v>(含)-</v>
      </c>
      <c r="L102" s="3681" t="str">
        <f t="shared" si="22"/>
        <v>(含)-</v>
      </c>
      <c r="M102" s="3703" t="str">
        <f>M103&amp;"(含)"&amp;"-"&amp;P103</f>
        <v>(含)-</v>
      </c>
      <c r="N102" s="3625"/>
      <c r="O102" s="3625"/>
      <c r="P102" s="3625"/>
      <c r="Q102" s="3601"/>
      <c r="R102" s="3422"/>
      <c r="S102" s="3422"/>
      <c r="T102" s="3422"/>
      <c r="U102" s="3422"/>
      <c r="V102" s="3422"/>
      <c r="W102" s="3422"/>
      <c r="X102" s="3422"/>
      <c r="Y102" s="3422"/>
      <c r="Z102" s="3422"/>
      <c r="AA102" s="3422"/>
      <c r="AB102" s="3422"/>
      <c r="AC102" s="3422"/>
    </row>
    <row r="103" spans="1:29" s="3544" customFormat="1">
      <c r="A103" s="3535"/>
      <c r="B103" s="3704"/>
      <c r="C103" s="3705">
        <v>0</v>
      </c>
      <c r="D103" s="3705">
        <v>500</v>
      </c>
      <c r="E103" s="3705">
        <v>2000</v>
      </c>
      <c r="F103" s="3705">
        <v>5000</v>
      </c>
      <c r="G103" s="3705">
        <v>10000</v>
      </c>
      <c r="H103" s="3705"/>
      <c r="I103" s="3705"/>
      <c r="J103" s="3706"/>
      <c r="K103" s="3706"/>
      <c r="L103" s="3707"/>
      <c r="M103" s="3708"/>
      <c r="N103" s="3661"/>
      <c r="O103" s="3661"/>
      <c r="P103" s="3661"/>
      <c r="Q103" s="3662"/>
      <c r="R103" s="3537"/>
      <c r="S103" s="3537"/>
      <c r="T103" s="3537"/>
      <c r="U103" s="3537"/>
      <c r="V103" s="3537"/>
      <c r="W103" s="3537"/>
      <c r="X103" s="3537"/>
      <c r="Y103" s="3537"/>
      <c r="Z103" s="3537"/>
      <c r="AA103" s="3537"/>
      <c r="AB103" s="3537"/>
      <c r="AC103" s="3537"/>
    </row>
    <row r="104" spans="1:29" s="3544" customFormat="1" ht="15.75" thickBot="1">
      <c r="A104" s="3656"/>
      <c r="B104" s="3646"/>
      <c r="C104" s="3663">
        <v>100</v>
      </c>
      <c r="D104" s="3638">
        <v>101</v>
      </c>
      <c r="E104" s="3638">
        <v>100</v>
      </c>
      <c r="F104" s="3638">
        <v>99</v>
      </c>
      <c r="G104" s="3638">
        <v>98</v>
      </c>
      <c r="H104" s="3638"/>
      <c r="I104" s="3638"/>
      <c r="J104" s="3638"/>
      <c r="K104" s="3638"/>
      <c r="L104" s="3638"/>
      <c r="M104" s="3639"/>
      <c r="N104" s="3640"/>
      <c r="O104" s="3640"/>
      <c r="P104" s="3661"/>
      <c r="Q104" s="3662"/>
      <c r="R104" s="3537"/>
      <c r="S104" s="3537"/>
      <c r="T104" s="3537"/>
      <c r="U104" s="3537"/>
      <c r="V104" s="3537"/>
      <c r="W104" s="3537"/>
      <c r="X104" s="3537"/>
      <c r="Y104" s="3537"/>
      <c r="Z104" s="3537"/>
      <c r="AA104" s="3537"/>
      <c r="AB104" s="3537"/>
      <c r="AC104" s="3537"/>
    </row>
    <row r="105" spans="1:29" ht="15" thickTop="1">
      <c r="A105" s="3545"/>
      <c r="B105" s="3641" t="s">
        <v>741</v>
      </c>
      <c r="C105" s="3657"/>
      <c r="D105" s="3657"/>
      <c r="E105" s="3692"/>
      <c r="F105" s="3692"/>
      <c r="G105" s="3692"/>
      <c r="H105" s="3692"/>
      <c r="I105" s="3692"/>
      <c r="J105" s="3692"/>
      <c r="K105" s="3693"/>
      <c r="L105" s="3694"/>
      <c r="M105" s="3695"/>
      <c r="N105" s="3636"/>
      <c r="O105" s="3636"/>
      <c r="P105" s="3625"/>
      <c r="Q105" s="3601"/>
      <c r="R105" s="3422"/>
      <c r="S105" s="3422"/>
      <c r="T105" s="3422"/>
      <c r="U105" s="3422"/>
      <c r="V105" s="3422"/>
      <c r="W105" s="3422"/>
      <c r="X105" s="3422"/>
      <c r="Y105" s="3422"/>
      <c r="Z105" s="3422"/>
      <c r="AA105" s="3422"/>
      <c r="AB105" s="3422"/>
      <c r="AC105" s="3422"/>
    </row>
    <row r="106" spans="1:29" ht="15.75" thickBot="1">
      <c r="A106" s="3493"/>
      <c r="B106" s="3646"/>
      <c r="C106" s="3647">
        <v>100</v>
      </c>
      <c r="D106" s="3647">
        <f t="shared" ref="D106:M106" si="23">C106-$K34</f>
        <v>100</v>
      </c>
      <c r="E106" s="3647">
        <f t="shared" si="23"/>
        <v>100</v>
      </c>
      <c r="F106" s="3647">
        <f t="shared" si="23"/>
        <v>100</v>
      </c>
      <c r="G106" s="3647">
        <f t="shared" si="23"/>
        <v>100</v>
      </c>
      <c r="H106" s="3647">
        <f t="shared" si="23"/>
        <v>100</v>
      </c>
      <c r="I106" s="3647">
        <f t="shared" si="23"/>
        <v>100</v>
      </c>
      <c r="J106" s="3647">
        <f t="shared" si="23"/>
        <v>100</v>
      </c>
      <c r="K106" s="3647">
        <f t="shared" si="23"/>
        <v>100</v>
      </c>
      <c r="L106" s="3647">
        <f t="shared" si="23"/>
        <v>100</v>
      </c>
      <c r="M106" s="3648">
        <f t="shared" si="23"/>
        <v>100</v>
      </c>
      <c r="N106" s="3640"/>
      <c r="O106" s="3640"/>
      <c r="P106" s="3625"/>
      <c r="Q106" s="3601"/>
      <c r="R106" s="3422"/>
      <c r="S106" s="3422"/>
      <c r="T106" s="3422"/>
      <c r="U106" s="3422"/>
      <c r="V106" s="3422"/>
      <c r="W106" s="3422"/>
      <c r="X106" s="3422"/>
      <c r="Y106" s="3422"/>
      <c r="Z106" s="3422"/>
      <c r="AA106" s="3422"/>
      <c r="AB106" s="3422"/>
      <c r="AC106" s="3422"/>
    </row>
    <row r="107" spans="1:29" ht="15" thickTop="1">
      <c r="A107" s="3545"/>
      <c r="B107" s="3641" t="s">
        <v>743</v>
      </c>
      <c r="C107" s="3657"/>
      <c r="D107" s="3657"/>
      <c r="E107" s="3657"/>
      <c r="F107" s="3692"/>
      <c r="G107" s="3692"/>
      <c r="H107" s="3692"/>
      <c r="I107" s="3692"/>
      <c r="J107" s="3692"/>
      <c r="K107" s="3693"/>
      <c r="L107" s="3694"/>
      <c r="M107" s="3695"/>
      <c r="N107" s="3636"/>
      <c r="O107" s="3636"/>
      <c r="P107" s="3625"/>
      <c r="Q107" s="3601"/>
      <c r="R107" s="3422"/>
      <c r="S107" s="3422"/>
      <c r="T107" s="3422"/>
      <c r="U107" s="3422"/>
      <c r="V107" s="3422"/>
      <c r="W107" s="3422"/>
      <c r="X107" s="3422"/>
      <c r="Y107" s="3422"/>
      <c r="Z107" s="3422"/>
      <c r="AA107" s="3422"/>
      <c r="AB107" s="3422"/>
      <c r="AC107" s="3422"/>
    </row>
    <row r="108" spans="1:29" ht="15.75" thickBot="1">
      <c r="A108" s="3493"/>
      <c r="B108" s="3646"/>
      <c r="C108" s="3647">
        <v>100</v>
      </c>
      <c r="D108" s="3647">
        <f t="shared" ref="D108:M108" si="24">C108-$K35</f>
        <v>100</v>
      </c>
      <c r="E108" s="3647">
        <f t="shared" si="24"/>
        <v>100</v>
      </c>
      <c r="F108" s="3647">
        <f t="shared" si="24"/>
        <v>100</v>
      </c>
      <c r="G108" s="3647">
        <f t="shared" si="24"/>
        <v>100</v>
      </c>
      <c r="H108" s="3647">
        <f t="shared" si="24"/>
        <v>100</v>
      </c>
      <c r="I108" s="3647">
        <f t="shared" si="24"/>
        <v>100</v>
      </c>
      <c r="J108" s="3647">
        <f t="shared" si="24"/>
        <v>100</v>
      </c>
      <c r="K108" s="3647">
        <f t="shared" si="24"/>
        <v>100</v>
      </c>
      <c r="L108" s="3647">
        <f t="shared" si="24"/>
        <v>100</v>
      </c>
      <c r="M108" s="3648">
        <f t="shared" si="24"/>
        <v>100</v>
      </c>
      <c r="N108" s="3640"/>
      <c r="O108" s="3640"/>
      <c r="P108" s="3625"/>
      <c r="Q108" s="3601"/>
      <c r="R108" s="3422"/>
      <c r="S108" s="3422"/>
      <c r="T108" s="3422"/>
      <c r="U108" s="3422"/>
      <c r="V108" s="3422"/>
      <c r="W108" s="3422"/>
      <c r="X108" s="3422"/>
      <c r="Y108" s="3422"/>
      <c r="Z108" s="3422"/>
      <c r="AA108" s="3422"/>
      <c r="AB108" s="3422"/>
      <c r="AC108" s="3422"/>
    </row>
    <row r="109" spans="1:29" ht="15" thickTop="1">
      <c r="A109" s="3545"/>
      <c r="B109" s="3641" t="s">
        <v>744</v>
      </c>
      <c r="C109" s="3681" t="str">
        <f>C110&amp;"(含)"&amp;"-"&amp;D110</f>
        <v>0.5(含)-0.6</v>
      </c>
      <c r="D109" s="3681" t="str">
        <f>D110&amp;"(含)"&amp;"-"&amp;E110</f>
        <v>0.6(含)-0.7</v>
      </c>
      <c r="E109" s="3681" t="str">
        <f>E110&amp;"(含)"&amp;"-"&amp;F110</f>
        <v>0.7(含)-0.8</v>
      </c>
      <c r="F109" s="3681" t="str">
        <f>F110&amp;"(含)"&amp;"-"&amp;G110</f>
        <v>0.8(含)-0.9</v>
      </c>
      <c r="G109" s="3681" t="str">
        <f>G110&amp;"(含)"&amp;"-"&amp;ROUND(H110,0)</f>
        <v>0.9(含)-1</v>
      </c>
      <c r="H109" s="3681"/>
      <c r="I109" s="3692"/>
      <c r="J109" s="3692"/>
      <c r="K109" s="3693"/>
      <c r="L109" s="3694"/>
      <c r="M109" s="3695"/>
      <c r="N109" s="3636"/>
      <c r="O109" s="3636"/>
      <c r="P109" s="3625"/>
      <c r="Q109" s="3601"/>
      <c r="R109" s="3422"/>
      <c r="S109" s="3422"/>
      <c r="T109" s="3422"/>
      <c r="U109" s="3422"/>
      <c r="V109" s="3422"/>
      <c r="W109" s="3422"/>
      <c r="X109" s="3422"/>
      <c r="Y109" s="3422"/>
      <c r="Z109" s="3422"/>
      <c r="AA109" s="3422"/>
      <c r="AB109" s="3422"/>
      <c r="AC109" s="3422"/>
    </row>
    <row r="110" spans="1:29">
      <c r="A110" s="3545"/>
      <c r="B110" s="3649"/>
      <c r="C110" s="3453">
        <v>0.5</v>
      </c>
      <c r="D110" s="3453">
        <v>0.6</v>
      </c>
      <c r="E110" s="3453">
        <v>0.7</v>
      </c>
      <c r="F110" s="3453">
        <v>0.8</v>
      </c>
      <c r="G110" s="3453">
        <v>0.9</v>
      </c>
      <c r="H110" s="3453">
        <v>1.0001</v>
      </c>
      <c r="I110" s="3709"/>
      <c r="J110" s="3709"/>
      <c r="K110" s="3710"/>
      <c r="L110" s="3711"/>
      <c r="M110" s="3712"/>
      <c r="N110" s="3636"/>
      <c r="O110" s="3636"/>
      <c r="P110" s="3625"/>
      <c r="Q110" s="3601"/>
      <c r="R110" s="3422"/>
      <c r="S110" s="3422"/>
      <c r="T110" s="3422"/>
      <c r="U110" s="3422"/>
      <c r="V110" s="3422"/>
      <c r="W110" s="3422"/>
      <c r="X110" s="3422"/>
      <c r="Y110" s="3422"/>
      <c r="Z110" s="3422"/>
      <c r="AA110" s="3422"/>
      <c r="AB110" s="3422"/>
      <c r="AC110" s="3422"/>
    </row>
    <row r="111" spans="1:29" ht="15.75" thickBot="1">
      <c r="A111" s="3493"/>
      <c r="B111" s="3646"/>
      <c r="C111" s="3690">
        <v>100</v>
      </c>
      <c r="D111" s="3647">
        <f>C111+$K36</f>
        <v>102</v>
      </c>
      <c r="E111" s="3647">
        <f t="shared" ref="E111:M111" si="25">D111+$K36</f>
        <v>104</v>
      </c>
      <c r="F111" s="3647">
        <f t="shared" si="25"/>
        <v>106</v>
      </c>
      <c r="G111" s="3647">
        <f t="shared" si="25"/>
        <v>108</v>
      </c>
      <c r="H111" s="3647">
        <f t="shared" si="25"/>
        <v>110</v>
      </c>
      <c r="I111" s="3647">
        <f t="shared" si="25"/>
        <v>112</v>
      </c>
      <c r="J111" s="3647">
        <f t="shared" si="25"/>
        <v>114</v>
      </c>
      <c r="K111" s="3647">
        <f t="shared" si="25"/>
        <v>116</v>
      </c>
      <c r="L111" s="3647">
        <f t="shared" si="25"/>
        <v>118</v>
      </c>
      <c r="M111" s="3647">
        <f t="shared" si="25"/>
        <v>120</v>
      </c>
      <c r="N111" s="3640"/>
      <c r="O111" s="3640"/>
      <c r="P111" s="3625"/>
      <c r="Q111" s="3601"/>
      <c r="R111" s="3422"/>
      <c r="S111" s="3422"/>
      <c r="T111" s="3422"/>
      <c r="U111" s="3422"/>
      <c r="V111" s="3422"/>
      <c r="W111" s="3422"/>
      <c r="X111" s="3422"/>
      <c r="Y111" s="3422"/>
      <c r="Z111" s="3422"/>
      <c r="AA111" s="3422"/>
      <c r="AB111" s="3422"/>
      <c r="AC111" s="3422"/>
    </row>
    <row r="112" spans="1:29" s="3544" customFormat="1" ht="15" thickTop="1">
      <c r="A112" s="3535"/>
      <c r="B112" s="3682" t="s">
        <v>2535</v>
      </c>
      <c r="C112" s="3657"/>
      <c r="D112" s="3657"/>
      <c r="E112" s="3657"/>
      <c r="F112" s="3657"/>
      <c r="G112" s="3657"/>
      <c r="H112" s="3692"/>
      <c r="I112" s="3692"/>
      <c r="J112" s="3692"/>
      <c r="K112" s="3693"/>
      <c r="L112" s="3694"/>
      <c r="M112" s="3695"/>
      <c r="N112" s="3661"/>
      <c r="O112" s="3661"/>
      <c r="P112" s="3661"/>
      <c r="Q112" s="3662"/>
      <c r="R112" s="3537"/>
      <c r="S112" s="3537"/>
      <c r="T112" s="3537"/>
      <c r="U112" s="3537"/>
      <c r="V112" s="3537"/>
      <c r="W112" s="3537"/>
      <c r="X112" s="3537"/>
      <c r="Y112" s="3537"/>
      <c r="Z112" s="3537"/>
      <c r="AA112" s="3537"/>
      <c r="AB112" s="3537"/>
      <c r="AC112" s="3537"/>
    </row>
    <row r="113" spans="1:29" s="3544" customFormat="1" ht="15.75" thickBot="1">
      <c r="A113" s="3656"/>
      <c r="B113" s="3646"/>
      <c r="C113" s="3647">
        <v>100</v>
      </c>
      <c r="D113" s="3647">
        <f>C113-$K37</f>
        <v>100</v>
      </c>
      <c r="E113" s="3647">
        <f t="shared" ref="E113:M113" si="26">D113-$K37</f>
        <v>100</v>
      </c>
      <c r="F113" s="3647">
        <f t="shared" si="26"/>
        <v>100</v>
      </c>
      <c r="G113" s="3647">
        <f t="shared" si="26"/>
        <v>100</v>
      </c>
      <c r="H113" s="3647">
        <f t="shared" si="26"/>
        <v>100</v>
      </c>
      <c r="I113" s="3647">
        <f t="shared" si="26"/>
        <v>100</v>
      </c>
      <c r="J113" s="3647">
        <f t="shared" si="26"/>
        <v>100</v>
      </c>
      <c r="K113" s="3647">
        <f t="shared" si="26"/>
        <v>100</v>
      </c>
      <c r="L113" s="3647">
        <f t="shared" si="26"/>
        <v>100</v>
      </c>
      <c r="M113" s="3647">
        <f t="shared" si="26"/>
        <v>100</v>
      </c>
      <c r="N113" s="3661"/>
      <c r="O113" s="3661"/>
      <c r="P113" s="3661"/>
      <c r="Q113" s="3662"/>
      <c r="R113" s="3537"/>
      <c r="S113" s="3537"/>
      <c r="T113" s="3537"/>
      <c r="U113" s="3537"/>
      <c r="V113" s="3537"/>
      <c r="W113" s="3537"/>
      <c r="X113" s="3537"/>
      <c r="Y113" s="3537"/>
      <c r="Z113" s="3537"/>
      <c r="AA113" s="3537"/>
      <c r="AB113" s="3537"/>
      <c r="AC113" s="3537"/>
    </row>
    <row r="114" spans="1:29" ht="15" thickTop="1">
      <c r="A114" s="3545"/>
      <c r="B114" s="3641" t="s">
        <v>765</v>
      </c>
      <c r="C114" s="3657"/>
      <c r="D114" s="3657"/>
      <c r="E114" s="3692"/>
      <c r="F114" s="3692"/>
      <c r="G114" s="3692"/>
      <c r="H114" s="3692"/>
      <c r="I114" s="3692"/>
      <c r="J114" s="3692"/>
      <c r="K114" s="3693"/>
      <c r="L114" s="3694"/>
      <c r="M114" s="3695"/>
      <c r="N114" s="3636"/>
      <c r="O114" s="3636"/>
      <c r="P114" s="3625"/>
      <c r="Q114" s="3601"/>
      <c r="R114" s="3422"/>
      <c r="S114" s="3422"/>
      <c r="T114" s="3422"/>
      <c r="U114" s="3422"/>
      <c r="V114" s="3422"/>
      <c r="W114" s="3422"/>
      <c r="X114" s="3422"/>
      <c r="Y114" s="3422"/>
      <c r="Z114" s="3422"/>
      <c r="AA114" s="3422"/>
      <c r="AB114" s="3422"/>
      <c r="AC114" s="3422"/>
    </row>
    <row r="115" spans="1:29" ht="15.75" thickBot="1">
      <c r="A115" s="3493"/>
      <c r="B115" s="3646"/>
      <c r="C115" s="3647">
        <v>100</v>
      </c>
      <c r="D115" s="3647">
        <f t="shared" ref="D115:M115" si="27">C115-$K38</f>
        <v>100</v>
      </c>
      <c r="E115" s="3647">
        <f t="shared" si="27"/>
        <v>100</v>
      </c>
      <c r="F115" s="3647">
        <f t="shared" si="27"/>
        <v>100</v>
      </c>
      <c r="G115" s="3647">
        <f t="shared" si="27"/>
        <v>100</v>
      </c>
      <c r="H115" s="3647">
        <f t="shared" si="27"/>
        <v>100</v>
      </c>
      <c r="I115" s="3647">
        <f t="shared" si="27"/>
        <v>100</v>
      </c>
      <c r="J115" s="3647">
        <f t="shared" si="27"/>
        <v>100</v>
      </c>
      <c r="K115" s="3647">
        <f t="shared" si="27"/>
        <v>100</v>
      </c>
      <c r="L115" s="3647">
        <f t="shared" si="27"/>
        <v>100</v>
      </c>
      <c r="M115" s="3648">
        <f t="shared" si="27"/>
        <v>100</v>
      </c>
      <c r="N115" s="3640"/>
      <c r="O115" s="3640"/>
      <c r="P115" s="3625"/>
      <c r="Q115" s="3601"/>
      <c r="R115" s="3422"/>
      <c r="S115" s="3422"/>
      <c r="T115" s="3422"/>
      <c r="U115" s="3422"/>
      <c r="V115" s="3422"/>
      <c r="W115" s="3422"/>
      <c r="X115" s="3422"/>
      <c r="Y115" s="3422"/>
      <c r="Z115" s="3422"/>
      <c r="AA115" s="3422"/>
      <c r="AB115" s="3422"/>
      <c r="AC115" s="3422"/>
    </row>
    <row r="116" spans="1:29" ht="15" thickTop="1">
      <c r="A116" s="3545"/>
      <c r="B116" s="3641" t="s">
        <v>766</v>
      </c>
      <c r="C116" s="3657"/>
      <c r="D116" s="3657"/>
      <c r="E116" s="3657"/>
      <c r="F116" s="3657"/>
      <c r="G116" s="3657"/>
      <c r="H116" s="3692"/>
      <c r="I116" s="3692"/>
      <c r="J116" s="3692"/>
      <c r="K116" s="3693"/>
      <c r="L116" s="3694"/>
      <c r="M116" s="3695"/>
      <c r="N116" s="3636"/>
      <c r="O116" s="3636"/>
      <c r="P116" s="3625"/>
      <c r="Q116" s="3601"/>
      <c r="R116" s="3422"/>
      <c r="S116" s="3422"/>
      <c r="T116" s="3422"/>
      <c r="U116" s="3422"/>
      <c r="V116" s="3422"/>
      <c r="W116" s="3422"/>
      <c r="X116" s="3422"/>
      <c r="Y116" s="3422"/>
      <c r="Z116" s="3422"/>
      <c r="AA116" s="3422"/>
      <c r="AB116" s="3422"/>
      <c r="AC116" s="3422"/>
    </row>
    <row r="117" spans="1:29" ht="15.75" thickBot="1">
      <c r="A117" s="3493"/>
      <c r="B117" s="3646"/>
      <c r="C117" s="3647">
        <v>100</v>
      </c>
      <c r="D117" s="3647">
        <f>C117-$K39</f>
        <v>100</v>
      </c>
      <c r="E117" s="3647">
        <f>D117-$K39</f>
        <v>100</v>
      </c>
      <c r="F117" s="3647">
        <f>E117-$K39</f>
        <v>100</v>
      </c>
      <c r="G117" s="3647">
        <f>F117-$K39</f>
        <v>100</v>
      </c>
      <c r="H117" s="3647"/>
      <c r="I117" s="3647"/>
      <c r="J117" s="3647"/>
      <c r="K117" s="3647"/>
      <c r="L117" s="3647"/>
      <c r="M117" s="3648"/>
      <c r="N117" s="3640"/>
      <c r="O117" s="3640"/>
      <c r="P117" s="3625"/>
      <c r="Q117" s="3601"/>
      <c r="R117" s="3422"/>
      <c r="S117" s="3422"/>
      <c r="T117" s="3422"/>
      <c r="U117" s="3422"/>
      <c r="V117" s="3422"/>
      <c r="W117" s="3422"/>
      <c r="X117" s="3422"/>
      <c r="Y117" s="3422"/>
      <c r="Z117" s="3422"/>
      <c r="AA117" s="3422"/>
      <c r="AB117" s="3422"/>
      <c r="AC117" s="3422"/>
    </row>
    <row r="118" spans="1:29" ht="15" thickTop="1">
      <c r="A118" s="3545"/>
      <c r="B118" s="3641" t="s">
        <v>767</v>
      </c>
      <c r="C118" s="3713"/>
      <c r="D118" s="3713"/>
      <c r="E118" s="3713"/>
      <c r="F118" s="3713"/>
      <c r="G118" s="3713"/>
      <c r="H118" s="3658"/>
      <c r="I118" s="3658"/>
      <c r="J118" s="3658"/>
      <c r="K118" s="3658"/>
      <c r="L118" s="3659"/>
      <c r="M118" s="3660"/>
      <c r="N118" s="3636"/>
      <c r="O118" s="3636"/>
      <c r="P118" s="3625"/>
      <c r="Q118" s="3601"/>
      <c r="R118" s="3422"/>
      <c r="S118" s="3422"/>
      <c r="T118" s="3422"/>
      <c r="U118" s="3422"/>
      <c r="V118" s="3422"/>
      <c r="W118" s="3422"/>
      <c r="X118" s="3422"/>
      <c r="Y118" s="3422"/>
      <c r="Z118" s="3422"/>
      <c r="AA118" s="3422"/>
      <c r="AB118" s="3422"/>
      <c r="AC118" s="3422"/>
    </row>
    <row r="119" spans="1:29" ht="15.75" thickBot="1">
      <c r="A119" s="3493"/>
      <c r="B119" s="3646"/>
      <c r="C119" s="3663"/>
      <c r="D119" s="3638"/>
      <c r="E119" s="3638"/>
      <c r="F119" s="3638"/>
      <c r="G119" s="3638"/>
      <c r="H119" s="3638"/>
      <c r="I119" s="3638"/>
      <c r="J119" s="3638"/>
      <c r="K119" s="3638"/>
      <c r="L119" s="3638"/>
      <c r="M119" s="3639"/>
      <c r="N119" s="3640"/>
      <c r="O119" s="3640"/>
      <c r="P119" s="3625"/>
      <c r="Q119" s="3601"/>
      <c r="R119" s="3422"/>
      <c r="S119" s="3422"/>
      <c r="T119" s="3422"/>
      <c r="U119" s="3422"/>
      <c r="V119" s="3422"/>
      <c r="W119" s="3422"/>
      <c r="X119" s="3422"/>
      <c r="Y119" s="3422"/>
      <c r="Z119" s="3422"/>
      <c r="AA119" s="3422"/>
      <c r="AB119" s="3422"/>
      <c r="AC119" s="3422"/>
    </row>
    <row r="120" spans="1:29" s="3544" customFormat="1" ht="15" thickTop="1">
      <c r="A120" s="3535"/>
      <c r="B120" s="3641" t="s">
        <v>768</v>
      </c>
      <c r="C120" s="3692"/>
      <c r="D120" s="3692"/>
      <c r="E120" s="3692"/>
      <c r="F120" s="3692"/>
      <c r="G120" s="3658"/>
      <c r="H120" s="3658"/>
      <c r="I120" s="3658"/>
      <c r="J120" s="3658"/>
      <c r="K120" s="3658"/>
      <c r="L120" s="3659"/>
      <c r="M120" s="3660"/>
      <c r="N120" s="3661"/>
      <c r="O120" s="3661"/>
      <c r="P120" s="3661"/>
      <c r="Q120" s="3662"/>
      <c r="R120" s="3537"/>
      <c r="S120" s="3537"/>
      <c r="T120" s="3537"/>
      <c r="U120" s="3537"/>
      <c r="V120" s="3537"/>
      <c r="W120" s="3537"/>
      <c r="X120" s="3537"/>
      <c r="Y120" s="3537"/>
      <c r="Z120" s="3537"/>
      <c r="AA120" s="3537"/>
      <c r="AB120" s="3537"/>
      <c r="AC120" s="3537"/>
    </row>
    <row r="121" spans="1:29" s="3544" customFormat="1" ht="15.75" thickBot="1">
      <c r="A121" s="3656"/>
      <c r="B121" s="3637"/>
      <c r="C121" s="3690">
        <v>100</v>
      </c>
      <c r="D121" s="3647">
        <f>C121-$K41</f>
        <v>100</v>
      </c>
      <c r="E121" s="3647">
        <f t="shared" ref="E121:M121" si="28">D121-$K41</f>
        <v>100</v>
      </c>
      <c r="F121" s="3647">
        <f t="shared" si="28"/>
        <v>100</v>
      </c>
      <c r="G121" s="3647">
        <f t="shared" si="28"/>
        <v>100</v>
      </c>
      <c r="H121" s="3647">
        <f t="shared" si="28"/>
        <v>100</v>
      </c>
      <c r="I121" s="3647">
        <f t="shared" si="28"/>
        <v>100</v>
      </c>
      <c r="J121" s="3647">
        <f t="shared" si="28"/>
        <v>100</v>
      </c>
      <c r="K121" s="3647">
        <f t="shared" si="28"/>
        <v>100</v>
      </c>
      <c r="L121" s="3647">
        <f t="shared" si="28"/>
        <v>100</v>
      </c>
      <c r="M121" s="3648">
        <f t="shared" si="28"/>
        <v>100</v>
      </c>
      <c r="N121" s="3661"/>
      <c r="O121" s="3661"/>
      <c r="P121" s="3661"/>
      <c r="Q121" s="3662"/>
      <c r="R121" s="3537"/>
      <c r="S121" s="3537"/>
      <c r="T121" s="3537"/>
      <c r="U121" s="3537"/>
      <c r="V121" s="3537"/>
      <c r="W121" s="3537"/>
      <c r="X121" s="3537"/>
      <c r="Y121" s="3537"/>
      <c r="Z121" s="3537"/>
      <c r="AA121" s="3537"/>
      <c r="AB121" s="3537"/>
      <c r="AC121" s="3537"/>
    </row>
    <row r="122" spans="1:29" ht="15" thickTop="1">
      <c r="A122" s="3545"/>
      <c r="B122" s="3641" t="s">
        <v>747</v>
      </c>
      <c r="C122" s="3657"/>
      <c r="D122" s="3657"/>
      <c r="E122" s="3657"/>
      <c r="F122" s="3692"/>
      <c r="G122" s="3692"/>
      <c r="H122" s="3692"/>
      <c r="I122" s="3692"/>
      <c r="J122" s="3692"/>
      <c r="K122" s="3693"/>
      <c r="L122" s="3694"/>
      <c r="M122" s="3695"/>
      <c r="N122" s="3636"/>
      <c r="O122" s="3636"/>
      <c r="P122" s="3625"/>
      <c r="Q122" s="3601"/>
      <c r="R122" s="3422"/>
      <c r="S122" s="3422"/>
      <c r="T122" s="3422"/>
      <c r="U122" s="3422"/>
      <c r="V122" s="3422"/>
      <c r="W122" s="3422"/>
      <c r="X122" s="3422"/>
      <c r="Y122" s="3422"/>
      <c r="Z122" s="3422"/>
      <c r="AA122" s="3422"/>
      <c r="AB122" s="3422"/>
      <c r="AC122" s="3422"/>
    </row>
    <row r="123" spans="1:29" ht="15.75" thickBot="1">
      <c r="A123" s="3493"/>
      <c r="B123" s="3646"/>
      <c r="C123" s="3647">
        <v>100</v>
      </c>
      <c r="D123" s="3647">
        <f t="shared" ref="D123:M123" si="29">C123-$K42</f>
        <v>100</v>
      </c>
      <c r="E123" s="3647">
        <f t="shared" si="29"/>
        <v>100</v>
      </c>
      <c r="F123" s="3647">
        <f t="shared" si="29"/>
        <v>100</v>
      </c>
      <c r="G123" s="3647">
        <f t="shared" si="29"/>
        <v>100</v>
      </c>
      <c r="H123" s="3647">
        <f t="shared" si="29"/>
        <v>100</v>
      </c>
      <c r="I123" s="3647">
        <f t="shared" si="29"/>
        <v>100</v>
      </c>
      <c r="J123" s="3647">
        <f t="shared" si="29"/>
        <v>100</v>
      </c>
      <c r="K123" s="3647">
        <f t="shared" si="29"/>
        <v>100</v>
      </c>
      <c r="L123" s="3647">
        <f t="shared" si="29"/>
        <v>100</v>
      </c>
      <c r="M123" s="3648">
        <f t="shared" si="29"/>
        <v>100</v>
      </c>
      <c r="N123" s="3640"/>
      <c r="O123" s="3640"/>
      <c r="P123" s="3625"/>
      <c r="Q123" s="3601"/>
      <c r="R123" s="3422"/>
      <c r="S123" s="3422"/>
      <c r="T123" s="3422"/>
      <c r="U123" s="3422"/>
      <c r="V123" s="3422"/>
      <c r="W123" s="3422"/>
      <c r="X123" s="3422"/>
      <c r="Y123" s="3422"/>
      <c r="Z123" s="3422"/>
      <c r="AA123" s="3422"/>
      <c r="AB123" s="3422"/>
      <c r="AC123" s="3422"/>
    </row>
    <row r="124" spans="1:29" ht="27.75" thickTop="1">
      <c r="A124" s="3545"/>
      <c r="B124" s="3641" t="s">
        <v>748</v>
      </c>
      <c r="C124" s="3681" t="s">
        <v>571</v>
      </c>
      <c r="D124" s="3681" t="s">
        <v>572</v>
      </c>
      <c r="E124" s="3681" t="s">
        <v>573</v>
      </c>
      <c r="F124" s="3681" t="s">
        <v>574</v>
      </c>
      <c r="G124" s="3681" t="s">
        <v>575</v>
      </c>
      <c r="H124" s="3642"/>
      <c r="I124" s="3642"/>
      <c r="J124" s="3642"/>
      <c r="K124" s="3643"/>
      <c r="L124" s="3644"/>
      <c r="M124" s="3645"/>
      <c r="N124" s="3636"/>
      <c r="O124" s="3636"/>
      <c r="P124" s="3661"/>
      <c r="Q124" s="3601"/>
      <c r="R124" s="3422"/>
      <c r="S124" s="3422"/>
      <c r="T124" s="3422"/>
      <c r="U124" s="3422"/>
      <c r="V124" s="3422"/>
      <c r="W124" s="3422"/>
      <c r="X124" s="3422"/>
      <c r="Y124" s="3422"/>
      <c r="Z124" s="3422"/>
      <c r="AA124" s="3422"/>
      <c r="AB124" s="3422"/>
      <c r="AC124" s="3422"/>
    </row>
    <row r="125" spans="1:29" ht="15.75" thickBot="1">
      <c r="A125" s="3493"/>
      <c r="B125" s="3646"/>
      <c r="C125" s="3647">
        <v>100</v>
      </c>
      <c r="D125" s="3647">
        <f>C125-$K43</f>
        <v>100</v>
      </c>
      <c r="E125" s="3647">
        <f>D125-$K43</f>
        <v>100</v>
      </c>
      <c r="F125" s="3647">
        <f>E125-$K43</f>
        <v>100</v>
      </c>
      <c r="G125" s="3647">
        <f>F125-$K43</f>
        <v>100</v>
      </c>
      <c r="H125" s="3647"/>
      <c r="I125" s="3647"/>
      <c r="J125" s="3647"/>
      <c r="K125" s="3647"/>
      <c r="L125" s="3647"/>
      <c r="M125" s="3648"/>
      <c r="N125" s="3640"/>
      <c r="O125" s="3640"/>
      <c r="P125" s="3625"/>
      <c r="Q125" s="3601"/>
      <c r="R125" s="3422"/>
      <c r="S125" s="3422"/>
      <c r="T125" s="3422"/>
      <c r="U125" s="3422"/>
      <c r="V125" s="3422"/>
      <c r="W125" s="3422"/>
      <c r="X125" s="3422"/>
      <c r="Y125" s="3422"/>
      <c r="Z125" s="3422"/>
      <c r="AA125" s="3422"/>
      <c r="AB125" s="3422"/>
      <c r="AC125" s="3422"/>
    </row>
    <row r="126" spans="1:29" s="3544" customFormat="1" ht="15" thickTop="1">
      <c r="A126" s="3535"/>
      <c r="B126" s="3641">
        <f>B44</f>
        <v>111</v>
      </c>
      <c r="C126" s="3657"/>
      <c r="D126" s="3657"/>
      <c r="E126" s="3657"/>
      <c r="F126" s="3657"/>
      <c r="G126" s="3657"/>
      <c r="H126" s="3658"/>
      <c r="I126" s="3658"/>
      <c r="J126" s="3658"/>
      <c r="K126" s="3658"/>
      <c r="L126" s="3659"/>
      <c r="M126" s="3660"/>
      <c r="N126" s="3661"/>
      <c r="O126" s="3661"/>
      <c r="P126" s="3661"/>
      <c r="Q126" s="3662"/>
      <c r="R126" s="3537"/>
      <c r="S126" s="3537"/>
      <c r="T126" s="3537"/>
      <c r="U126" s="3537"/>
      <c r="V126" s="3537"/>
      <c r="W126" s="3537"/>
      <c r="X126" s="3537"/>
      <c r="Y126" s="3537"/>
      <c r="Z126" s="3537"/>
      <c r="AA126" s="3537"/>
      <c r="AB126" s="3537"/>
      <c r="AC126" s="3537"/>
    </row>
    <row r="127" spans="1:29" s="3544" customFormat="1" ht="15.75" thickBot="1">
      <c r="A127" s="3656"/>
      <c r="B127" s="3646"/>
      <c r="C127" s="3663"/>
      <c r="D127" s="3638"/>
      <c r="E127" s="3638"/>
      <c r="F127" s="3638"/>
      <c r="G127" s="3663"/>
      <c r="H127" s="3665"/>
      <c r="I127" s="3665"/>
      <c r="J127" s="3665"/>
      <c r="K127" s="3665"/>
      <c r="L127" s="3665"/>
      <c r="M127" s="3666"/>
      <c r="N127" s="3661"/>
      <c r="O127" s="3661"/>
      <c r="P127" s="3661"/>
      <c r="Q127" s="3662"/>
      <c r="R127" s="3537"/>
      <c r="S127" s="3537"/>
      <c r="T127" s="3537"/>
      <c r="U127" s="3537"/>
      <c r="V127" s="3537"/>
      <c r="W127" s="3537"/>
      <c r="X127" s="3537"/>
      <c r="Y127" s="3537"/>
      <c r="Z127" s="3537"/>
      <c r="AA127" s="3537"/>
      <c r="AB127" s="3537"/>
      <c r="AC127" s="3537"/>
    </row>
    <row r="128" spans="1:29" ht="15" thickTop="1">
      <c r="A128" s="3545"/>
      <c r="B128" s="3641">
        <f>B45</f>
        <v>111</v>
      </c>
      <c r="C128" s="3657"/>
      <c r="D128" s="3657"/>
      <c r="E128" s="3657"/>
      <c r="F128" s="3657"/>
      <c r="G128" s="3692"/>
      <c r="H128" s="3692"/>
      <c r="I128" s="3692"/>
      <c r="J128" s="3692"/>
      <c r="K128" s="3693"/>
      <c r="L128" s="3694"/>
      <c r="M128" s="3695"/>
      <c r="N128" s="3636"/>
      <c r="O128" s="3636"/>
      <c r="P128" s="3625"/>
      <c r="Q128" s="3601"/>
      <c r="R128" s="3422"/>
      <c r="S128" s="3422"/>
      <c r="T128" s="3422"/>
      <c r="U128" s="3422"/>
      <c r="V128" s="3422"/>
      <c r="W128" s="3422"/>
      <c r="X128" s="3422"/>
      <c r="Y128" s="3422"/>
      <c r="Z128" s="3422"/>
      <c r="AA128" s="3422"/>
      <c r="AB128" s="3422"/>
      <c r="AC128" s="3422"/>
    </row>
    <row r="129" spans="1:29" ht="15.75" thickBot="1">
      <c r="A129" s="3493"/>
      <c r="B129" s="3646"/>
      <c r="C129" s="3663"/>
      <c r="D129" s="3638"/>
      <c r="E129" s="3638"/>
      <c r="F129" s="3638"/>
      <c r="G129" s="3638"/>
      <c r="H129" s="3638"/>
      <c r="I129" s="3638"/>
      <c r="J129" s="3638"/>
      <c r="K129" s="3638"/>
      <c r="L129" s="3638"/>
      <c r="M129" s="3639"/>
      <c r="N129" s="3640"/>
      <c r="O129" s="3640"/>
      <c r="P129" s="3625"/>
      <c r="Q129" s="3601"/>
      <c r="R129" s="3422"/>
      <c r="S129" s="3422"/>
      <c r="T129" s="3422"/>
      <c r="U129" s="3422"/>
      <c r="V129" s="3422"/>
      <c r="W129" s="3422"/>
      <c r="X129" s="3422"/>
      <c r="Y129" s="3422"/>
      <c r="Z129" s="3422"/>
      <c r="AA129" s="3422"/>
      <c r="AB129" s="3422"/>
      <c r="AC129" s="3422"/>
    </row>
    <row r="130" spans="1:29" ht="15" thickTop="1">
      <c r="A130" s="3545"/>
      <c r="B130" s="3649">
        <f>B46</f>
        <v>111</v>
      </c>
      <c r="C130" s="3657"/>
      <c r="D130" s="3657"/>
      <c r="E130" s="3657"/>
      <c r="F130" s="3657"/>
      <c r="G130" s="3696"/>
      <c r="H130" s="3696"/>
      <c r="I130" s="3696"/>
      <c r="J130" s="3696"/>
      <c r="K130" s="3622"/>
      <c r="L130" s="3623"/>
      <c r="M130" s="3699"/>
      <c r="N130" s="3636"/>
      <c r="O130" s="3636"/>
      <c r="P130" s="3625"/>
      <c r="Q130" s="3601"/>
      <c r="R130" s="3422"/>
      <c r="S130" s="3422"/>
      <c r="T130" s="3422"/>
      <c r="U130" s="3422"/>
      <c r="V130" s="3422"/>
      <c r="W130" s="3422"/>
      <c r="X130" s="3422"/>
      <c r="Y130" s="3422"/>
      <c r="Z130" s="3422"/>
      <c r="AA130" s="3422"/>
      <c r="AB130" s="3422"/>
      <c r="AC130" s="3422"/>
    </row>
    <row r="131" spans="1:29" ht="15.75" thickBot="1">
      <c r="A131" s="3529"/>
      <c r="B131" s="3672"/>
      <c r="C131" s="3673"/>
      <c r="D131" s="3673"/>
      <c r="E131" s="3673"/>
      <c r="F131" s="3673"/>
      <c r="G131" s="3700"/>
      <c r="H131" s="3700"/>
      <c r="I131" s="3700"/>
      <c r="J131" s="3700"/>
      <c r="K131" s="3700"/>
      <c r="L131" s="3700"/>
      <c r="M131" s="3701"/>
      <c r="N131" s="3640"/>
      <c r="O131" s="3640"/>
      <c r="P131" s="3625"/>
      <c r="Q131" s="3601"/>
      <c r="R131" s="3422"/>
      <c r="S131" s="3422"/>
      <c r="T131" s="3422"/>
      <c r="U131" s="3422"/>
      <c r="V131" s="3422"/>
      <c r="W131" s="3422"/>
      <c r="X131" s="3422"/>
      <c r="Y131" s="3422"/>
      <c r="Z131" s="3422"/>
      <c r="AA131" s="3422"/>
      <c r="AB131" s="3422"/>
      <c r="AC131" s="3422"/>
    </row>
    <row r="132" spans="1:29">
      <c r="A132" s="3714"/>
      <c r="B132" s="3714"/>
      <c r="C132" s="3714"/>
      <c r="D132" s="3714"/>
      <c r="E132" s="3714"/>
      <c r="F132" s="3714"/>
      <c r="G132" s="3714"/>
      <c r="H132" s="3714"/>
      <c r="I132" s="3714"/>
      <c r="J132" s="3714"/>
      <c r="K132" s="3715"/>
      <c r="L132" s="3716"/>
      <c r="M132" s="3714"/>
      <c r="N132" s="3714"/>
      <c r="O132" s="3714"/>
      <c r="P132" s="3714"/>
      <c r="Q132" s="3714"/>
      <c r="R132" s="3714"/>
      <c r="S132" s="3714"/>
      <c r="T132" s="3714"/>
      <c r="U132" s="3714"/>
      <c r="V132" s="3714"/>
      <c r="W132" s="3714"/>
      <c r="X132" s="3714"/>
      <c r="Y132" s="3714"/>
      <c r="Z132" s="3714"/>
      <c r="AA132" s="3714"/>
      <c r="AB132" s="3714"/>
      <c r="AC132" s="3714"/>
    </row>
    <row r="133" spans="1:29">
      <c r="A133" s="3714"/>
      <c r="B133" s="3714"/>
      <c r="C133" s="3714"/>
      <c r="D133" s="3714"/>
      <c r="E133" s="3714"/>
      <c r="F133" s="3714"/>
      <c r="G133" s="3714"/>
      <c r="H133" s="3714"/>
      <c r="I133" s="3714"/>
      <c r="J133" s="3714"/>
      <c r="K133" s="3715"/>
      <c r="L133" s="3716"/>
      <c r="M133" s="3714"/>
      <c r="N133" s="3714"/>
      <c r="O133" s="3714"/>
      <c r="P133" s="3714"/>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14"/>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14"/>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14"/>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14"/>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14"/>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14"/>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14"/>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14"/>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14"/>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14"/>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14"/>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14"/>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14"/>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14"/>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14"/>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14"/>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14"/>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14"/>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14"/>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14"/>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14"/>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14"/>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14"/>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14"/>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14"/>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14"/>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14"/>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14"/>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14"/>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14"/>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14"/>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14"/>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14"/>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14"/>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14"/>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14"/>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14"/>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14"/>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14"/>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14"/>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14"/>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14"/>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14"/>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14"/>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14"/>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14"/>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14"/>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14"/>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14"/>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14"/>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14"/>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14"/>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14"/>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14"/>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14"/>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14"/>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14"/>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14"/>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14"/>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14"/>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14"/>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14"/>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14"/>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14"/>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14"/>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14"/>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14"/>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14"/>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14"/>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14"/>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14"/>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14"/>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14"/>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14"/>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14"/>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14"/>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14"/>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14"/>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14"/>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14"/>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14"/>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14"/>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14"/>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14"/>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14"/>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14"/>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14"/>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14"/>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14"/>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14"/>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14"/>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14"/>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14"/>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14"/>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14"/>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14"/>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14"/>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14"/>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14"/>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14"/>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14"/>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14"/>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14"/>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14"/>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14"/>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14"/>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14"/>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14"/>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14"/>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14"/>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14"/>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14"/>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14"/>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14"/>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14"/>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14"/>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14"/>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14"/>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14"/>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14"/>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14"/>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14"/>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14"/>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14"/>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14"/>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14"/>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14"/>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14"/>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14"/>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14"/>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14"/>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14"/>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14"/>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14"/>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14"/>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14"/>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14"/>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14"/>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14"/>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14"/>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14"/>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14"/>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14"/>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14"/>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14"/>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14"/>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14"/>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14"/>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14"/>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14"/>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14"/>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14"/>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14"/>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14"/>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14"/>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14"/>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14"/>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14"/>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14"/>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14"/>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14"/>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14"/>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14"/>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14"/>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14"/>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14"/>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14"/>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14"/>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14"/>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14"/>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14"/>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14"/>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14"/>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14"/>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14"/>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14"/>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14"/>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14"/>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14"/>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14"/>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14"/>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14"/>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14"/>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14"/>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14"/>
      <c r="Q318" s="3714"/>
      <c r="R318" s="3714"/>
      <c r="S318" s="3714"/>
      <c r="T318" s="3714"/>
      <c r="U318" s="3714"/>
      <c r="V318" s="3714"/>
      <c r="W318" s="3714"/>
      <c r="X318" s="3714"/>
      <c r="Y318" s="3714"/>
      <c r="Z318" s="3714"/>
      <c r="AA318" s="3714"/>
      <c r="AB318" s="3714"/>
      <c r="AC318" s="3714"/>
    </row>
    <row r="319" spans="1:29">
      <c r="N319" s="3714"/>
      <c r="O319" s="3714"/>
      <c r="P319" s="3714"/>
      <c r="Q319" s="3714"/>
      <c r="R319" s="3714"/>
      <c r="S319" s="3714"/>
      <c r="T319" s="3714"/>
      <c r="U319" s="3714"/>
      <c r="V319" s="3714"/>
      <c r="W319" s="3714"/>
      <c r="X319" s="3714"/>
      <c r="Y319" s="3714"/>
      <c r="Z319" s="3714"/>
      <c r="AA319" s="3714"/>
      <c r="AB319" s="3714"/>
      <c r="AC319" s="3714"/>
    </row>
    <row r="320" spans="1:29">
      <c r="AC320" s="3714"/>
    </row>
    <row r="321" spans="29:29">
      <c r="AC321" s="3714"/>
    </row>
    <row r="322" spans="29:29">
      <c r="AC322" s="3714"/>
    </row>
    <row r="323" spans="29:29">
      <c r="AC323" s="3714"/>
    </row>
    <row r="324" spans="29:29">
      <c r="AC324" s="3714"/>
    </row>
    <row r="325" spans="29:29">
      <c r="AC325" s="3714"/>
    </row>
    <row r="326" spans="29:29">
      <c r="AC326" s="3714"/>
    </row>
    <row r="327" spans="29:29">
      <c r="AC327" s="3714"/>
    </row>
    <row r="328" spans="29:29">
      <c r="AC328" s="3714"/>
    </row>
    <row r="329" spans="29:29">
      <c r="AC329" s="3714"/>
    </row>
    <row r="330" spans="29:29">
      <c r="AC330" s="3714"/>
    </row>
    <row r="331" spans="29:29">
      <c r="AC331" s="3714"/>
    </row>
    <row r="332" spans="29:29">
      <c r="AC332" s="3714"/>
    </row>
    <row r="333" spans="29:29">
      <c r="AC333" s="3714"/>
    </row>
    <row r="334" spans="29:29">
      <c r="AC334" s="3714"/>
    </row>
    <row r="335" spans="29:29">
      <c r="AC335" s="3714"/>
    </row>
    <row r="336" spans="29:29">
      <c r="AC336" s="3714"/>
    </row>
    <row r="337" spans="29:29">
      <c r="AC337" s="3714"/>
    </row>
    <row r="338" spans="29:29">
      <c r="AC338" s="3714"/>
    </row>
    <row r="339" spans="29:29">
      <c r="AC339" s="3714"/>
    </row>
    <row r="340" spans="29:29">
      <c r="AC340" s="3714"/>
    </row>
    <row r="341" spans="29:29">
      <c r="AC341" s="3714"/>
    </row>
    <row r="342" spans="29:29">
      <c r="AC342" s="3714"/>
    </row>
    <row r="343" spans="29:29">
      <c r="AC343" s="3714"/>
    </row>
    <row r="344" spans="29:29">
      <c r="AC344" s="3714"/>
    </row>
    <row r="345" spans="29:29">
      <c r="AC345" s="3714"/>
    </row>
    <row r="346" spans="29:29">
      <c r="AC346" s="3714"/>
    </row>
    <row r="347" spans="29:29">
      <c r="AC347" s="3714"/>
    </row>
    <row r="348" spans="29:29">
      <c r="AC348" s="3714"/>
    </row>
    <row r="349" spans="29:29">
      <c r="AC349" s="3714"/>
    </row>
    <row r="350" spans="29:29">
      <c r="AC350" s="3714"/>
    </row>
    <row r="351" spans="29:29">
      <c r="AC351" s="3714"/>
    </row>
    <row r="352" spans="29:29">
      <c r="AC352" s="3714"/>
    </row>
    <row r="353" spans="29:29">
      <c r="AC353" s="3714"/>
    </row>
    <row r="354" spans="29:29">
      <c r="AC354" s="3714"/>
    </row>
    <row r="355" spans="29:29">
      <c r="AC355" s="3714"/>
    </row>
    <row r="356" spans="29:29">
      <c r="AC356" s="3714"/>
    </row>
    <row r="357" spans="29:29">
      <c r="AC357" s="3714"/>
    </row>
    <row r="358" spans="29:29">
      <c r="AC358" s="3714"/>
    </row>
    <row r="359" spans="29:29">
      <c r="AC359" s="3714"/>
    </row>
    <row r="360" spans="29:29">
      <c r="AC360" s="3714"/>
    </row>
    <row r="361" spans="29:29">
      <c r="AC361" s="3714"/>
    </row>
    <row r="362" spans="29:29">
      <c r="AC362" s="3714"/>
    </row>
    <row r="363" spans="29:29">
      <c r="AC363" s="3714"/>
    </row>
    <row r="364" spans="29:29">
      <c r="AC364" s="3714"/>
    </row>
    <row r="365" spans="29:29">
      <c r="AC365" s="3714"/>
    </row>
    <row r="366" spans="29:29">
      <c r="AC366" s="3714"/>
    </row>
    <row r="367" spans="29:29">
      <c r="AC367" s="3714"/>
    </row>
    <row r="368" spans="29:29">
      <c r="AC368" s="3714"/>
    </row>
    <row r="369" spans="29:29">
      <c r="AC369" s="3714"/>
    </row>
    <row r="370" spans="29:29">
      <c r="AC370" s="3714"/>
    </row>
    <row r="371" spans="29:29">
      <c r="AC371" s="3714"/>
    </row>
    <row r="372" spans="29:29">
      <c r="AC372" s="3714"/>
    </row>
    <row r="373" spans="29:29">
      <c r="AC373" s="3714"/>
    </row>
    <row r="374" spans="29:29">
      <c r="AC374" s="3714"/>
    </row>
    <row r="375" spans="29:29">
      <c r="AC375" s="3714"/>
    </row>
    <row r="376" spans="29:29">
      <c r="AC376" s="3714"/>
    </row>
    <row r="377" spans="29:29">
      <c r="AC377" s="3714"/>
    </row>
    <row r="378" spans="29:29">
      <c r="AC378" s="3714"/>
    </row>
    <row r="379" spans="29:29">
      <c r="AC379" s="3714"/>
    </row>
    <row r="380" spans="29:29">
      <c r="AC380" s="3714"/>
    </row>
    <row r="381" spans="29:29">
      <c r="AC381" s="3714"/>
    </row>
    <row r="382" spans="29:29">
      <c r="AC382" s="3714"/>
    </row>
    <row r="383" spans="29:29">
      <c r="AC383" s="3714"/>
    </row>
    <row r="384" spans="29:29">
      <c r="AC384" s="3714"/>
    </row>
    <row r="385" spans="29:29">
      <c r="AC385" s="3714"/>
    </row>
    <row r="386" spans="29:29">
      <c r="AC386" s="3714"/>
    </row>
    <row r="387" spans="29:29">
      <c r="AC387" s="3714"/>
    </row>
    <row r="388" spans="29:29">
      <c r="AC388" s="3714"/>
    </row>
    <row r="389" spans="29:29">
      <c r="AC389" s="3714"/>
    </row>
    <row r="390" spans="29:29">
      <c r="AC390" s="3714"/>
    </row>
    <row r="391" spans="29:29">
      <c r="AC391" s="3714"/>
    </row>
    <row r="392" spans="29:29">
      <c r="AC392" s="3714"/>
    </row>
    <row r="393" spans="29:29">
      <c r="AC393" s="3714"/>
    </row>
    <row r="394" spans="29:29">
      <c r="AC394" s="3714"/>
    </row>
    <row r="395" spans="29:29">
      <c r="AC395" s="3714"/>
    </row>
    <row r="396" spans="29:29">
      <c r="AC396" s="3714"/>
    </row>
    <row r="397" spans="29:29">
      <c r="AC397" s="3714"/>
    </row>
    <row r="398" spans="29:29">
      <c r="AC398" s="3714"/>
    </row>
    <row r="399" spans="29:29">
      <c r="AC399" s="3714"/>
    </row>
    <row r="400" spans="29:29">
      <c r="AC400" s="3714"/>
    </row>
    <row r="401" spans="29:29">
      <c r="AC401" s="3714"/>
    </row>
    <row r="402" spans="29:29">
      <c r="AC402" s="3714"/>
    </row>
    <row r="403" spans="29:29">
      <c r="AC403" s="3714"/>
    </row>
    <row r="404" spans="29:29">
      <c r="AC404" s="3714"/>
    </row>
    <row r="405" spans="29:29">
      <c r="AC405" s="3714"/>
    </row>
    <row r="406" spans="29:29">
      <c r="AC406" s="3714"/>
    </row>
    <row r="407" spans="29:29">
      <c r="AC407" s="3714"/>
    </row>
    <row r="408" spans="29:29">
      <c r="AC408" s="3714"/>
    </row>
    <row r="409" spans="29:29">
      <c r="AC409" s="3714"/>
    </row>
    <row r="410" spans="29:29">
      <c r="AC410" s="3714"/>
    </row>
    <row r="411" spans="29:29">
      <c r="AC411" s="3714"/>
    </row>
    <row r="412" spans="29:29">
      <c r="AC412" s="3714"/>
    </row>
    <row r="413" spans="29:29">
      <c r="AC413" s="3714"/>
    </row>
    <row r="414" spans="29:29">
      <c r="AC414" s="3714"/>
    </row>
    <row r="415" spans="29:29">
      <c r="AC415" s="3714"/>
    </row>
    <row r="416" spans="29:29">
      <c r="AC416" s="3714"/>
    </row>
    <row r="417" spans="29:29">
      <c r="AC417" s="3714"/>
    </row>
    <row r="418" spans="29:29">
      <c r="AC418" s="3714"/>
    </row>
    <row r="419" spans="29:29">
      <c r="AC419" s="3714"/>
    </row>
    <row r="420" spans="29:29">
      <c r="AC420" s="3714"/>
    </row>
    <row r="421" spans="29:29">
      <c r="AC421" s="3714"/>
    </row>
    <row r="422" spans="29:29">
      <c r="AC422" s="3714"/>
    </row>
    <row r="423" spans="29:29">
      <c r="AC423" s="3714"/>
    </row>
    <row r="424" spans="29:29">
      <c r="AC424" s="3714"/>
    </row>
    <row r="425" spans="29:29">
      <c r="AC425" s="3714"/>
    </row>
    <row r="426" spans="29:29">
      <c r="AC426" s="3714"/>
    </row>
    <row r="427" spans="29:29">
      <c r="AC427" s="3714"/>
    </row>
    <row r="428" spans="29:29">
      <c r="AC428" s="3714"/>
    </row>
    <row r="429" spans="29:29">
      <c r="AC429" s="3714"/>
    </row>
    <row r="430" spans="29:29">
      <c r="AC430" s="3714"/>
    </row>
    <row r="431" spans="29:29">
      <c r="AC431" s="3714"/>
    </row>
    <row r="432" spans="29:29">
      <c r="AC432" s="3714"/>
    </row>
    <row r="433" spans="29:29">
      <c r="AC433" s="3714"/>
    </row>
    <row r="434" spans="29:29">
      <c r="AC434" s="3714"/>
    </row>
    <row r="435" spans="29:29">
      <c r="AC435" s="3714"/>
    </row>
    <row r="436" spans="29:29">
      <c r="AC436" s="3714"/>
    </row>
    <row r="437" spans="29:29">
      <c r="AC437" s="3714"/>
    </row>
    <row r="438" spans="29:29">
      <c r="AC438" s="3714"/>
    </row>
    <row r="439" spans="29:29">
      <c r="AC439" s="3714"/>
    </row>
    <row r="440" spans="29:29">
      <c r="AC440" s="3714"/>
    </row>
    <row r="441" spans="29:29">
      <c r="AC441" s="3714"/>
    </row>
    <row r="442" spans="29:29">
      <c r="AC442" s="3714"/>
    </row>
    <row r="443" spans="29:29">
      <c r="AC443" s="3714"/>
    </row>
    <row r="444" spans="29:29">
      <c r="AC444" s="3714"/>
    </row>
    <row r="445" spans="29:29">
      <c r="AC445" s="3714"/>
    </row>
    <row r="446" spans="29:29">
      <c r="AC446" s="3714"/>
    </row>
    <row r="447" spans="29:29">
      <c r="AC447" s="3714"/>
    </row>
    <row r="448" spans="29:29">
      <c r="AC448" s="3714"/>
    </row>
    <row r="449" spans="29:29">
      <c r="AC449" s="3714"/>
    </row>
    <row r="450" spans="29:29">
      <c r="AC450" s="3714"/>
    </row>
    <row r="451" spans="29:29">
      <c r="AC451" s="3714"/>
    </row>
    <row r="452" spans="29:29">
      <c r="AC452" s="3714"/>
    </row>
    <row r="453" spans="29:29">
      <c r="AC453" s="3714"/>
    </row>
    <row r="454" spans="29:29">
      <c r="AC454" s="3714"/>
    </row>
    <row r="455" spans="29:29">
      <c r="AC455" s="3714"/>
    </row>
    <row r="456" spans="29:29">
      <c r="AC456" s="3714"/>
    </row>
    <row r="457" spans="29:29">
      <c r="AC457" s="3714"/>
    </row>
    <row r="458" spans="29:29">
      <c r="AC458" s="3714"/>
    </row>
    <row r="459" spans="29:29">
      <c r="AC459" s="3714"/>
    </row>
    <row r="460" spans="29:29">
      <c r="AC460" s="3714"/>
    </row>
    <row r="461" spans="29:29">
      <c r="AC461" s="3714"/>
    </row>
    <row r="462" spans="29:29">
      <c r="AC462" s="3714"/>
    </row>
    <row r="463" spans="29:29">
      <c r="AC463" s="3714"/>
    </row>
    <row r="464" spans="29:29">
      <c r="AC464" s="3714"/>
    </row>
    <row r="465" spans="29:29">
      <c r="AC465" s="3714"/>
    </row>
    <row r="466" spans="29:29">
      <c r="AC466" s="3714"/>
    </row>
    <row r="467" spans="29:29">
      <c r="AC467" s="3714"/>
    </row>
    <row r="468" spans="29:29">
      <c r="AC468" s="3714"/>
    </row>
    <row r="469" spans="29:29">
      <c r="AC469" s="3714"/>
    </row>
    <row r="470" spans="29:29">
      <c r="AC470" s="3714"/>
    </row>
    <row r="471" spans="29:29">
      <c r="AC471" s="3714"/>
    </row>
    <row r="472" spans="29:29">
      <c r="AC472" s="3714"/>
    </row>
    <row r="473" spans="29:29">
      <c r="AC473" s="3714"/>
    </row>
    <row r="474" spans="29:29">
      <c r="AC474" s="3714"/>
    </row>
    <row r="475" spans="29:29">
      <c r="AC475" s="3714"/>
    </row>
    <row r="476" spans="29:29">
      <c r="AC476" s="3714"/>
    </row>
    <row r="477" spans="29:29">
      <c r="AC477" s="3714"/>
    </row>
    <row r="478" spans="29:29">
      <c r="AC478" s="3714"/>
    </row>
    <row r="479" spans="29:29">
      <c r="AC479" s="3714"/>
    </row>
    <row r="480" spans="29:29">
      <c r="AC480" s="3714"/>
    </row>
    <row r="481" spans="29:29">
      <c r="AC481" s="3714"/>
    </row>
    <row r="482" spans="29:29">
      <c r="AC482" s="3714"/>
    </row>
    <row r="483" spans="29:29">
      <c r="AC483" s="3714"/>
    </row>
    <row r="484" spans="29:29">
      <c r="AC484" s="3714"/>
    </row>
    <row r="485" spans="29:29">
      <c r="AC485" s="3714"/>
    </row>
    <row r="486" spans="29:29">
      <c r="AC486" s="3714"/>
    </row>
    <row r="487" spans="29:29">
      <c r="AC487" s="3714"/>
    </row>
    <row r="488" spans="29:29">
      <c r="AC488" s="3714"/>
    </row>
    <row r="489" spans="29:29">
      <c r="AC489" s="3714"/>
    </row>
    <row r="490" spans="29:29">
      <c r="AC490" s="3714"/>
    </row>
    <row r="491" spans="29:29">
      <c r="AC491" s="3714"/>
    </row>
    <row r="492" spans="29:29">
      <c r="AC492" s="3714"/>
    </row>
    <row r="493" spans="29:29">
      <c r="AC493" s="3714"/>
    </row>
    <row r="494" spans="29:29">
      <c r="AC494" s="3714"/>
    </row>
    <row r="495" spans="29:29">
      <c r="AC495" s="3714"/>
    </row>
    <row r="496" spans="29:29">
      <c r="AC496" s="3714"/>
    </row>
    <row r="497" spans="29:29">
      <c r="AC497" s="3714"/>
    </row>
    <row r="498" spans="29:29">
      <c r="AC498" s="3714"/>
    </row>
    <row r="499" spans="29:29">
      <c r="AC499" s="3714"/>
    </row>
    <row r="500" spans="29:29">
      <c r="AC500" s="3714"/>
    </row>
    <row r="501" spans="29:29">
      <c r="AC501" s="3714"/>
    </row>
    <row r="502" spans="29:29">
      <c r="AC502" s="3714"/>
    </row>
    <row r="503" spans="29:29">
      <c r="AC503" s="3714"/>
    </row>
    <row r="504" spans="29:29">
      <c r="AC504" s="3714"/>
    </row>
    <row r="505" spans="29:29">
      <c r="AC505" s="3714"/>
    </row>
    <row r="506" spans="29:29">
      <c r="AC506" s="3714"/>
    </row>
    <row r="507" spans="29:29">
      <c r="AC507" s="3714"/>
    </row>
    <row r="508" spans="29:29">
      <c r="AC508" s="3714"/>
    </row>
    <row r="509" spans="29:29">
      <c r="AC509" s="3714"/>
    </row>
    <row r="510" spans="29:29">
      <c r="AC510" s="3714"/>
    </row>
    <row r="511" spans="29:29">
      <c r="AC511" s="3714"/>
    </row>
    <row r="512" spans="29:29">
      <c r="AC512" s="3714"/>
    </row>
    <row r="513" spans="29:29">
      <c r="AC513" s="3714"/>
    </row>
    <row r="514" spans="29:29">
      <c r="AC514" s="3714"/>
    </row>
    <row r="515" spans="29:29">
      <c r="AC515" s="3714"/>
    </row>
    <row r="516" spans="29:29">
      <c r="AC516" s="3714"/>
    </row>
    <row r="517" spans="29:29">
      <c r="AC517" s="3714"/>
    </row>
    <row r="518" spans="29:29">
      <c r="AC518" s="3714"/>
    </row>
    <row r="519" spans="29:29">
      <c r="AC519" s="3714"/>
    </row>
    <row r="520" spans="29:29">
      <c r="AC520" s="3714"/>
    </row>
    <row r="521" spans="29:29">
      <c r="AC521" s="3714"/>
    </row>
    <row r="522" spans="29:29">
      <c r="AC522" s="3714"/>
    </row>
    <row r="523" spans="29:29">
      <c r="AC523" s="3714"/>
    </row>
    <row r="524" spans="29:29">
      <c r="AC524" s="3714"/>
    </row>
    <row r="525" spans="29:29">
      <c r="AC525" s="3714"/>
    </row>
    <row r="526" spans="29:29">
      <c r="AC526" s="3714"/>
    </row>
    <row r="527" spans="29:29">
      <c r="AC527" s="3714"/>
    </row>
    <row r="528" spans="29:29">
      <c r="AC528" s="3714"/>
    </row>
    <row r="529" spans="29:29">
      <c r="AC529" s="3714"/>
    </row>
    <row r="530" spans="29:29">
      <c r="AC530" s="3714"/>
    </row>
    <row r="531" spans="29:29">
      <c r="AC531" s="3714"/>
    </row>
    <row r="532" spans="29:29">
      <c r="AC532" s="3714"/>
    </row>
    <row r="533" spans="29:29">
      <c r="AC533" s="3714"/>
    </row>
    <row r="534" spans="29:29">
      <c r="AC534" s="3714"/>
    </row>
    <row r="535" spans="29:29">
      <c r="AC535" s="3714"/>
    </row>
    <row r="536" spans="29:29">
      <c r="AC536" s="3714"/>
    </row>
    <row r="537" spans="29:29">
      <c r="AC537" s="3714"/>
    </row>
    <row r="538" spans="29:29">
      <c r="AC538" s="3714"/>
    </row>
    <row r="539" spans="29:29">
      <c r="AC539" s="3714"/>
    </row>
    <row r="540" spans="29:29">
      <c r="AC540" s="3714"/>
    </row>
    <row r="541" spans="29:29">
      <c r="AC541" s="3714"/>
    </row>
    <row r="542" spans="29:29">
      <c r="AC542" s="3714"/>
    </row>
    <row r="543" spans="29:29">
      <c r="AC543" s="3714"/>
    </row>
    <row r="544" spans="29:29">
      <c r="AC544" s="3714"/>
    </row>
    <row r="545" spans="29:29">
      <c r="AC545" s="3714"/>
    </row>
    <row r="546" spans="29:29">
      <c r="AC546" s="3714"/>
    </row>
    <row r="547" spans="29:29">
      <c r="AC547" s="3714"/>
    </row>
    <row r="548" spans="29:29">
      <c r="AC548" s="3714"/>
    </row>
    <row r="549" spans="29:29">
      <c r="AC549" s="3714"/>
    </row>
    <row r="550" spans="29:29">
      <c r="AC550" s="3714"/>
    </row>
    <row r="551" spans="29:29">
      <c r="AC551" s="3714"/>
    </row>
    <row r="552" spans="29:29">
      <c r="AC552" s="3714"/>
    </row>
    <row r="553" spans="29:29">
      <c r="AC553" s="3714"/>
    </row>
    <row r="554" spans="29:29">
      <c r="AC554" s="3714"/>
    </row>
    <row r="555" spans="29:29">
      <c r="AC555" s="3714"/>
    </row>
    <row r="556" spans="29:29">
      <c r="AC556" s="3714"/>
    </row>
    <row r="557" spans="29:29">
      <c r="AC557" s="3714"/>
    </row>
    <row r="558" spans="29:29">
      <c r="AC558" s="3714"/>
    </row>
    <row r="559" spans="29:29">
      <c r="AC559" s="3714"/>
    </row>
    <row r="560" spans="29:29">
      <c r="AC560" s="3714"/>
    </row>
    <row r="561" spans="29:29">
      <c r="AC561" s="3714"/>
    </row>
    <row r="562" spans="29:29">
      <c r="AC562" s="3714"/>
    </row>
    <row r="563" spans="29:29">
      <c r="AC563" s="3714"/>
    </row>
    <row r="564" spans="29:29">
      <c r="AC564" s="3714"/>
    </row>
    <row r="565" spans="29:29">
      <c r="AC565" s="3714"/>
    </row>
    <row r="566" spans="29:29">
      <c r="AC566" s="3714"/>
    </row>
    <row r="567" spans="29:29">
      <c r="AC567" s="3714"/>
    </row>
    <row r="568" spans="29:29">
      <c r="AC568" s="3714"/>
    </row>
    <row r="569" spans="29:29">
      <c r="AC569" s="3714"/>
    </row>
    <row r="570" spans="29:29">
      <c r="AC570" s="3714"/>
    </row>
    <row r="571" spans="29:29">
      <c r="AC571" s="3714"/>
    </row>
    <row r="572" spans="29:29">
      <c r="AC572" s="3714"/>
    </row>
    <row r="573" spans="29:29">
      <c r="AC573" s="3714"/>
    </row>
    <row r="574" spans="29:29">
      <c r="AC574" s="3714"/>
    </row>
    <row r="575" spans="29:29">
      <c r="AC575" s="3714"/>
    </row>
    <row r="576" spans="29:29">
      <c r="AC576" s="3714"/>
    </row>
    <row r="577" spans="29:29">
      <c r="AC577" s="3714"/>
    </row>
    <row r="578" spans="29:29">
      <c r="AC578" s="3714"/>
    </row>
    <row r="579" spans="29:29">
      <c r="AC579" s="3714"/>
    </row>
    <row r="580" spans="29:29">
      <c r="AC580" s="3714"/>
    </row>
    <row r="581" spans="29:29">
      <c r="AC581" s="3714"/>
    </row>
    <row r="582" spans="29:29">
      <c r="AC582" s="3714"/>
    </row>
    <row r="583" spans="29:29">
      <c r="AC583" s="3714"/>
    </row>
    <row r="584" spans="29:29">
      <c r="AC584" s="3714"/>
    </row>
    <row r="585" spans="29:29">
      <c r="AC585" s="3714"/>
    </row>
    <row r="586" spans="29:29">
      <c r="AC586" s="3714"/>
    </row>
    <row r="587" spans="29:29">
      <c r="AC587" s="3714"/>
    </row>
    <row r="588" spans="29:29">
      <c r="AC588" s="3714"/>
    </row>
    <row r="589" spans="29:29">
      <c r="AC589" s="3714"/>
    </row>
    <row r="590" spans="29:29">
      <c r="AC590" s="3714"/>
    </row>
    <row r="591" spans="29:29">
      <c r="AC591" s="3714"/>
    </row>
    <row r="592" spans="29:29">
      <c r="AC592" s="3714"/>
    </row>
    <row r="593" spans="29:29">
      <c r="AC593" s="3714"/>
    </row>
    <row r="594" spans="29:29">
      <c r="AC594" s="3714"/>
    </row>
    <row r="595" spans="29:29">
      <c r="AC595" s="3714"/>
    </row>
    <row r="596" spans="29:29">
      <c r="AC596" s="3714"/>
    </row>
    <row r="597" spans="29:29">
      <c r="AC597" s="3714"/>
    </row>
    <row r="598" spans="29:29">
      <c r="AC598" s="3714"/>
    </row>
    <row r="599" spans="29:29">
      <c r="AC599" s="3714"/>
    </row>
    <row r="600" spans="29:29">
      <c r="AC600" s="3714"/>
    </row>
    <row r="601" spans="29:29">
      <c r="AC601" s="3714"/>
    </row>
    <row r="602" spans="29:29">
      <c r="AC602" s="3714"/>
    </row>
    <row r="603" spans="29:29">
      <c r="AC603" s="3714"/>
    </row>
    <row r="604" spans="29:29">
      <c r="AC604" s="3714"/>
    </row>
    <row r="605" spans="29:29">
      <c r="AC605" s="3714"/>
    </row>
    <row r="606" spans="29:29">
      <c r="AC606" s="3714"/>
    </row>
    <row r="607" spans="29:29">
      <c r="AC607" s="3714"/>
    </row>
    <row r="608" spans="29:29">
      <c r="AC608" s="3714"/>
    </row>
    <row r="609" spans="29:29">
      <c r="AC609" s="3714"/>
    </row>
    <row r="610" spans="29:29">
      <c r="AC610" s="3714"/>
    </row>
    <row r="611" spans="29:29">
      <c r="AC611" s="3714"/>
    </row>
    <row r="612" spans="29:29">
      <c r="AC612" s="3714"/>
    </row>
    <row r="613" spans="29:29">
      <c r="AC613" s="3714"/>
    </row>
    <row r="614" spans="29:29">
      <c r="AC614" s="3714"/>
    </row>
    <row r="615" spans="29:29">
      <c r="AC615" s="3714"/>
    </row>
    <row r="616" spans="29:29">
      <c r="AC616" s="3714"/>
    </row>
    <row r="617" spans="29:29">
      <c r="AC617" s="3714"/>
    </row>
    <row r="618" spans="29:29">
      <c r="AC618" s="3714"/>
    </row>
    <row r="619" spans="29:29">
      <c r="AC619" s="3714"/>
    </row>
    <row r="620" spans="29:29">
      <c r="AC620" s="3714"/>
    </row>
    <row r="621" spans="29:29">
      <c r="AC621" s="3714"/>
    </row>
    <row r="622" spans="29:29">
      <c r="AC622" s="3714"/>
    </row>
    <row r="623" spans="29:29">
      <c r="AC623" s="3714"/>
    </row>
    <row r="624" spans="29:29">
      <c r="AC624" s="3714"/>
    </row>
    <row r="625" spans="29:29">
      <c r="AC625" s="3714"/>
    </row>
    <row r="626" spans="29:29">
      <c r="AC626" s="3714"/>
    </row>
    <row r="627" spans="29:29">
      <c r="AC627" s="3714"/>
    </row>
    <row r="628" spans="29:29">
      <c r="AC628" s="3714"/>
    </row>
    <row r="629" spans="29:29">
      <c r="AC629" s="3714"/>
    </row>
    <row r="630" spans="29:29">
      <c r="AC630" s="3714"/>
    </row>
    <row r="631" spans="29:29">
      <c r="AC631" s="3714"/>
    </row>
    <row r="632" spans="29:29">
      <c r="AC632" s="3714"/>
    </row>
    <row r="633" spans="29:29">
      <c r="AC633" s="3714"/>
    </row>
    <row r="634" spans="29:29">
      <c r="AC634" s="3714"/>
    </row>
    <row r="635" spans="29:29">
      <c r="AC635" s="3714"/>
    </row>
    <row r="636" spans="29:29">
      <c r="AC636" s="3714"/>
    </row>
    <row r="637" spans="29:29">
      <c r="AC637" s="3714"/>
    </row>
    <row r="638" spans="29:29">
      <c r="AC638" s="3714"/>
    </row>
    <row r="639" spans="29:29">
      <c r="AC639" s="3714"/>
    </row>
    <row r="640" spans="29:29">
      <c r="AC640" s="3714"/>
    </row>
    <row r="641" spans="29:29">
      <c r="AC641" s="3714"/>
    </row>
    <row r="642" spans="29:29">
      <c r="AC642" s="3714"/>
    </row>
    <row r="643" spans="29:29">
      <c r="AC643" s="3714"/>
    </row>
    <row r="644" spans="29:29">
      <c r="AC644" s="3714"/>
    </row>
    <row r="645" spans="29:29">
      <c r="AC645" s="3714"/>
    </row>
    <row r="646" spans="29:29">
      <c r="AC646" s="3714"/>
    </row>
    <row r="647" spans="29:29">
      <c r="AC647" s="3714"/>
    </row>
    <row r="648" spans="29:29">
      <c r="AC648" s="3714"/>
    </row>
    <row r="649" spans="29:29">
      <c r="AC649" s="3714"/>
    </row>
    <row r="650" spans="29:29">
      <c r="AC650" s="3714"/>
    </row>
    <row r="651" spans="29:29">
      <c r="AC651" s="3714"/>
    </row>
    <row r="652" spans="29:29">
      <c r="AC652" s="3714"/>
    </row>
    <row r="653" spans="29:29">
      <c r="AC653" s="3714"/>
    </row>
    <row r="654" spans="29:29">
      <c r="AC654" s="3714"/>
    </row>
    <row r="655" spans="29:29">
      <c r="AC655" s="3714"/>
    </row>
    <row r="656" spans="29:29">
      <c r="AC656" s="3714"/>
    </row>
    <row r="657" spans="29:29">
      <c r="AC657" s="3714"/>
    </row>
    <row r="658" spans="29:29">
      <c r="AC658" s="3714"/>
    </row>
    <row r="659" spans="29:29">
      <c r="AC659" s="3714"/>
    </row>
    <row r="660" spans="29:29">
      <c r="AC660" s="3714"/>
    </row>
    <row r="661" spans="29:29">
      <c r="AC661" s="3714"/>
    </row>
    <row r="662" spans="29:29">
      <c r="AC662" s="3714"/>
    </row>
    <row r="663" spans="29:29">
      <c r="AC663" s="3714"/>
    </row>
    <row r="664" spans="29:29">
      <c r="AC664" s="3714"/>
    </row>
    <row r="665" spans="29:29">
      <c r="AC665" s="3714"/>
    </row>
    <row r="666" spans="29:29">
      <c r="AC666" s="3714"/>
    </row>
    <row r="667" spans="29:29">
      <c r="AC667" s="3714"/>
    </row>
    <row r="668" spans="29:29">
      <c r="AC668" s="3714"/>
    </row>
    <row r="669" spans="29:29">
      <c r="AC669" s="3714"/>
    </row>
    <row r="670" spans="29:29">
      <c r="AC670" s="3714"/>
    </row>
    <row r="671" spans="29:29">
      <c r="AC671" s="3714"/>
    </row>
    <row r="672" spans="29:29">
      <c r="AC672" s="3714"/>
    </row>
    <row r="673" spans="29:29">
      <c r="AC673" s="3714"/>
    </row>
    <row r="674" spans="29:29">
      <c r="AC674" s="3714"/>
    </row>
    <row r="675" spans="29:29">
      <c r="AC675" s="3714"/>
    </row>
    <row r="676" spans="29:29">
      <c r="AC676" s="3714"/>
    </row>
    <row r="677" spans="29:29">
      <c r="AC677" s="3714"/>
    </row>
    <row r="678" spans="29:29">
      <c r="AC678" s="3714"/>
    </row>
    <row r="679" spans="29:29">
      <c r="AC679" s="3714"/>
    </row>
    <row r="680" spans="29:29">
      <c r="AC680" s="3714"/>
    </row>
    <row r="681" spans="29:29">
      <c r="AC681" s="3714"/>
    </row>
    <row r="682" spans="29:29">
      <c r="AC682" s="3714"/>
    </row>
    <row r="683" spans="29:29">
      <c r="AC683" s="3714"/>
    </row>
    <row r="684" spans="29:29">
      <c r="AC684" s="3714"/>
    </row>
    <row r="685" spans="29:29">
      <c r="AC685" s="3714"/>
    </row>
    <row r="686" spans="29:29">
      <c r="AC686" s="3714"/>
    </row>
    <row r="687" spans="29:29">
      <c r="AC687" s="3714"/>
    </row>
    <row r="688" spans="29:29">
      <c r="AC688" s="3714"/>
    </row>
    <row r="689" spans="29:29">
      <c r="AC689" s="3714"/>
    </row>
    <row r="690" spans="29:29">
      <c r="AC690" s="3714"/>
    </row>
    <row r="691" spans="29:29">
      <c r="AC691" s="3714"/>
    </row>
    <row r="692" spans="29:29">
      <c r="AC692" s="3714"/>
    </row>
    <row r="693" spans="29:29">
      <c r="AC693" s="3714"/>
    </row>
    <row r="694" spans="29:29">
      <c r="AC694" s="3714"/>
    </row>
    <row r="695" spans="29:29">
      <c r="AC695" s="3714"/>
    </row>
    <row r="696" spans="29:29">
      <c r="AC696" s="3714"/>
    </row>
    <row r="697" spans="29:29">
      <c r="AC697" s="3714"/>
    </row>
    <row r="698" spans="29:29">
      <c r="AC698" s="3714"/>
    </row>
    <row r="699" spans="29:29">
      <c r="AC699" s="3714"/>
    </row>
    <row r="700" spans="29:29">
      <c r="AC700" s="3714"/>
    </row>
    <row r="701" spans="29:29">
      <c r="AC701" s="3714"/>
    </row>
    <row r="702" spans="29:29">
      <c r="AC702" s="3714"/>
    </row>
    <row r="703" spans="29:29">
      <c r="AC703" s="3714"/>
    </row>
    <row r="704" spans="29:29">
      <c r="AC704" s="3714"/>
    </row>
    <row r="705" spans="29:29">
      <c r="AC705" s="3714"/>
    </row>
    <row r="706" spans="29:29">
      <c r="AC706" s="3714"/>
    </row>
    <row r="707" spans="29:29">
      <c r="AC707" s="3714"/>
    </row>
    <row r="708" spans="29:29">
      <c r="AC708" s="3714"/>
    </row>
    <row r="709" spans="29:29">
      <c r="AC709" s="3714"/>
    </row>
    <row r="710" spans="29:29">
      <c r="AC710" s="3714"/>
    </row>
    <row r="711" spans="29:29">
      <c r="AC711" s="3714"/>
    </row>
    <row r="712" spans="29:29">
      <c r="AC712" s="3714"/>
    </row>
    <row r="713" spans="29:29">
      <c r="AC713" s="3714"/>
    </row>
    <row r="714" spans="29:29">
      <c r="AC714" s="3714"/>
    </row>
    <row r="715" spans="29:29">
      <c r="AC715" s="3714"/>
    </row>
    <row r="716" spans="29:29">
      <c r="AC716" s="3714"/>
    </row>
    <row r="717" spans="29:29">
      <c r="AC717" s="3714"/>
    </row>
    <row r="718" spans="29:29">
      <c r="AC718" s="3714"/>
    </row>
    <row r="719" spans="29:29">
      <c r="AC719" s="3714"/>
    </row>
    <row r="720" spans="29:29">
      <c r="AC720" s="3714"/>
    </row>
    <row r="721" spans="29:29">
      <c r="AC721" s="3714"/>
    </row>
    <row r="722" spans="29:29">
      <c r="AC722" s="3714"/>
    </row>
    <row r="723" spans="29:29">
      <c r="AC723" s="3714"/>
    </row>
    <row r="724" spans="29:29">
      <c r="AC724" s="3714"/>
    </row>
    <row r="725" spans="29:29">
      <c r="AC725" s="3714"/>
    </row>
    <row r="726" spans="29:29">
      <c r="AC726" s="3714"/>
    </row>
    <row r="727" spans="29:29">
      <c r="AC727" s="3714"/>
    </row>
    <row r="728" spans="29:29">
      <c r="AC728" s="3714"/>
    </row>
    <row r="729" spans="29:29">
      <c r="AC729" s="3714"/>
    </row>
    <row r="730" spans="29:29">
      <c r="AC730" s="3714"/>
    </row>
    <row r="731" spans="29:29">
      <c r="AC731" s="3714"/>
    </row>
    <row r="732" spans="29:29">
      <c r="AC732" s="3714"/>
    </row>
    <row r="733" spans="29:29">
      <c r="AC733" s="3714"/>
    </row>
    <row r="734" spans="29:29">
      <c r="AC734" s="3714"/>
    </row>
    <row r="735" spans="29:29">
      <c r="AC735" s="3714"/>
    </row>
    <row r="736" spans="29:29">
      <c r="AC736" s="3714"/>
    </row>
    <row r="737" spans="29:29">
      <c r="AC737" s="3714"/>
    </row>
    <row r="738" spans="29:29">
      <c r="AC738" s="3714"/>
    </row>
    <row r="739" spans="29:29">
      <c r="AC739" s="3714"/>
    </row>
    <row r="740" spans="29:29">
      <c r="AC740" s="3714"/>
    </row>
    <row r="741" spans="29:29">
      <c r="AC741" s="3714"/>
    </row>
    <row r="742" spans="29:29">
      <c r="AC742" s="3714"/>
    </row>
    <row r="743" spans="29:29">
      <c r="AC743" s="3714"/>
    </row>
    <row r="744" spans="29:29">
      <c r="AC744" s="3714"/>
    </row>
    <row r="745" spans="29:29">
      <c r="AC745" s="3714"/>
    </row>
    <row r="746" spans="29:29">
      <c r="AC746" s="3714"/>
    </row>
    <row r="747" spans="29:29">
      <c r="AC747" s="3714"/>
    </row>
    <row r="748" spans="29:29">
      <c r="AC748" s="3714"/>
    </row>
    <row r="749" spans="29:29">
      <c r="AC749" s="3714"/>
    </row>
    <row r="750" spans="29:29">
      <c r="AC750" s="3714"/>
    </row>
    <row r="751" spans="29:29">
      <c r="AC751" s="3714"/>
    </row>
    <row r="752" spans="29:29">
      <c r="AC752" s="3714"/>
    </row>
    <row r="753" spans="29:29">
      <c r="AC753" s="3714"/>
    </row>
    <row r="754" spans="29:29">
      <c r="AC754" s="3714"/>
    </row>
    <row r="755" spans="29:29">
      <c r="AC755" s="3714"/>
    </row>
    <row r="756" spans="29:29">
      <c r="AC756" s="3714"/>
    </row>
    <row r="757" spans="29:29">
      <c r="AC757" s="3714"/>
    </row>
    <row r="758" spans="29:29">
      <c r="AC758" s="3714"/>
    </row>
    <row r="759" spans="29:29">
      <c r="AC759" s="3714"/>
    </row>
    <row r="760" spans="29:29">
      <c r="AC760" s="3714"/>
    </row>
    <row r="761" spans="29:29">
      <c r="AC761" s="3714"/>
    </row>
    <row r="762" spans="29:29">
      <c r="AC762" s="3714"/>
    </row>
    <row r="763" spans="29:29">
      <c r="AC763" s="3714"/>
    </row>
    <row r="764" spans="29:29">
      <c r="AC764" s="3714"/>
    </row>
    <row r="765" spans="29:29">
      <c r="AC765" s="3714"/>
    </row>
    <row r="766" spans="29:29">
      <c r="AC766" s="3714"/>
    </row>
    <row r="767" spans="29:29">
      <c r="AC767" s="3714"/>
    </row>
    <row r="768" spans="29:29">
      <c r="AC768" s="3714"/>
    </row>
    <row r="769" spans="29:29">
      <c r="AC769" s="3714"/>
    </row>
    <row r="770" spans="29:29">
      <c r="AC770" s="3714"/>
    </row>
    <row r="771" spans="29:29">
      <c r="AC771" s="3714"/>
    </row>
    <row r="772" spans="29:29">
      <c r="AC772" s="3714"/>
    </row>
    <row r="773" spans="29:29">
      <c r="AC773" s="3714"/>
    </row>
    <row r="774" spans="29:29">
      <c r="AC774" s="3714"/>
    </row>
    <row r="775" spans="29:29">
      <c r="AC775" s="3714"/>
    </row>
    <row r="776" spans="29:29">
      <c r="AC776" s="3714"/>
    </row>
    <row r="777" spans="29:29">
      <c r="AC777" s="3714"/>
    </row>
    <row r="778" spans="29:29">
      <c r="AC778" s="3714"/>
    </row>
    <row r="779" spans="29:29">
      <c r="AC779" s="3714"/>
    </row>
    <row r="780" spans="29:29">
      <c r="AC780" s="3714"/>
    </row>
    <row r="781" spans="29:29">
      <c r="AC781" s="3714"/>
    </row>
    <row r="782" spans="29:29">
      <c r="AC782" s="3714"/>
    </row>
    <row r="783" spans="29:29">
      <c r="AC783" s="3714"/>
    </row>
    <row r="784" spans="29:29">
      <c r="AC784" s="3714"/>
    </row>
    <row r="785" spans="29:29">
      <c r="AC785" s="3714"/>
    </row>
    <row r="786" spans="29:29">
      <c r="AC786" s="3714"/>
    </row>
    <row r="787" spans="29:29">
      <c r="AC787" s="3714"/>
    </row>
    <row r="788" spans="29:29">
      <c r="AC788" s="3714"/>
    </row>
    <row r="789" spans="29:29">
      <c r="AC789" s="3714"/>
    </row>
    <row r="790" spans="29:29">
      <c r="AC790" s="3714"/>
    </row>
    <row r="791" spans="29:29">
      <c r="AC791" s="3714"/>
    </row>
    <row r="792" spans="29:29">
      <c r="AC792" s="3714"/>
    </row>
    <row r="793" spans="29:29">
      <c r="AC793" s="3714"/>
    </row>
    <row r="794" spans="29:29">
      <c r="AC794" s="371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cfRule type="containsText" dxfId="152" priority="20"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75"/>
  <sheetViews>
    <sheetView topLeftCell="G1" workbookViewId="0">
      <selection activeCell="F36" sqref="F36"/>
    </sheetView>
  </sheetViews>
  <sheetFormatPr defaultRowHeight="13.5"/>
  <cols>
    <col min="1" max="16384" width="9" style="3361"/>
  </cols>
  <sheetData>
    <row r="2" spans="1:1">
      <c r="A2" s="3361" t="s">
        <v>3201</v>
      </c>
    </row>
    <row r="3" spans="1:1">
      <c r="A3" s="3361">
        <v>31000</v>
      </c>
    </row>
    <row r="37" spans="1:1">
      <c r="A37" s="3361" t="s">
        <v>3202</v>
      </c>
    </row>
    <row r="39" spans="1:1">
      <c r="A39" s="3361">
        <v>30958</v>
      </c>
    </row>
    <row r="73" spans="1:1">
      <c r="A73" s="3361" t="s">
        <v>3203</v>
      </c>
    </row>
    <row r="75" spans="1:1">
      <c r="A75" s="3361">
        <v>30000</v>
      </c>
    </row>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31" zoomScale="90" zoomScaleNormal="60" zoomScaleSheetLayoutView="90" workbookViewId="0">
      <selection activeCell="I22" sqref="I22"/>
    </sheetView>
  </sheetViews>
  <sheetFormatPr defaultColWidth="9" defaultRowHeight="14.25"/>
  <cols>
    <col min="1" max="1" width="10.5" style="3424" customWidth="1"/>
    <col min="2" max="2" width="15.75" style="3424" customWidth="1"/>
    <col min="3" max="3" width="16.7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757"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3204</v>
      </c>
      <c r="C1" s="3396" t="s">
        <v>3173</v>
      </c>
      <c r="D1" s="3719" t="s">
        <v>1665</v>
      </c>
      <c r="E1" s="3398"/>
      <c r="F1" s="3399"/>
      <c r="G1" s="3400" t="s">
        <v>3174</v>
      </c>
      <c r="H1" s="3398"/>
      <c r="I1" s="3398"/>
      <c r="J1" s="3398"/>
      <c r="K1" s="3401"/>
      <c r="L1" s="3402"/>
      <c r="M1" s="3403"/>
      <c r="N1" s="3403"/>
      <c r="O1" s="3403"/>
      <c r="P1" s="3720"/>
      <c r="Q1" s="3404"/>
      <c r="R1" s="3404"/>
      <c r="S1" s="3404"/>
      <c r="T1" s="3404"/>
      <c r="U1" s="3404"/>
      <c r="V1" s="3404"/>
      <c r="W1" s="3404"/>
      <c r="X1" s="3404"/>
      <c r="Y1" s="3404"/>
      <c r="Z1" s="3404"/>
      <c r="AA1" s="3404"/>
      <c r="AB1" s="3404"/>
      <c r="AC1" s="3405"/>
    </row>
    <row r="2" spans="1:29" s="3406" customFormat="1" ht="28.5" customHeight="1">
      <c r="A2" s="3407" t="s">
        <v>3175</v>
      </c>
      <c r="B2" s="3408">
        <f>ROUND(B3*D3/10000,0)</f>
        <v>892313</v>
      </c>
      <c r="C2" s="3409"/>
      <c r="D2" s="3409"/>
      <c r="E2" s="3405"/>
      <c r="F2" s="3410"/>
      <c r="G2" s="3411"/>
      <c r="H2" s="3411"/>
      <c r="I2" s="3411"/>
      <c r="J2" s="3411"/>
      <c r="K2" s="3411"/>
      <c r="L2" s="3412"/>
      <c r="M2" s="3404"/>
      <c r="N2" s="3404"/>
      <c r="O2" s="3404"/>
      <c r="P2" s="3720"/>
      <c r="Q2" s="3404"/>
      <c r="R2" s="3404"/>
      <c r="S2" s="3404"/>
      <c r="T2" s="3404"/>
      <c r="U2" s="3404"/>
      <c r="V2" s="3404"/>
      <c r="W2" s="3404"/>
      <c r="X2" s="3404"/>
      <c r="Y2" s="3404"/>
      <c r="Z2" s="3404"/>
      <c r="AA2" s="3404"/>
      <c r="AB2" s="3404"/>
      <c r="AC2" s="3405"/>
    </row>
    <row r="3" spans="1:29" s="3406" customFormat="1" ht="28.5" customHeight="1" thickBot="1">
      <c r="A3" s="3413" t="s">
        <v>3176</v>
      </c>
      <c r="B3" s="3414">
        <f>C50</f>
        <v>29537</v>
      </c>
      <c r="C3" s="3415" t="s">
        <v>3177</v>
      </c>
      <c r="D3" s="3416">
        <f>SUMIF('数据-汇总表'!$C19:$C33,D1,'数据-汇总表'!$E19:$E33)</f>
        <v>302100</v>
      </c>
      <c r="E3" s="3405"/>
      <c r="F3" s="3410"/>
      <c r="G3" s="3411"/>
      <c r="H3" s="3411"/>
      <c r="I3" s="3411"/>
      <c r="J3" s="3411"/>
      <c r="K3" s="3417"/>
      <c r="L3" s="3412"/>
      <c r="M3" s="3404"/>
      <c r="N3" s="3404"/>
      <c r="O3" s="3404"/>
      <c r="P3" s="3720"/>
      <c r="Q3" s="3404"/>
      <c r="R3" s="3404"/>
      <c r="S3" s="3404"/>
      <c r="T3" s="3404"/>
      <c r="U3" s="3404"/>
      <c r="V3" s="3404"/>
      <c r="W3" s="3404"/>
      <c r="X3" s="3404"/>
      <c r="Y3" s="3404"/>
      <c r="Z3" s="3404"/>
      <c r="AA3" s="3404"/>
      <c r="AB3" s="3404"/>
      <c r="AC3" s="3405"/>
    </row>
    <row r="4" spans="1:29" ht="15">
      <c r="A4" s="3418" t="s">
        <v>513</v>
      </c>
      <c r="B4" s="3419"/>
      <c r="C4" s="4086" t="s">
        <v>514</v>
      </c>
      <c r="D4" s="4087"/>
      <c r="E4" s="4088" t="s">
        <v>515</v>
      </c>
      <c r="F4" s="4089"/>
      <c r="G4" s="4086" t="s">
        <v>516</v>
      </c>
      <c r="H4" s="4087"/>
      <c r="I4" s="4086" t="s">
        <v>517</v>
      </c>
      <c r="J4" s="4087"/>
      <c r="K4" s="3420" t="s">
        <v>518</v>
      </c>
      <c r="L4" s="3421"/>
      <c r="M4" s="3422"/>
      <c r="N4" s="3422"/>
      <c r="O4" s="3422"/>
      <c r="P4" s="4090" t="s">
        <v>519</v>
      </c>
      <c r="Q4" s="4091"/>
      <c r="R4" s="4096" t="s">
        <v>515</v>
      </c>
      <c r="S4" s="4097"/>
      <c r="T4" s="4096" t="s">
        <v>516</v>
      </c>
      <c r="U4" s="4097"/>
      <c r="V4" s="4111" t="s">
        <v>517</v>
      </c>
      <c r="W4" s="4111"/>
      <c r="X4" s="3423"/>
      <c r="Y4" s="4096" t="s">
        <v>519</v>
      </c>
      <c r="Z4" s="4097"/>
      <c r="AA4" s="4083" t="s">
        <v>515</v>
      </c>
      <c r="AB4" s="4083" t="s">
        <v>516</v>
      </c>
      <c r="AC4" s="4083" t="s">
        <v>517</v>
      </c>
    </row>
    <row r="5" spans="1:29" ht="15">
      <c r="A5" s="3425"/>
      <c r="B5" s="3426"/>
      <c r="C5" s="4100" t="s">
        <v>2892</v>
      </c>
      <c r="D5" s="4101"/>
      <c r="E5" s="4102" t="str">
        <f>办公案例截图及地图!$A$1</f>
        <v>金融街园中园</v>
      </c>
      <c r="F5" s="4103"/>
      <c r="G5" s="4104" t="s">
        <v>3205</v>
      </c>
      <c r="H5" s="4101"/>
      <c r="I5" s="4100" t="str">
        <f>办公案例截图及地图!$A$86</f>
        <v>万方大厦</v>
      </c>
      <c r="J5" s="4101"/>
      <c r="K5" s="3420"/>
      <c r="L5" s="3421"/>
      <c r="M5" s="3422"/>
      <c r="N5" s="3422"/>
      <c r="O5" s="3422"/>
      <c r="P5" s="4092"/>
      <c r="Q5" s="4093"/>
      <c r="R5" s="4098"/>
      <c r="S5" s="4099"/>
      <c r="T5" s="4098"/>
      <c r="U5" s="4099"/>
      <c r="V5" s="4111"/>
      <c r="W5" s="4111"/>
      <c r="X5" s="3423"/>
      <c r="Y5" s="4098"/>
      <c r="Z5" s="4099"/>
      <c r="AA5" s="4084"/>
      <c r="AB5" s="4084"/>
      <c r="AC5" s="4084"/>
    </row>
    <row r="6" spans="1:29" ht="15.75" thickBot="1">
      <c r="A6" s="3427"/>
      <c r="B6" s="3428"/>
      <c r="C6" s="4105" t="s">
        <v>2896</v>
      </c>
      <c r="D6" s="4106"/>
      <c r="E6" s="4107" t="s">
        <v>2896</v>
      </c>
      <c r="F6" s="4108"/>
      <c r="G6" s="4105" t="s">
        <v>2896</v>
      </c>
      <c r="H6" s="4106"/>
      <c r="I6" s="4105" t="s">
        <v>2896</v>
      </c>
      <c r="J6" s="4106"/>
      <c r="K6" s="3420" t="s">
        <v>520</v>
      </c>
      <c r="L6" s="3421"/>
      <c r="M6" s="3422"/>
      <c r="N6" s="3422"/>
      <c r="O6" s="3422"/>
      <c r="P6" s="4094"/>
      <c r="Q6" s="4095"/>
      <c r="R6" s="4098"/>
      <c r="S6" s="4099"/>
      <c r="T6" s="4109"/>
      <c r="U6" s="4110"/>
      <c r="V6" s="4111"/>
      <c r="W6" s="4111"/>
      <c r="X6" s="3423"/>
      <c r="Y6" s="4109"/>
      <c r="Z6" s="4110"/>
      <c r="AA6" s="4085"/>
      <c r="AB6" s="4085"/>
      <c r="AC6" s="4085"/>
    </row>
    <row r="7" spans="1:29" s="3442" customFormat="1" ht="15.75" thickBot="1">
      <c r="A7" s="3429"/>
      <c r="B7" s="3430" t="s">
        <v>521</v>
      </c>
      <c r="C7" s="3431">
        <f>'[3]数据-取费表'!B2</f>
        <v>44498</v>
      </c>
      <c r="D7" s="3432">
        <v>100</v>
      </c>
      <c r="E7" s="3433">
        <v>44470</v>
      </c>
      <c r="F7" s="3434">
        <f>SUMIF(59:59,YEAR(E7)&amp;"-"&amp;MONTH(E7),60:60)</f>
        <v>100</v>
      </c>
      <c r="G7" s="3433">
        <v>44470</v>
      </c>
      <c r="H7" s="3432">
        <f>SUMIF(59:59,YEAR(G7)&amp;"-"&amp;MONTH(G7),60:60)</f>
        <v>100</v>
      </c>
      <c r="I7" s="3433">
        <v>44440</v>
      </c>
      <c r="J7" s="3432">
        <f>SUMIF(59:59,YEAR(I7)&amp;"-"&amp;MONTH(I7),60:60)</f>
        <v>100</v>
      </c>
      <c r="K7" s="3435"/>
      <c r="L7" s="3436"/>
      <c r="M7" s="3437"/>
      <c r="N7" s="3437"/>
      <c r="O7" s="3437"/>
      <c r="P7" s="4112" t="s">
        <v>522</v>
      </c>
      <c r="Q7" s="4112"/>
      <c r="R7" s="3438" t="s">
        <v>8</v>
      </c>
      <c r="S7" s="3439">
        <f t="shared" ref="S7:S15" si="0">F7</f>
        <v>100</v>
      </c>
      <c r="T7" s="3438" t="s">
        <v>8</v>
      </c>
      <c r="U7" s="3439">
        <f t="shared" ref="U7:U15" si="1">H7</f>
        <v>100</v>
      </c>
      <c r="V7" s="3438" t="s">
        <v>8</v>
      </c>
      <c r="W7" s="3439">
        <f t="shared" ref="W7:W15" si="2">J7</f>
        <v>100</v>
      </c>
      <c r="X7" s="3440"/>
      <c r="Y7" s="4114" t="s">
        <v>522</v>
      </c>
      <c r="Z7" s="4113"/>
      <c r="AA7" s="3441">
        <f>D7/F7</f>
        <v>1</v>
      </c>
      <c r="AB7" s="3441">
        <f>D7/H7</f>
        <v>1</v>
      </c>
      <c r="AC7" s="3441">
        <f>D7/J7</f>
        <v>1</v>
      </c>
    </row>
    <row r="8" spans="1:29" s="3442" customFormat="1" ht="15.75" thickBot="1">
      <c r="A8" s="3443"/>
      <c r="B8" s="3444" t="s">
        <v>523</v>
      </c>
      <c r="C8" s="3445" t="s">
        <v>3178</v>
      </c>
      <c r="D8" s="3432">
        <v>100</v>
      </c>
      <c r="E8" s="3445" t="s">
        <v>3206</v>
      </c>
      <c r="F8" s="3434">
        <f>SUMIF(62:62,E8,63:63)-SUMIF(62:62,C8,63:63)+100</f>
        <v>115</v>
      </c>
      <c r="G8" s="3445" t="s">
        <v>3206</v>
      </c>
      <c r="H8" s="3432">
        <f>SUMIF(62:62,G8,63:63)-SUMIF(62:62,C8,63:63)+100</f>
        <v>115</v>
      </c>
      <c r="I8" s="3445" t="s">
        <v>3206</v>
      </c>
      <c r="J8" s="3432">
        <f>SUMIF(62:62,I8,63:63)-SUMIF(62:62,C8,63:63)+100</f>
        <v>115</v>
      </c>
      <c r="K8" s="3435"/>
      <c r="L8" s="3436"/>
      <c r="M8" s="3437"/>
      <c r="N8" s="3437"/>
      <c r="O8" s="3437"/>
      <c r="P8" s="4112" t="s">
        <v>525</v>
      </c>
      <c r="Q8" s="4113"/>
      <c r="R8" s="3438" t="s">
        <v>8</v>
      </c>
      <c r="S8" s="3439">
        <f t="shared" si="0"/>
        <v>115</v>
      </c>
      <c r="T8" s="3438" t="s">
        <v>8</v>
      </c>
      <c r="U8" s="3439">
        <f t="shared" si="1"/>
        <v>115</v>
      </c>
      <c r="V8" s="3438" t="s">
        <v>8</v>
      </c>
      <c r="W8" s="3439">
        <f t="shared" si="2"/>
        <v>115</v>
      </c>
      <c r="X8" s="3440"/>
      <c r="Y8" s="4114" t="s">
        <v>525</v>
      </c>
      <c r="Z8" s="4113"/>
      <c r="AA8" s="3441">
        <f t="shared" ref="AA8:AA47" si="3">D8/F8</f>
        <v>0.86956521739130432</v>
      </c>
      <c r="AB8" s="3441">
        <f t="shared" ref="AB8:AB47" si="4">D8/H8</f>
        <v>0.86956521739130432</v>
      </c>
      <c r="AC8" s="3441">
        <f t="shared" ref="AC8:AC47" si="5">D8/J8</f>
        <v>0.86956521739130432</v>
      </c>
    </row>
    <row r="9" spans="1:29" s="3442" customFormat="1" ht="15">
      <c r="A9" s="3446"/>
      <c r="B9" s="3447" t="s">
        <v>2734</v>
      </c>
      <c r="C9" s="3448"/>
      <c r="D9" s="3449">
        <v>100</v>
      </c>
      <c r="E9" s="3450"/>
      <c r="F9" s="3449">
        <f>SUMIF(64:64,E9,65:65)-SUMIF(64:64,C9,65:65)+100</f>
        <v>100</v>
      </c>
      <c r="G9" s="3451"/>
      <c r="H9" s="3449">
        <f>SUMIF(64:64,G9,65:65)-SUMIF(64:64,C9,65:65)+100</f>
        <v>100</v>
      </c>
      <c r="I9" s="3451"/>
      <c r="J9" s="3449">
        <f>SUMIF(64:64,I9,65:65)-SUMIF(64:64,C9,65:65)+100</f>
        <v>100</v>
      </c>
      <c r="K9" s="3435"/>
      <c r="L9" s="3436"/>
      <c r="M9" s="3437"/>
      <c r="N9" s="3437"/>
      <c r="O9" s="3437"/>
      <c r="P9" s="4115" t="s">
        <v>527</v>
      </c>
      <c r="Q9" s="3453" t="str">
        <f t="shared" ref="Q9:Q15" si="6">B9</f>
        <v>用途</v>
      </c>
      <c r="R9" s="3438" t="s">
        <v>8</v>
      </c>
      <c r="S9" s="3439">
        <f t="shared" si="0"/>
        <v>100</v>
      </c>
      <c r="T9" s="3438" t="s">
        <v>8</v>
      </c>
      <c r="U9" s="3439">
        <f t="shared" si="1"/>
        <v>100</v>
      </c>
      <c r="V9" s="3438" t="s">
        <v>8</v>
      </c>
      <c r="W9" s="3439">
        <f t="shared" si="2"/>
        <v>100</v>
      </c>
      <c r="X9" s="3440"/>
      <c r="Y9" s="4116" t="s">
        <v>528</v>
      </c>
      <c r="Z9" s="3441" t="str">
        <f t="shared" ref="Z9:Z15" si="7">Q9</f>
        <v>用途</v>
      </c>
      <c r="AA9" s="3441">
        <f t="shared" si="3"/>
        <v>1</v>
      </c>
      <c r="AB9" s="3441">
        <f t="shared" si="4"/>
        <v>1</v>
      </c>
      <c r="AC9" s="3441">
        <f t="shared" si="5"/>
        <v>1</v>
      </c>
    </row>
    <row r="10" spans="1:29" s="3462" customFormat="1" ht="27">
      <c r="A10" s="3454"/>
      <c r="B10" s="3444" t="s">
        <v>2735</v>
      </c>
      <c r="C10" s="3455" t="s">
        <v>3130</v>
      </c>
      <c r="D10" s="3456">
        <v>100</v>
      </c>
      <c r="E10" s="3455" t="s">
        <v>3124</v>
      </c>
      <c r="F10" s="3456">
        <f>SUMIF(66:66,E10,67:67)-SUMIF(66:66,C10,67:67)+100</f>
        <v>99</v>
      </c>
      <c r="G10" s="3457" t="s">
        <v>3130</v>
      </c>
      <c r="H10" s="3456">
        <f>SUMIF(66:66,G10,67:67)-SUMIF(66:66,C10,67:67)+100</f>
        <v>100</v>
      </c>
      <c r="I10" s="3455" t="s">
        <v>3124</v>
      </c>
      <c r="J10" s="3456">
        <f>SUMIF(66:66,I10,67:67)-SUMIF(66:66,C10,67:67)+100</f>
        <v>99</v>
      </c>
      <c r="K10" s="3458">
        <v>1</v>
      </c>
      <c r="L10" s="3459"/>
      <c r="M10" s="3460"/>
      <c r="N10" s="3460"/>
      <c r="O10" s="3460"/>
      <c r="P10" s="4115"/>
      <c r="Q10" s="3453" t="str">
        <f t="shared" si="6"/>
        <v>土地使用年限（年）</v>
      </c>
      <c r="R10" s="3438" t="s">
        <v>8</v>
      </c>
      <c r="S10" s="3439">
        <f t="shared" si="0"/>
        <v>99</v>
      </c>
      <c r="T10" s="3438" t="s">
        <v>8</v>
      </c>
      <c r="U10" s="3439">
        <f t="shared" si="1"/>
        <v>100</v>
      </c>
      <c r="V10" s="3438" t="s">
        <v>8</v>
      </c>
      <c r="W10" s="3439">
        <f t="shared" si="2"/>
        <v>99</v>
      </c>
      <c r="X10" s="3440"/>
      <c r="Y10" s="4116"/>
      <c r="Z10" s="3441" t="str">
        <f t="shared" si="7"/>
        <v>土地使用年限（年）</v>
      </c>
      <c r="AA10" s="3441">
        <f t="shared" si="3"/>
        <v>1.0101010101010102</v>
      </c>
      <c r="AB10" s="3441">
        <f t="shared" si="4"/>
        <v>1</v>
      </c>
      <c r="AC10" s="3441">
        <f t="shared" si="5"/>
        <v>1.0101010101010102</v>
      </c>
    </row>
    <row r="11" spans="1:29" ht="15">
      <c r="A11" s="3463"/>
      <c r="B11" s="3444" t="s">
        <v>2736</v>
      </c>
      <c r="C11" s="3464">
        <v>1.8</v>
      </c>
      <c r="D11" s="3456">
        <v>100</v>
      </c>
      <c r="E11" s="3464">
        <v>1.8</v>
      </c>
      <c r="F11" s="3456">
        <f>LOOKUP(E11,69:69,70:70)-LOOKUP(C11,69:69,70:70)+100</f>
        <v>100</v>
      </c>
      <c r="G11" s="3465">
        <v>1.8</v>
      </c>
      <c r="H11" s="3456">
        <f>LOOKUP(G11,69:69,70:70)-LOOKUP(C11,69:69,70:70)+100</f>
        <v>100</v>
      </c>
      <c r="I11" s="3464">
        <v>1.8</v>
      </c>
      <c r="J11" s="3456">
        <f>LOOKUP(I11,69:69,70:70)-LOOKUP(C11,69:69,70:70)+100</f>
        <v>100</v>
      </c>
      <c r="K11" s="3458"/>
      <c r="L11" s="3466"/>
      <c r="M11" s="3422"/>
      <c r="N11" s="3422"/>
      <c r="O11" s="3422"/>
      <c r="P11" s="4115"/>
      <c r="Q11" s="3453" t="str">
        <f t="shared" si="6"/>
        <v>容积率</v>
      </c>
      <c r="R11" s="3438" t="s">
        <v>8</v>
      </c>
      <c r="S11" s="3439">
        <f t="shared" si="0"/>
        <v>100</v>
      </c>
      <c r="T11" s="3438" t="s">
        <v>8</v>
      </c>
      <c r="U11" s="3439">
        <f t="shared" si="1"/>
        <v>100</v>
      </c>
      <c r="V11" s="3438" t="s">
        <v>8</v>
      </c>
      <c r="W11" s="3439">
        <f t="shared" si="2"/>
        <v>100</v>
      </c>
      <c r="X11" s="3440"/>
      <c r="Y11" s="4116"/>
      <c r="Z11" s="3441" t="str">
        <f t="shared" si="7"/>
        <v>容积率</v>
      </c>
      <c r="AA11" s="3441">
        <f t="shared" si="3"/>
        <v>1</v>
      </c>
      <c r="AB11" s="3441">
        <f t="shared" si="4"/>
        <v>1</v>
      </c>
      <c r="AC11" s="3441">
        <f t="shared" si="5"/>
        <v>1</v>
      </c>
    </row>
    <row r="12" spans="1:29" s="3442" customFormat="1" ht="15">
      <c r="A12" s="3468"/>
      <c r="B12" s="3469">
        <v>111</v>
      </c>
      <c r="C12" s="3470"/>
      <c r="D12" s="3471">
        <v>100</v>
      </c>
      <c r="E12" s="3470"/>
      <c r="F12" s="3456">
        <f>SUMIF(71:71,E12,72:72)-SUMIF(71:71,C12,72:72)+100</f>
        <v>100</v>
      </c>
      <c r="G12" s="3721"/>
      <c r="H12" s="3456">
        <f>SUMIF(71:71,G12,72:72)-SUMIF(71:71,C12,72:72)+100</f>
        <v>100</v>
      </c>
      <c r="I12" s="3470"/>
      <c r="J12" s="3456">
        <f>SUMIF(71:71,I12,72:72)-SUMIF(71:71,C12,72:72)+100</f>
        <v>100</v>
      </c>
      <c r="K12" s="3474"/>
      <c r="L12" s="3436"/>
      <c r="M12" s="3437"/>
      <c r="N12" s="3437"/>
      <c r="O12" s="3437"/>
      <c r="P12" s="4115"/>
      <c r="Q12" s="3453">
        <f t="shared" si="6"/>
        <v>111</v>
      </c>
      <c r="R12" s="3438" t="s">
        <v>8</v>
      </c>
      <c r="S12" s="3439">
        <f t="shared" si="0"/>
        <v>100</v>
      </c>
      <c r="T12" s="3438" t="s">
        <v>8</v>
      </c>
      <c r="U12" s="3439">
        <f t="shared" si="1"/>
        <v>100</v>
      </c>
      <c r="V12" s="3438" t="s">
        <v>8</v>
      </c>
      <c r="W12" s="3439">
        <f t="shared" si="2"/>
        <v>100</v>
      </c>
      <c r="X12" s="3440"/>
      <c r="Y12" s="4116"/>
      <c r="Z12" s="3441">
        <f t="shared" si="7"/>
        <v>111</v>
      </c>
      <c r="AA12" s="3441">
        <f>D12/F12</f>
        <v>1</v>
      </c>
      <c r="AB12" s="3441">
        <f>D12/H12</f>
        <v>1</v>
      </c>
      <c r="AC12" s="3441">
        <f>D12/J12</f>
        <v>1</v>
      </c>
    </row>
    <row r="13" spans="1:29" ht="15">
      <c r="A13" s="3468"/>
      <c r="B13" s="3469">
        <v>111</v>
      </c>
      <c r="C13" s="3472"/>
      <c r="D13" s="3475">
        <v>100</v>
      </c>
      <c r="E13" s="3470"/>
      <c r="F13" s="3456">
        <f>SUMIF(73:73,E13,74:74)-SUMIF(73:73,C13,74:74)+100</f>
        <v>100</v>
      </c>
      <c r="G13" s="3721"/>
      <c r="H13" s="3475">
        <f>SUMIF(73:73,G13,74:74)-SUMIF(73:73,C13,74:74)+100</f>
        <v>100</v>
      </c>
      <c r="I13" s="3470"/>
      <c r="J13" s="3475">
        <f>SUMIF(73:73,I13,74:74)-SUMIF(73:73,C13,74:74)+100</f>
        <v>100</v>
      </c>
      <c r="K13" s="3474"/>
      <c r="L13" s="3476"/>
      <c r="M13" s="3422"/>
      <c r="N13" s="3422"/>
      <c r="O13" s="3422"/>
      <c r="P13" s="4115"/>
      <c r="Q13" s="3453">
        <f t="shared" si="6"/>
        <v>111</v>
      </c>
      <c r="R13" s="3438" t="s">
        <v>8</v>
      </c>
      <c r="S13" s="3439">
        <f t="shared" si="0"/>
        <v>100</v>
      </c>
      <c r="T13" s="3438" t="s">
        <v>8</v>
      </c>
      <c r="U13" s="3439">
        <f t="shared" si="1"/>
        <v>100</v>
      </c>
      <c r="V13" s="3438" t="s">
        <v>8</v>
      </c>
      <c r="W13" s="3439">
        <f t="shared" si="2"/>
        <v>100</v>
      </c>
      <c r="X13" s="3440"/>
      <c r="Y13" s="4116"/>
      <c r="Z13" s="3441">
        <f t="shared" si="7"/>
        <v>111</v>
      </c>
      <c r="AA13" s="3441">
        <f t="shared" si="3"/>
        <v>1</v>
      </c>
      <c r="AB13" s="3441">
        <f t="shared" si="4"/>
        <v>1</v>
      </c>
      <c r="AC13" s="3441">
        <f t="shared" si="5"/>
        <v>1</v>
      </c>
    </row>
    <row r="14" spans="1:29" ht="15.75" thickBot="1">
      <c r="A14" s="3477"/>
      <c r="B14" s="3478">
        <v>111</v>
      </c>
      <c r="C14" s="3479"/>
      <c r="D14" s="3480">
        <v>100</v>
      </c>
      <c r="E14" s="3722"/>
      <c r="F14" s="3480">
        <f>SUMIF(75:75,E14,76:76)-SUMIF(75:75,C14,76:76)+100</f>
        <v>100</v>
      </c>
      <c r="G14" s="3721"/>
      <c r="H14" s="3480">
        <f>SUMIF(75:75,G14,76:76)-SUMIF(75:75,C14,76:76)+100</f>
        <v>100</v>
      </c>
      <c r="I14" s="3470"/>
      <c r="J14" s="3480">
        <f>SUMIF(75:75,I14,76:76)-SUMIF(75:75,C14,76:76)+100</f>
        <v>100</v>
      </c>
      <c r="K14" s="3474"/>
      <c r="L14" s="3476"/>
      <c r="M14" s="3422"/>
      <c r="N14" s="3422"/>
      <c r="O14" s="3422"/>
      <c r="P14" s="4115"/>
      <c r="Q14" s="3453">
        <f t="shared" si="6"/>
        <v>111</v>
      </c>
      <c r="R14" s="3438" t="s">
        <v>8</v>
      </c>
      <c r="S14" s="3439">
        <f t="shared" si="0"/>
        <v>100</v>
      </c>
      <c r="T14" s="3438" t="s">
        <v>8</v>
      </c>
      <c r="U14" s="3439">
        <f t="shared" si="1"/>
        <v>100</v>
      </c>
      <c r="V14" s="3438" t="s">
        <v>8</v>
      </c>
      <c r="W14" s="3439">
        <f t="shared" si="2"/>
        <v>100</v>
      </c>
      <c r="X14" s="3440"/>
      <c r="Y14" s="4116"/>
      <c r="Z14" s="3441">
        <f t="shared" si="7"/>
        <v>111</v>
      </c>
      <c r="AA14" s="3441">
        <f t="shared" si="3"/>
        <v>1</v>
      </c>
      <c r="AB14" s="3441">
        <f t="shared" si="4"/>
        <v>1</v>
      </c>
      <c r="AC14" s="3441">
        <f t="shared" si="5"/>
        <v>1</v>
      </c>
    </row>
    <row r="15" spans="1:29" ht="71.25">
      <c r="A15" s="3481" t="s">
        <v>3179</v>
      </c>
      <c r="B15" s="3723" t="s">
        <v>577</v>
      </c>
      <c r="C15" s="3724" t="str">
        <f>[3]估价对象房地状况!C5</f>
        <v>估价对象位于XX商圈，周边办公楼项目较多，入驻率高，办公集聚程度较好</v>
      </c>
      <c r="D15" s="3484">
        <v>100</v>
      </c>
      <c r="E15" s="3487"/>
      <c r="F15" s="3484">
        <f>SUMIF(77:77,E16,78:78)-SUMIF(77:77,C16,78:78)+100</f>
        <v>99</v>
      </c>
      <c r="G15" s="3485"/>
      <c r="H15" s="3484">
        <f>SUMIF(77:77,G16,78:78)-SUMIF(77:77,C16,78:78)+100</f>
        <v>99</v>
      </c>
      <c r="I15" s="3485"/>
      <c r="J15" s="3484">
        <f>SUMIF(77:77,I16,78:78)-SUMIF(77:77,C16,78:78)+100</f>
        <v>99</v>
      </c>
      <c r="K15" s="3488">
        <v>1</v>
      </c>
      <c r="L15" s="3476"/>
      <c r="M15" s="3422"/>
      <c r="N15" s="3422"/>
      <c r="O15" s="3422"/>
      <c r="P15" s="4117" t="s">
        <v>532</v>
      </c>
      <c r="Q15" s="3489" t="str">
        <f t="shared" si="6"/>
        <v>办公集聚程度</v>
      </c>
      <c r="R15" s="3490" t="s">
        <v>8</v>
      </c>
      <c r="S15" s="3491">
        <f t="shared" si="0"/>
        <v>99</v>
      </c>
      <c r="T15" s="3490" t="s">
        <v>8</v>
      </c>
      <c r="U15" s="3491">
        <f t="shared" si="1"/>
        <v>99</v>
      </c>
      <c r="V15" s="3490" t="s">
        <v>8</v>
      </c>
      <c r="W15" s="3491">
        <f t="shared" si="2"/>
        <v>99</v>
      </c>
      <c r="X15" s="3423"/>
      <c r="Y15" s="4117" t="s">
        <v>532</v>
      </c>
      <c r="Z15" s="3492" t="str">
        <f t="shared" si="7"/>
        <v>办公集聚程度</v>
      </c>
      <c r="AA15" s="3492">
        <f t="shared" si="3"/>
        <v>1.0101010101010102</v>
      </c>
      <c r="AB15" s="3492">
        <f t="shared" si="4"/>
        <v>1.0101010101010102</v>
      </c>
      <c r="AC15" s="3492">
        <f t="shared" si="5"/>
        <v>1.0101010101010102</v>
      </c>
    </row>
    <row r="16" spans="1:29" ht="15">
      <c r="A16" s="3493"/>
      <c r="B16" s="3725"/>
      <c r="C16" s="3726" t="s">
        <v>3071</v>
      </c>
      <c r="D16" s="3496"/>
      <c r="E16" s="3495" t="s">
        <v>3070</v>
      </c>
      <c r="F16" s="3496"/>
      <c r="G16" s="3726" t="s">
        <v>3070</v>
      </c>
      <c r="H16" s="3498"/>
      <c r="I16" s="3495" t="s">
        <v>3070</v>
      </c>
      <c r="J16" s="3496"/>
      <c r="K16" s="3499"/>
      <c r="L16" s="3476"/>
      <c r="M16" s="3422"/>
      <c r="N16" s="3422"/>
      <c r="O16" s="3422"/>
      <c r="P16" s="4118"/>
      <c r="Q16" s="3489"/>
      <c r="R16" s="3490"/>
      <c r="S16" s="3491"/>
      <c r="T16" s="3490"/>
      <c r="U16" s="3491"/>
      <c r="V16" s="3490"/>
      <c r="W16" s="3491"/>
      <c r="X16" s="3423"/>
      <c r="Y16" s="4118"/>
      <c r="Z16" s="3492"/>
      <c r="AA16" s="3492">
        <v>1</v>
      </c>
      <c r="AB16" s="3492">
        <v>1</v>
      </c>
      <c r="AC16" s="3492">
        <v>1</v>
      </c>
    </row>
    <row r="17" spans="1:29" ht="71.25">
      <c r="A17" s="3493"/>
      <c r="B17" s="3727" t="s">
        <v>294</v>
      </c>
      <c r="C17" s="3728" t="str">
        <f>[3]估价对象房地状况!C6</f>
        <v>估价对象周边道路状况、公共交通通达情况、停车便捷程度，综合评价交通便捷度较好</v>
      </c>
      <c r="D17" s="3498">
        <v>100</v>
      </c>
      <c r="E17" s="3504"/>
      <c r="F17" s="3498">
        <f>SUMIF(79:79,E18,80:80)-SUMIF(79:79,C18,80:80)+100</f>
        <v>100</v>
      </c>
      <c r="G17" s="3502"/>
      <c r="H17" s="3505">
        <f>SUMIF(79:79,G18,80:80)-SUMIF(79:79,C18,80:80)+100</f>
        <v>105</v>
      </c>
      <c r="I17" s="3502"/>
      <c r="J17" s="3505">
        <f>SUMIF(79:79,I18,80:80)-SUMIF(79:79,C18,80:80)+100</f>
        <v>110</v>
      </c>
      <c r="K17" s="3488">
        <v>5</v>
      </c>
      <c r="L17" s="3476"/>
      <c r="M17" s="3422"/>
      <c r="N17" s="3422"/>
      <c r="O17" s="3422"/>
      <c r="P17" s="4118"/>
      <c r="Q17" s="3489" t="str">
        <f>B17</f>
        <v>交通便捷度</v>
      </c>
      <c r="R17" s="3490" t="s">
        <v>8</v>
      </c>
      <c r="S17" s="3491">
        <f>F17</f>
        <v>100</v>
      </c>
      <c r="T17" s="3490" t="s">
        <v>8</v>
      </c>
      <c r="U17" s="3491">
        <f>H17</f>
        <v>105</v>
      </c>
      <c r="V17" s="3490" t="s">
        <v>8</v>
      </c>
      <c r="W17" s="3491">
        <f>J17</f>
        <v>110</v>
      </c>
      <c r="X17" s="3423"/>
      <c r="Y17" s="4118"/>
      <c r="Z17" s="3492" t="str">
        <f>Q17</f>
        <v>交通便捷度</v>
      </c>
      <c r="AA17" s="3492">
        <f t="shared" si="3"/>
        <v>1</v>
      </c>
      <c r="AB17" s="3492">
        <f t="shared" si="4"/>
        <v>0.95238095238095233</v>
      </c>
      <c r="AC17" s="3492">
        <f t="shared" si="5"/>
        <v>0.90909090909090906</v>
      </c>
    </row>
    <row r="18" spans="1:29" ht="15">
      <c r="A18" s="3493"/>
      <c r="B18" s="3526"/>
      <c r="C18" s="3729" t="s">
        <v>3070</v>
      </c>
      <c r="D18" s="3498"/>
      <c r="E18" s="3509" t="s">
        <v>3070</v>
      </c>
      <c r="F18" s="3498"/>
      <c r="G18" s="3508" t="s">
        <v>3071</v>
      </c>
      <c r="H18" s="3496"/>
      <c r="I18" s="3508" t="s">
        <v>3077</v>
      </c>
      <c r="J18" s="3496"/>
      <c r="K18" s="3499"/>
      <c r="L18" s="3476"/>
      <c r="M18" s="3422"/>
      <c r="N18" s="3422"/>
      <c r="O18" s="3422"/>
      <c r="P18" s="4118"/>
      <c r="Q18" s="3489"/>
      <c r="R18" s="3490"/>
      <c r="S18" s="3491"/>
      <c r="T18" s="3490"/>
      <c r="U18" s="3491"/>
      <c r="V18" s="3490"/>
      <c r="W18" s="3491"/>
      <c r="X18" s="3423"/>
      <c r="Y18" s="4118"/>
      <c r="Z18" s="3492"/>
      <c r="AA18" s="3492">
        <v>1</v>
      </c>
      <c r="AB18" s="3492">
        <v>1</v>
      </c>
      <c r="AC18" s="3492">
        <v>1</v>
      </c>
    </row>
    <row r="19" spans="1:29" ht="42.75">
      <c r="A19" s="3493"/>
      <c r="B19" s="3730" t="s">
        <v>2302</v>
      </c>
      <c r="C19" s="3728" t="str">
        <f>[3]估价对象房地状况!C7</f>
        <v>估价对象所在区域公共配套设施齐备情况</v>
      </c>
      <c r="D19" s="3505">
        <v>100</v>
      </c>
      <c r="E19" s="3513"/>
      <c r="F19" s="3505">
        <f>SUMIF(81:81,E20,82:82)-SUMIF(81:81,C20,82:82)+100</f>
        <v>99</v>
      </c>
      <c r="G19" s="3511"/>
      <c r="H19" s="3498">
        <f>SUMIF(81:81,G20,82:82)-SUMIF(81:81,C20,82:82)+100</f>
        <v>100</v>
      </c>
      <c r="I19" s="3511"/>
      <c r="J19" s="3498">
        <f>SUMIF(81:81,I20,82:82)-SUMIF(81:81,C20,82:82)+100</f>
        <v>100</v>
      </c>
      <c r="K19" s="3488">
        <v>1</v>
      </c>
      <c r="L19" s="3476"/>
      <c r="M19" s="3422"/>
      <c r="N19" s="3422"/>
      <c r="O19" s="3422"/>
      <c r="P19" s="4118"/>
      <c r="Q19" s="3489" t="str">
        <f>B19</f>
        <v>公共配套设施</v>
      </c>
      <c r="R19" s="3490" t="s">
        <v>8</v>
      </c>
      <c r="S19" s="3491">
        <f>F19</f>
        <v>99</v>
      </c>
      <c r="T19" s="3490" t="s">
        <v>8</v>
      </c>
      <c r="U19" s="3491">
        <f>H19</f>
        <v>100</v>
      </c>
      <c r="V19" s="3490" t="s">
        <v>8</v>
      </c>
      <c r="W19" s="3491">
        <f>J19</f>
        <v>100</v>
      </c>
      <c r="X19" s="3423"/>
      <c r="Y19" s="4118"/>
      <c r="Z19" s="3492" t="str">
        <f>Q19</f>
        <v>公共配套设施</v>
      </c>
      <c r="AA19" s="3492">
        <f t="shared" si="3"/>
        <v>1.0101010101010102</v>
      </c>
      <c r="AB19" s="3492">
        <f t="shared" si="4"/>
        <v>1</v>
      </c>
      <c r="AC19" s="3492">
        <f t="shared" si="5"/>
        <v>1</v>
      </c>
    </row>
    <row r="20" spans="1:29" ht="15">
      <c r="A20" s="3493"/>
      <c r="B20" s="3526"/>
      <c r="C20" s="3726" t="s">
        <v>3071</v>
      </c>
      <c r="D20" s="3496"/>
      <c r="E20" s="3515" t="s">
        <v>3070</v>
      </c>
      <c r="F20" s="3496"/>
      <c r="G20" s="3514" t="s">
        <v>3071</v>
      </c>
      <c r="H20" s="3496"/>
      <c r="I20" s="3514" t="s">
        <v>3071</v>
      </c>
      <c r="J20" s="3496"/>
      <c r="K20" s="3499"/>
      <c r="L20" s="3476"/>
      <c r="M20" s="3422"/>
      <c r="N20" s="3422"/>
      <c r="O20" s="3422"/>
      <c r="P20" s="4118"/>
      <c r="Q20" s="3489"/>
      <c r="R20" s="3490"/>
      <c r="S20" s="3491"/>
      <c r="T20" s="3490"/>
      <c r="U20" s="3491"/>
      <c r="V20" s="3490"/>
      <c r="W20" s="3491"/>
      <c r="X20" s="3423"/>
      <c r="Y20" s="4118"/>
      <c r="Z20" s="3492"/>
      <c r="AA20" s="3492">
        <v>1</v>
      </c>
      <c r="AB20" s="3492">
        <v>1</v>
      </c>
      <c r="AC20" s="3492">
        <v>1</v>
      </c>
    </row>
    <row r="21" spans="1:29" ht="28.5">
      <c r="A21" s="3493"/>
      <c r="B21" s="3731" t="s">
        <v>3180</v>
      </c>
      <c r="C21" s="3728" t="str">
        <f>[3]估价对象房地状况!C8</f>
        <v>估价对象所在区域基础设施水平</v>
      </c>
      <c r="D21" s="3505">
        <v>100</v>
      </c>
      <c r="E21" s="3513"/>
      <c r="F21" s="3505">
        <f>SUMIF(83:83,E22,84:84)-SUMIF(83:83,C22,84:84)+100</f>
        <v>100</v>
      </c>
      <c r="G21" s="3511"/>
      <c r="H21" s="3505">
        <f>SUMIF(83:83,G22,84:84)-SUMIF(83:83,C22,84:84)+100</f>
        <v>100</v>
      </c>
      <c r="I21" s="3511"/>
      <c r="J21" s="3505">
        <f>SUMIF(83:83,I22,84:84)-SUMIF(83:83,C22,84:84)+100</f>
        <v>100</v>
      </c>
      <c r="K21" s="3488">
        <v>1</v>
      </c>
      <c r="L21" s="3476"/>
      <c r="M21" s="3422"/>
      <c r="N21" s="3422"/>
      <c r="O21" s="3422"/>
      <c r="P21" s="4118"/>
      <c r="Q21" s="3489" t="str">
        <f>B21</f>
        <v>基础设施水平</v>
      </c>
      <c r="R21" s="3490" t="s">
        <v>8</v>
      </c>
      <c r="S21" s="3491">
        <f>F21</f>
        <v>100</v>
      </c>
      <c r="T21" s="3490" t="s">
        <v>8</v>
      </c>
      <c r="U21" s="3491">
        <f>H21</f>
        <v>100</v>
      </c>
      <c r="V21" s="3490" t="s">
        <v>8</v>
      </c>
      <c r="W21" s="3491">
        <f>J21</f>
        <v>100</v>
      </c>
      <c r="X21" s="3423"/>
      <c r="Y21" s="4118"/>
      <c r="Z21" s="3492" t="str">
        <f>Q21</f>
        <v>基础设施水平</v>
      </c>
      <c r="AA21" s="3492">
        <f t="shared" ref="AA21" si="8">D21/F21</f>
        <v>1</v>
      </c>
      <c r="AB21" s="3492">
        <f t="shared" ref="AB21" si="9">D21/H21</f>
        <v>1</v>
      </c>
      <c r="AC21" s="3492">
        <f t="shared" ref="AC21" si="10">D21/J21</f>
        <v>1</v>
      </c>
    </row>
    <row r="22" spans="1:29" ht="15">
      <c r="A22" s="3493"/>
      <c r="B22" s="3732"/>
      <c r="C22" s="3729" t="s">
        <v>3078</v>
      </c>
      <c r="D22" s="3496"/>
      <c r="E22" s="3495" t="s">
        <v>3078</v>
      </c>
      <c r="F22" s="3496"/>
      <c r="G22" s="3726" t="s">
        <v>3078</v>
      </c>
      <c r="H22" s="3496"/>
      <c r="I22" s="3726" t="s">
        <v>3078</v>
      </c>
      <c r="J22" s="3496"/>
      <c r="K22" s="3518"/>
      <c r="L22" s="3476"/>
      <c r="M22" s="3422"/>
      <c r="N22" s="3422"/>
      <c r="O22" s="3422"/>
      <c r="P22" s="4118"/>
      <c r="Q22" s="3489"/>
      <c r="R22" s="3490"/>
      <c r="S22" s="3491"/>
      <c r="T22" s="3490"/>
      <c r="U22" s="3491"/>
      <c r="V22" s="3490"/>
      <c r="W22" s="3491"/>
      <c r="X22" s="3423"/>
      <c r="Y22" s="4118"/>
      <c r="Z22" s="3492"/>
      <c r="AA22" s="3492">
        <v>1</v>
      </c>
      <c r="AB22" s="3492">
        <v>1</v>
      </c>
      <c r="AC22" s="3492">
        <v>1</v>
      </c>
    </row>
    <row r="23" spans="1:29" ht="42.75">
      <c r="A23" s="3493"/>
      <c r="B23" s="3727" t="s">
        <v>776</v>
      </c>
      <c r="C23" s="3728" t="str">
        <f>[3]估价对象房地状况!C9</f>
        <v>区域自然环境：；人文环境；综合评价环境状况一般</v>
      </c>
      <c r="D23" s="3498">
        <v>100</v>
      </c>
      <c r="E23" s="3504"/>
      <c r="F23" s="3498">
        <f>SUMIF(85:85,E24,86:86)-SUMIF(85:85,C24,86:86)+100</f>
        <v>99</v>
      </c>
      <c r="G23" s="3502"/>
      <c r="H23" s="3498">
        <f>SUMIF(85:85,G24,86:86)-SUMIF(85:85,C24,86:86)+100</f>
        <v>99</v>
      </c>
      <c r="I23" s="3502"/>
      <c r="J23" s="3498">
        <f>SUMIF(85:85,I24,86:86)-SUMIF(85:85,C24,86:86)+100</f>
        <v>99</v>
      </c>
      <c r="K23" s="3488">
        <v>1</v>
      </c>
      <c r="L23" s="3476"/>
      <c r="M23" s="3422"/>
      <c r="N23" s="3422"/>
      <c r="O23" s="3422"/>
      <c r="P23" s="4118"/>
      <c r="Q23" s="3489" t="str">
        <f>B23</f>
        <v>环境质量</v>
      </c>
      <c r="R23" s="3490" t="s">
        <v>8</v>
      </c>
      <c r="S23" s="3491">
        <f>F23</f>
        <v>99</v>
      </c>
      <c r="T23" s="3490" t="s">
        <v>8</v>
      </c>
      <c r="U23" s="3491">
        <f>H23</f>
        <v>99</v>
      </c>
      <c r="V23" s="3490" t="s">
        <v>8</v>
      </c>
      <c r="W23" s="3491">
        <f>J23</f>
        <v>99</v>
      </c>
      <c r="X23" s="3423"/>
      <c r="Y23" s="4118"/>
      <c r="Z23" s="3492" t="str">
        <f>Q23</f>
        <v>环境质量</v>
      </c>
      <c r="AA23" s="3492">
        <f t="shared" si="3"/>
        <v>1.0101010101010102</v>
      </c>
      <c r="AB23" s="3492">
        <f t="shared" si="4"/>
        <v>1.0101010101010102</v>
      </c>
      <c r="AC23" s="3492">
        <f t="shared" si="5"/>
        <v>1.0101010101010102</v>
      </c>
    </row>
    <row r="24" spans="1:29" ht="15">
      <c r="A24" s="3493"/>
      <c r="B24" s="3732"/>
      <c r="C24" s="3726" t="s">
        <v>3077</v>
      </c>
      <c r="D24" s="3496"/>
      <c r="E24" s="3515" t="s">
        <v>3071</v>
      </c>
      <c r="F24" s="3496"/>
      <c r="G24" s="3514" t="s">
        <v>3071</v>
      </c>
      <c r="H24" s="3496"/>
      <c r="I24" s="3514" t="s">
        <v>3071</v>
      </c>
      <c r="J24" s="3496"/>
      <c r="K24" s="3499"/>
      <c r="L24" s="3476"/>
      <c r="M24" s="3422"/>
      <c r="N24" s="3422"/>
      <c r="O24" s="3422"/>
      <c r="P24" s="4118"/>
      <c r="Q24" s="3489"/>
      <c r="R24" s="3490"/>
      <c r="S24" s="3491"/>
      <c r="T24" s="3490"/>
      <c r="U24" s="3491"/>
      <c r="V24" s="3490"/>
      <c r="W24" s="3491"/>
      <c r="X24" s="3423"/>
      <c r="Y24" s="4118"/>
      <c r="Z24" s="3492"/>
      <c r="AA24" s="3492">
        <v>1</v>
      </c>
      <c r="AB24" s="3492">
        <v>1</v>
      </c>
      <c r="AC24" s="3492">
        <v>1</v>
      </c>
    </row>
    <row r="25" spans="1:29" ht="27.75">
      <c r="A25" s="3425"/>
      <c r="B25" s="3727" t="s">
        <v>777</v>
      </c>
      <c r="C25" s="3473" t="s">
        <v>3207</v>
      </c>
      <c r="D25" s="3475">
        <v>100</v>
      </c>
      <c r="E25" s="3472" t="s">
        <v>3208</v>
      </c>
      <c r="F25" s="3475">
        <f>SUMIF(87:87,E26,88:88)-SUMIF(87:87,C26,88:88)+100</f>
        <v>100</v>
      </c>
      <c r="G25" s="3472" t="s">
        <v>3209</v>
      </c>
      <c r="H25" s="3475">
        <f>SUMIF(87:87,G26,88:88)-SUMIF(87:87,C26,88:88)+100</f>
        <v>102</v>
      </c>
      <c r="I25" s="3472" t="s">
        <v>3210</v>
      </c>
      <c r="J25" s="3475">
        <f>SUMIF(87:87,I26,88:88)-SUMIF(87:87,C26,88:88)+100</f>
        <v>102</v>
      </c>
      <c r="K25" s="3488">
        <v>2</v>
      </c>
      <c r="L25" s="3476"/>
      <c r="M25" s="3422"/>
      <c r="N25" s="3422"/>
      <c r="O25" s="3422"/>
      <c r="P25" s="4118"/>
      <c r="Q25" s="3489" t="str">
        <f>B25</f>
        <v>毗邻道路的类型与等级</v>
      </c>
      <c r="R25" s="3490" t="s">
        <v>8</v>
      </c>
      <c r="S25" s="3491">
        <f>F25</f>
        <v>100</v>
      </c>
      <c r="T25" s="3490" t="s">
        <v>8</v>
      </c>
      <c r="U25" s="3491">
        <f>H25</f>
        <v>102</v>
      </c>
      <c r="V25" s="3490" t="s">
        <v>8</v>
      </c>
      <c r="W25" s="3491">
        <f>J25</f>
        <v>102</v>
      </c>
      <c r="X25" s="3423"/>
      <c r="Y25" s="4118"/>
      <c r="Z25" s="3492" t="str">
        <f>Q25</f>
        <v>毗邻道路的类型与等级</v>
      </c>
      <c r="AA25" s="3492">
        <f t="shared" si="3"/>
        <v>1</v>
      </c>
      <c r="AB25" s="3492">
        <f t="shared" si="4"/>
        <v>0.98039215686274506</v>
      </c>
      <c r="AC25" s="3492">
        <f t="shared" si="5"/>
        <v>0.98039215686274506</v>
      </c>
    </row>
    <row r="26" spans="1:29" ht="15">
      <c r="A26" s="3425"/>
      <c r="B26" s="3526"/>
      <c r="C26" s="3733" t="s">
        <v>3083</v>
      </c>
      <c r="D26" s="3475"/>
      <c r="E26" s="3521" t="s">
        <v>3083</v>
      </c>
      <c r="F26" s="3475"/>
      <c r="G26" s="3733" t="s">
        <v>3081</v>
      </c>
      <c r="H26" s="3475"/>
      <c r="I26" s="3521" t="s">
        <v>3081</v>
      </c>
      <c r="J26" s="3475"/>
      <c r="K26" s="3499"/>
      <c r="L26" s="3476"/>
      <c r="M26" s="3422"/>
      <c r="N26" s="3422"/>
      <c r="O26" s="3422"/>
      <c r="P26" s="4118"/>
      <c r="Q26" s="3489"/>
      <c r="R26" s="3490"/>
      <c r="S26" s="3491"/>
      <c r="T26" s="3490"/>
      <c r="U26" s="3491"/>
      <c r="V26" s="3490"/>
      <c r="W26" s="3491"/>
      <c r="X26" s="3423"/>
      <c r="Y26" s="4118"/>
      <c r="Z26" s="3492"/>
      <c r="AA26" s="3492">
        <v>1</v>
      </c>
      <c r="AB26" s="3492">
        <v>1</v>
      </c>
      <c r="AC26" s="3492">
        <v>1</v>
      </c>
    </row>
    <row r="27" spans="1:29" ht="15">
      <c r="A27" s="3493"/>
      <c r="B27" s="3526" t="s">
        <v>737</v>
      </c>
      <c r="C27" s="3733" t="s">
        <v>3211</v>
      </c>
      <c r="D27" s="3475">
        <v>100</v>
      </c>
      <c r="E27" s="3521" t="s">
        <v>3211</v>
      </c>
      <c r="F27" s="3475">
        <f>SUMIF(89:89,E27,90:90)-SUMIF(89:89,C27,90:90)+100</f>
        <v>100</v>
      </c>
      <c r="G27" s="3733" t="s">
        <v>3211</v>
      </c>
      <c r="H27" s="3475">
        <f>SUMIF(89:89,G27,90:90)-SUMIF(89:89,C27,90:90)+100</f>
        <v>100</v>
      </c>
      <c r="I27" s="3521" t="s">
        <v>3212</v>
      </c>
      <c r="J27" s="3475">
        <f>SUMIF(89:89,I27,90:90)-SUMIF(89:89,C27,90:90)+100</f>
        <v>102</v>
      </c>
      <c r="K27" s="3458">
        <v>1</v>
      </c>
      <c r="L27" s="3476"/>
      <c r="M27" s="3422"/>
      <c r="N27" s="3422"/>
      <c r="O27" s="3422"/>
      <c r="P27" s="4118"/>
      <c r="Q27" s="3489" t="str">
        <f t="shared" ref="Q27:Q47" si="11">B27</f>
        <v>楼层</v>
      </c>
      <c r="R27" s="3490" t="s">
        <v>8</v>
      </c>
      <c r="S27" s="3491">
        <f>F27</f>
        <v>100</v>
      </c>
      <c r="T27" s="3490" t="s">
        <v>8</v>
      </c>
      <c r="U27" s="3491">
        <f>H27</f>
        <v>100</v>
      </c>
      <c r="V27" s="3490" t="s">
        <v>8</v>
      </c>
      <c r="W27" s="3491">
        <f>J27</f>
        <v>102</v>
      </c>
      <c r="X27" s="3423"/>
      <c r="Y27" s="4118"/>
      <c r="Z27" s="3492" t="str">
        <f>Q27</f>
        <v>楼层</v>
      </c>
      <c r="AA27" s="3492">
        <f t="shared" si="3"/>
        <v>1</v>
      </c>
      <c r="AB27" s="3492">
        <f t="shared" si="4"/>
        <v>1</v>
      </c>
      <c r="AC27" s="3492">
        <f t="shared" si="5"/>
        <v>0.98039215686274506</v>
      </c>
    </row>
    <row r="28" spans="1:29" s="3442" customFormat="1" ht="15">
      <c r="A28" s="3524"/>
      <c r="B28" s="3727" t="s">
        <v>738</v>
      </c>
      <c r="C28" s="3734"/>
      <c r="D28" s="3526">
        <v>100</v>
      </c>
      <c r="E28" s="3525"/>
      <c r="F28" s="3526">
        <f>SUMIF(91:91,E28,92:92)-SUMIF(91:91,C28,92:92)+100</f>
        <v>100</v>
      </c>
      <c r="G28" s="3734"/>
      <c r="H28" s="3526">
        <f>SUMIF(91:91,G28,92:92)-SUMIF(91:91,C28,92:92)+100</f>
        <v>100</v>
      </c>
      <c r="I28" s="3525"/>
      <c r="J28" s="3526">
        <f>SUMIF(91:91,I28,92:92)-SUMIF(91:91,C28,92:92)+100</f>
        <v>100</v>
      </c>
      <c r="K28" s="3458"/>
      <c r="L28" s="3436"/>
      <c r="M28" s="3437"/>
      <c r="N28" s="3437"/>
      <c r="O28" s="3437"/>
      <c r="P28" s="4118"/>
      <c r="Q28" s="3453" t="str">
        <f t="shared" si="11"/>
        <v>朝向</v>
      </c>
      <c r="R28" s="3438" t="s">
        <v>8</v>
      </c>
      <c r="S28" s="3439">
        <f>F28</f>
        <v>100</v>
      </c>
      <c r="T28" s="3438" t="s">
        <v>8</v>
      </c>
      <c r="U28" s="3439">
        <f>H28</f>
        <v>100</v>
      </c>
      <c r="V28" s="3438" t="s">
        <v>8</v>
      </c>
      <c r="W28" s="3439">
        <f>J28</f>
        <v>100</v>
      </c>
      <c r="X28" s="3440"/>
      <c r="Y28" s="4118"/>
      <c r="Z28" s="3441" t="str">
        <f>Q28</f>
        <v>朝向</v>
      </c>
      <c r="AA28" s="3492">
        <f>D28/F28</f>
        <v>1</v>
      </c>
      <c r="AB28" s="3492">
        <f>D28/H28</f>
        <v>1</v>
      </c>
      <c r="AC28" s="3492">
        <f>D28/J28</f>
        <v>1</v>
      </c>
    </row>
    <row r="29" spans="1:29" ht="15">
      <c r="A29" s="3493"/>
      <c r="B29" s="3735">
        <v>111</v>
      </c>
      <c r="C29" s="3473"/>
      <c r="D29" s="3475">
        <v>100</v>
      </c>
      <c r="E29" s="3470"/>
      <c r="F29" s="3475">
        <f>SUMIF(93:93,E29,94:94)-SUMIF(93:93,C29,94:94)+100</f>
        <v>100</v>
      </c>
      <c r="G29" s="3721"/>
      <c r="H29" s="3475">
        <f>SUMIF(93:93,G29,94:94)-SUMIF(93:93,C29,94:94)+100</f>
        <v>100</v>
      </c>
      <c r="I29" s="3470"/>
      <c r="J29" s="3475">
        <f>SUMIF(93:93,I29,94:94)-SUMIF(93:93,C29,94:94)+100</f>
        <v>100</v>
      </c>
      <c r="K29" s="3474"/>
      <c r="L29" s="3476"/>
      <c r="M29" s="3422"/>
      <c r="N29" s="3422"/>
      <c r="O29" s="3422"/>
      <c r="P29" s="4118"/>
      <c r="Q29" s="3489">
        <f t="shared" si="11"/>
        <v>111</v>
      </c>
      <c r="R29" s="3490" t="s">
        <v>8</v>
      </c>
      <c r="S29" s="3491">
        <f t="shared" ref="S29:S47" si="12">F29</f>
        <v>100</v>
      </c>
      <c r="T29" s="3490" t="s">
        <v>8</v>
      </c>
      <c r="U29" s="3491">
        <f t="shared" ref="U29:U47" si="13">H29</f>
        <v>100</v>
      </c>
      <c r="V29" s="3490" t="s">
        <v>8</v>
      </c>
      <c r="W29" s="3491">
        <f t="shared" ref="W29:W47" si="14">J29</f>
        <v>100</v>
      </c>
      <c r="X29" s="3423"/>
      <c r="Y29" s="4118"/>
      <c r="Z29" s="3492">
        <f t="shared" ref="Z29:Z47" si="15">Q29</f>
        <v>111</v>
      </c>
      <c r="AA29" s="3492">
        <f t="shared" si="3"/>
        <v>1</v>
      </c>
      <c r="AB29" s="3492">
        <f t="shared" si="4"/>
        <v>1</v>
      </c>
      <c r="AC29" s="3492">
        <f t="shared" si="5"/>
        <v>1</v>
      </c>
    </row>
    <row r="30" spans="1:29" ht="15">
      <c r="A30" s="3493"/>
      <c r="B30" s="3735">
        <v>111</v>
      </c>
      <c r="C30" s="3473"/>
      <c r="D30" s="3475">
        <v>100</v>
      </c>
      <c r="E30" s="3470"/>
      <c r="F30" s="3475">
        <f>SUMIF(95:95,E30,96:96)-SUMIF(95:95,C30,96:96)+100</f>
        <v>100</v>
      </c>
      <c r="G30" s="3721"/>
      <c r="H30" s="3475">
        <f>SUMIF(95:95,G30,96:96)-SUMIF(95:95,C30,96:96)+100</f>
        <v>100</v>
      </c>
      <c r="I30" s="3470"/>
      <c r="J30" s="3475">
        <f>SUMIF(95:95,I30,96:96)-SUMIF(95:95,C30,96:96)+100</f>
        <v>100</v>
      </c>
      <c r="K30" s="3474"/>
      <c r="L30" s="3476"/>
      <c r="M30" s="3422"/>
      <c r="N30" s="3422"/>
      <c r="O30" s="3422"/>
      <c r="P30" s="4118"/>
      <c r="Q30" s="3489">
        <f t="shared" si="11"/>
        <v>111</v>
      </c>
      <c r="R30" s="3490" t="s">
        <v>8</v>
      </c>
      <c r="S30" s="3491">
        <f t="shared" si="12"/>
        <v>100</v>
      </c>
      <c r="T30" s="3490" t="s">
        <v>8</v>
      </c>
      <c r="U30" s="3491">
        <f t="shared" si="13"/>
        <v>100</v>
      </c>
      <c r="V30" s="3490" t="s">
        <v>8</v>
      </c>
      <c r="W30" s="3491">
        <f t="shared" si="14"/>
        <v>100</v>
      </c>
      <c r="X30" s="3423"/>
      <c r="Y30" s="4118"/>
      <c r="Z30" s="3492">
        <f t="shared" si="15"/>
        <v>111</v>
      </c>
      <c r="AA30" s="3492">
        <f t="shared" si="3"/>
        <v>1</v>
      </c>
      <c r="AB30" s="3492">
        <f t="shared" si="4"/>
        <v>1</v>
      </c>
      <c r="AC30" s="3492">
        <f t="shared" si="5"/>
        <v>1</v>
      </c>
    </row>
    <row r="31" spans="1:29" ht="15">
      <c r="A31" s="3493"/>
      <c r="B31" s="3735">
        <v>111</v>
      </c>
      <c r="C31" s="3473"/>
      <c r="D31" s="3475">
        <v>100</v>
      </c>
      <c r="E31" s="3470"/>
      <c r="F31" s="3475">
        <f>SUMIF(97:97,E31,98:98)-SUMIF(97:97,C31,98:98)+100</f>
        <v>100</v>
      </c>
      <c r="G31" s="3721"/>
      <c r="H31" s="3475">
        <f>SUMIF(97:97,G31,98:98)-SUMIF(97:97,C31,98:98)+100</f>
        <v>100</v>
      </c>
      <c r="I31" s="3470"/>
      <c r="J31" s="3475">
        <f>SUMIF(97:97,I31,98:98)-SUMIF(97:97,C31,98:98)+100</f>
        <v>100</v>
      </c>
      <c r="K31" s="3474"/>
      <c r="L31" s="3476"/>
      <c r="M31" s="3422"/>
      <c r="N31" s="3422"/>
      <c r="O31" s="3422"/>
      <c r="P31" s="4118"/>
      <c r="Q31" s="3489">
        <f t="shared" si="11"/>
        <v>111</v>
      </c>
      <c r="R31" s="3490" t="s">
        <v>8</v>
      </c>
      <c r="S31" s="3491">
        <f t="shared" si="12"/>
        <v>100</v>
      </c>
      <c r="T31" s="3490" t="s">
        <v>8</v>
      </c>
      <c r="U31" s="3491">
        <f t="shared" si="13"/>
        <v>100</v>
      </c>
      <c r="V31" s="3490" t="s">
        <v>8</v>
      </c>
      <c r="W31" s="3491">
        <f t="shared" si="14"/>
        <v>100</v>
      </c>
      <c r="X31" s="3423"/>
      <c r="Y31" s="4118"/>
      <c r="Z31" s="3492">
        <f t="shared" si="15"/>
        <v>111</v>
      </c>
      <c r="AA31" s="3492">
        <f t="shared" si="3"/>
        <v>1</v>
      </c>
      <c r="AB31" s="3492">
        <f t="shared" si="4"/>
        <v>1</v>
      </c>
      <c r="AC31" s="3492">
        <f t="shared" si="5"/>
        <v>1</v>
      </c>
    </row>
    <row r="32" spans="1:29" ht="15.75" thickBot="1">
      <c r="A32" s="3529"/>
      <c r="B32" s="3736">
        <v>111</v>
      </c>
      <c r="C32" s="3737"/>
      <c r="D32" s="3480">
        <v>100</v>
      </c>
      <c r="E32" s="3722"/>
      <c r="F32" s="3480">
        <f>SUMIF(99:99,E32,100:100)-SUMIF(99:99,C32,100:100)+100</f>
        <v>100</v>
      </c>
      <c r="G32" s="3721"/>
      <c r="H32" s="3480">
        <f>SUMIF(99:99,G32,100:100)-SUMIF(99:99,C32,100:100)+100</f>
        <v>100</v>
      </c>
      <c r="I32" s="3470"/>
      <c r="J32" s="3480">
        <f>SUMIF(99:99,I32,100:100)-SUMIF(99:99,C32,100:100)+100</f>
        <v>100</v>
      </c>
      <c r="K32" s="3474"/>
      <c r="L32" s="3476"/>
      <c r="M32" s="3422"/>
      <c r="N32" s="3422"/>
      <c r="O32" s="3422"/>
      <c r="P32" s="4118"/>
      <c r="Q32" s="3489">
        <f t="shared" si="11"/>
        <v>111</v>
      </c>
      <c r="R32" s="3490" t="s">
        <v>8</v>
      </c>
      <c r="S32" s="3491">
        <f t="shared" si="12"/>
        <v>100</v>
      </c>
      <c r="T32" s="3490" t="s">
        <v>8</v>
      </c>
      <c r="U32" s="3491">
        <f t="shared" si="13"/>
        <v>100</v>
      </c>
      <c r="V32" s="3490" t="s">
        <v>8</v>
      </c>
      <c r="W32" s="3491">
        <f t="shared" si="14"/>
        <v>100</v>
      </c>
      <c r="X32" s="3423"/>
      <c r="Y32" s="4118"/>
      <c r="Z32" s="3492">
        <f t="shared" si="15"/>
        <v>111</v>
      </c>
      <c r="AA32" s="3492">
        <f t="shared" si="3"/>
        <v>1</v>
      </c>
      <c r="AB32" s="3492">
        <f t="shared" si="4"/>
        <v>1</v>
      </c>
      <c r="AC32" s="3492">
        <f t="shared" si="5"/>
        <v>1</v>
      </c>
    </row>
    <row r="33" spans="1:29" ht="15">
      <c r="A33" s="3531" t="s">
        <v>3185</v>
      </c>
      <c r="B33" s="3532" t="s">
        <v>739</v>
      </c>
      <c r="C33" s="3533"/>
      <c r="D33" s="3534">
        <v>100</v>
      </c>
      <c r="E33" s="3533"/>
      <c r="F33" s="3522">
        <f>SUMIF(101:101,E33,102:102)-SUMIF(101:101,C33,102:102)+100</f>
        <v>100</v>
      </c>
      <c r="G33" s="3533"/>
      <c r="H33" s="3475">
        <f>SUMIF(101:101,G33,102:102)-SUMIF(101:101,C33,102:102)+100</f>
        <v>100</v>
      </c>
      <c r="I33" s="3533"/>
      <c r="J33" s="3534">
        <f>SUMIF(101:101,I33,102:102)-SUMIF(101:101,C33,102:102)+100</f>
        <v>100</v>
      </c>
      <c r="K33" s="3458"/>
      <c r="L33" s="3476"/>
      <c r="M33" s="3422"/>
      <c r="N33" s="3422"/>
      <c r="O33" s="3422"/>
      <c r="P33" s="4119" t="s">
        <v>542</v>
      </c>
      <c r="Q33" s="3489" t="str">
        <f t="shared" si="11"/>
        <v>建筑类型</v>
      </c>
      <c r="R33" s="3490" t="s">
        <v>8</v>
      </c>
      <c r="S33" s="3491">
        <f t="shared" si="12"/>
        <v>100</v>
      </c>
      <c r="T33" s="3490" t="s">
        <v>8</v>
      </c>
      <c r="U33" s="3491">
        <f t="shared" si="13"/>
        <v>100</v>
      </c>
      <c r="V33" s="3490" t="s">
        <v>8</v>
      </c>
      <c r="W33" s="3491">
        <f t="shared" si="14"/>
        <v>100</v>
      </c>
      <c r="X33" s="3423"/>
      <c r="Y33" s="4120" t="s">
        <v>542</v>
      </c>
      <c r="Z33" s="3492" t="str">
        <f t="shared" si="15"/>
        <v>建筑类型</v>
      </c>
      <c r="AA33" s="3492">
        <f t="shared" si="3"/>
        <v>1</v>
      </c>
      <c r="AB33" s="3492">
        <f t="shared" si="4"/>
        <v>1</v>
      </c>
      <c r="AC33" s="3492">
        <f t="shared" si="5"/>
        <v>1</v>
      </c>
    </row>
    <row r="34" spans="1:29" s="3544" customFormat="1" ht="15">
      <c r="A34" s="3535"/>
      <c r="B34" s="3520" t="s">
        <v>718</v>
      </c>
      <c r="C34" s="3536">
        <f>'不动产比较法-商业'!C33</f>
        <v>302100</v>
      </c>
      <c r="D34" s="3456">
        <v>100</v>
      </c>
      <c r="E34" s="3465">
        <v>5253</v>
      </c>
      <c r="F34" s="3520">
        <f>LOOKUP(E34,104:104,105:105)-LOOKUP(C34,104:104,105:105)+100</f>
        <v>102</v>
      </c>
      <c r="G34" s="3464">
        <v>10660</v>
      </c>
      <c r="H34" s="3456">
        <f>LOOKUP(G34,104:104,105:105)-LOOKUP(C34,104:104,105:105)+100</f>
        <v>101</v>
      </c>
      <c r="I34" s="3464">
        <v>1900</v>
      </c>
      <c r="J34" s="3456">
        <f>LOOKUP(I34,104:104,105:105)-LOOKUP(C34,104:104,105:105)+100</f>
        <v>103</v>
      </c>
      <c r="K34" s="3474"/>
      <c r="L34" s="3466"/>
      <c r="M34" s="3537"/>
      <c r="N34" s="3537"/>
      <c r="O34" s="3537"/>
      <c r="P34" s="4120"/>
      <c r="Q34" s="3539" t="str">
        <f t="shared" si="11"/>
        <v>项目建筑规模</v>
      </c>
      <c r="R34" s="3540" t="s">
        <v>8</v>
      </c>
      <c r="S34" s="3541">
        <f t="shared" si="12"/>
        <v>102</v>
      </c>
      <c r="T34" s="3540" t="s">
        <v>8</v>
      </c>
      <c r="U34" s="3541">
        <f t="shared" si="13"/>
        <v>101</v>
      </c>
      <c r="V34" s="3540" t="s">
        <v>8</v>
      </c>
      <c r="W34" s="3541">
        <f t="shared" si="14"/>
        <v>103</v>
      </c>
      <c r="X34" s="3542"/>
      <c r="Y34" s="4120"/>
      <c r="Z34" s="3543" t="str">
        <f t="shared" si="15"/>
        <v>项目建筑规模</v>
      </c>
      <c r="AA34" s="3492">
        <f t="shared" si="3"/>
        <v>0.98039215686274506</v>
      </c>
      <c r="AB34" s="3492">
        <f t="shared" si="4"/>
        <v>0.99009900990099009</v>
      </c>
      <c r="AC34" s="3492">
        <f t="shared" si="5"/>
        <v>0.970873786407767</v>
      </c>
    </row>
    <row r="35" spans="1:29" ht="15">
      <c r="A35" s="3545"/>
      <c r="B35" s="3520" t="s">
        <v>719</v>
      </c>
      <c r="C35" s="3546"/>
      <c r="D35" s="3475">
        <v>100</v>
      </c>
      <c r="E35" s="3546"/>
      <c r="F35" s="3522">
        <f>SUMIF(106:106,E35,107:107)-SUMIF(106:106,C35,107:107)+100</f>
        <v>100</v>
      </c>
      <c r="G35" s="3546"/>
      <c r="H35" s="3475">
        <f>SUMIF(106:106,G35,107:107)-SUMIF(106:106,C35,107:107)+100</f>
        <v>100</v>
      </c>
      <c r="I35" s="3546"/>
      <c r="J35" s="3475">
        <f>SUMIF(106:106,I35,107:107)-SUMIF(106:106,C35,107:107)+100</f>
        <v>100</v>
      </c>
      <c r="K35" s="3458"/>
      <c r="L35" s="3476"/>
      <c r="M35" s="3422"/>
      <c r="N35" s="3422"/>
      <c r="O35" s="3422"/>
      <c r="P35" s="4120"/>
      <c r="Q35" s="3489" t="str">
        <f t="shared" si="11"/>
        <v>建筑结构</v>
      </c>
      <c r="R35" s="3490" t="s">
        <v>8</v>
      </c>
      <c r="S35" s="3491">
        <f t="shared" si="12"/>
        <v>100</v>
      </c>
      <c r="T35" s="3490" t="s">
        <v>8</v>
      </c>
      <c r="U35" s="3491">
        <f t="shared" si="13"/>
        <v>100</v>
      </c>
      <c r="V35" s="3490" t="s">
        <v>8</v>
      </c>
      <c r="W35" s="3491">
        <f t="shared" si="14"/>
        <v>100</v>
      </c>
      <c r="X35" s="3423"/>
      <c r="Y35" s="4120"/>
      <c r="Z35" s="3492" t="str">
        <f t="shared" si="15"/>
        <v>建筑结构</v>
      </c>
      <c r="AA35" s="3492">
        <f t="shared" si="3"/>
        <v>1</v>
      </c>
      <c r="AB35" s="3492">
        <f t="shared" si="4"/>
        <v>1</v>
      </c>
      <c r="AC35" s="3492">
        <f t="shared" si="5"/>
        <v>1</v>
      </c>
    </row>
    <row r="36" spans="1:29" ht="15">
      <c r="A36" s="3545"/>
      <c r="B36" s="3520" t="s">
        <v>743</v>
      </c>
      <c r="C36" s="3546"/>
      <c r="D36" s="3475">
        <v>100</v>
      </c>
      <c r="E36" s="3546"/>
      <c r="F36" s="3522">
        <f>SUMIF(108:108,E36,109:109)-SUMIF(108:108,C36,109:109)+100</f>
        <v>100</v>
      </c>
      <c r="G36" s="3546"/>
      <c r="H36" s="3475">
        <f>SUMIF(108:108,G36,109:109)-SUMIF(108:108,C36,109:109)+100</f>
        <v>100</v>
      </c>
      <c r="I36" s="3546"/>
      <c r="J36" s="3475">
        <f>SUMIF(108:108,I36,109:109)-SUMIF(108:108,C36,109:109)+100</f>
        <v>100</v>
      </c>
      <c r="K36" s="3458"/>
      <c r="L36" s="3476"/>
      <c r="M36" s="3422"/>
      <c r="N36" s="3422"/>
      <c r="O36" s="3422"/>
      <c r="P36" s="4120"/>
      <c r="Q36" s="3489" t="str">
        <f t="shared" si="11"/>
        <v>公共部分装修</v>
      </c>
      <c r="R36" s="3490" t="s">
        <v>8</v>
      </c>
      <c r="S36" s="3491">
        <f t="shared" si="12"/>
        <v>100</v>
      </c>
      <c r="T36" s="3490" t="s">
        <v>8</v>
      </c>
      <c r="U36" s="3491">
        <f t="shared" si="13"/>
        <v>100</v>
      </c>
      <c r="V36" s="3490" t="s">
        <v>8</v>
      </c>
      <c r="W36" s="3491">
        <f t="shared" si="14"/>
        <v>100</v>
      </c>
      <c r="X36" s="3423"/>
      <c r="Y36" s="4120"/>
      <c r="Z36" s="3492" t="str">
        <f t="shared" si="15"/>
        <v>公共部分装修</v>
      </c>
      <c r="AA36" s="3492">
        <f t="shared" si="3"/>
        <v>1</v>
      </c>
      <c r="AB36" s="3492">
        <f t="shared" si="4"/>
        <v>1</v>
      </c>
      <c r="AC36" s="3492">
        <f t="shared" si="5"/>
        <v>1</v>
      </c>
    </row>
    <row r="37" spans="1:29" ht="15">
      <c r="A37" s="3545"/>
      <c r="B37" s="3520" t="s">
        <v>744</v>
      </c>
      <c r="C37" s="3549">
        <v>1</v>
      </c>
      <c r="D37" s="3475">
        <v>100</v>
      </c>
      <c r="E37" s="3549">
        <v>0.9</v>
      </c>
      <c r="F37" s="3522">
        <f>LOOKUP(E37,111:111,112:112)-LOOKUP(C37,111:111,112:112)+100</f>
        <v>100</v>
      </c>
      <c r="G37" s="3549">
        <v>0.96</v>
      </c>
      <c r="H37" s="3522">
        <f>LOOKUP(G37,111:111,112:112)-LOOKUP(E37,111:111,112:112)+100</f>
        <v>100</v>
      </c>
      <c r="I37" s="3549">
        <v>0.8</v>
      </c>
      <c r="J37" s="3522">
        <f>LOOKUP(I37,111:111,112:112)-LOOKUP(G37,111:111,112:112)+100</f>
        <v>98</v>
      </c>
      <c r="K37" s="3458">
        <v>2</v>
      </c>
      <c r="L37" s="3476"/>
      <c r="M37" s="3422"/>
      <c r="N37" s="3422"/>
      <c r="O37" s="3422"/>
      <c r="P37" s="4120"/>
      <c r="Q37" s="3489" t="str">
        <f t="shared" si="11"/>
        <v>成新度</v>
      </c>
      <c r="R37" s="3490" t="s">
        <v>8</v>
      </c>
      <c r="S37" s="3491">
        <f t="shared" si="12"/>
        <v>100</v>
      </c>
      <c r="T37" s="3490" t="s">
        <v>8</v>
      </c>
      <c r="U37" s="3491">
        <f t="shared" si="13"/>
        <v>100</v>
      </c>
      <c r="V37" s="3490" t="s">
        <v>8</v>
      </c>
      <c r="W37" s="3491">
        <f t="shared" si="14"/>
        <v>98</v>
      </c>
      <c r="X37" s="3423"/>
      <c r="Y37" s="4120"/>
      <c r="Z37" s="3492" t="str">
        <f t="shared" si="15"/>
        <v>成新度</v>
      </c>
      <c r="AA37" s="3492">
        <f t="shared" si="3"/>
        <v>1</v>
      </c>
      <c r="AB37" s="3492">
        <f t="shared" si="4"/>
        <v>1</v>
      </c>
      <c r="AC37" s="3492">
        <f t="shared" si="5"/>
        <v>1.0204081632653061</v>
      </c>
    </row>
    <row r="38" spans="1:29" s="3442" customFormat="1" ht="15">
      <c r="A38" s="3550"/>
      <c r="B38" s="3520" t="s">
        <v>778</v>
      </c>
      <c r="C38" s="3546"/>
      <c r="D38" s="3456">
        <v>100</v>
      </c>
      <c r="E38" s="3546"/>
      <c r="F38" s="3522">
        <f>SUMIF(113:113,E38,114:114)-SUMIF(113:113,C38,114:114)+100</f>
        <v>100</v>
      </c>
      <c r="G38" s="3546"/>
      <c r="H38" s="3475">
        <f>SUMIF(113:113,G38,114:114)-SUMIF(113:113,C38,114:114)+100</f>
        <v>100</v>
      </c>
      <c r="I38" s="3546"/>
      <c r="J38" s="3475">
        <f>SUMIF(113:113,I38,114:114)-SUMIF(113:113,C38,114:114)+100</f>
        <v>100</v>
      </c>
      <c r="K38" s="3458"/>
      <c r="L38" s="3436"/>
      <c r="M38" s="3437"/>
      <c r="N38" s="3437"/>
      <c r="O38" s="3437"/>
      <c r="P38" s="4120"/>
      <c r="Q38" s="3453" t="str">
        <f t="shared" si="11"/>
        <v>写字楼等级</v>
      </c>
      <c r="R38" s="3438" t="s">
        <v>8</v>
      </c>
      <c r="S38" s="3439">
        <f t="shared" si="12"/>
        <v>100</v>
      </c>
      <c r="T38" s="3438" t="s">
        <v>8</v>
      </c>
      <c r="U38" s="3439">
        <f t="shared" si="13"/>
        <v>100</v>
      </c>
      <c r="V38" s="3438" t="s">
        <v>8</v>
      </c>
      <c r="W38" s="3439">
        <f t="shared" si="14"/>
        <v>100</v>
      </c>
      <c r="X38" s="3440"/>
      <c r="Y38" s="4120"/>
      <c r="Z38" s="3441" t="str">
        <f t="shared" si="15"/>
        <v>写字楼等级</v>
      </c>
      <c r="AA38" s="3441">
        <f t="shared" si="3"/>
        <v>1</v>
      </c>
      <c r="AB38" s="3441">
        <f t="shared" si="4"/>
        <v>1</v>
      </c>
      <c r="AC38" s="3441">
        <f t="shared" si="5"/>
        <v>1</v>
      </c>
    </row>
    <row r="39" spans="1:29" ht="15">
      <c r="A39" s="3545"/>
      <c r="B39" s="3520" t="s">
        <v>745</v>
      </c>
      <c r="C39" s="3546"/>
      <c r="D39" s="3475">
        <v>100</v>
      </c>
      <c r="E39" s="3546"/>
      <c r="F39" s="3522">
        <f>SUMIF(115:115,E39,116:116)-SUMIF(115:115,C39,116:116)+100</f>
        <v>100</v>
      </c>
      <c r="G39" s="3546"/>
      <c r="H39" s="3475">
        <f>SUMIF(115:115,G39,116:116)-SUMIF(115:115,C39,116:116)+100</f>
        <v>100</v>
      </c>
      <c r="I39" s="3546"/>
      <c r="J39" s="3475">
        <f>SUMIF(115:115,I39,116:116)-SUMIF(115:115,C39,116:116)+100</f>
        <v>100</v>
      </c>
      <c r="K39" s="3458"/>
      <c r="L39" s="3476"/>
      <c r="M39" s="3422"/>
      <c r="N39" s="3422"/>
      <c r="O39" s="3422"/>
      <c r="P39" s="4120" t="s">
        <v>542</v>
      </c>
      <c r="Q39" s="3489" t="str">
        <f t="shared" si="11"/>
        <v>物业管理</v>
      </c>
      <c r="R39" s="3490" t="s">
        <v>8</v>
      </c>
      <c r="S39" s="3491">
        <f t="shared" si="12"/>
        <v>100</v>
      </c>
      <c r="T39" s="3490" t="s">
        <v>8</v>
      </c>
      <c r="U39" s="3491">
        <f t="shared" si="13"/>
        <v>100</v>
      </c>
      <c r="V39" s="3490" t="s">
        <v>8</v>
      </c>
      <c r="W39" s="3491">
        <f t="shared" si="14"/>
        <v>100</v>
      </c>
      <c r="X39" s="3423"/>
      <c r="Y39" s="4120" t="s">
        <v>542</v>
      </c>
      <c r="Z39" s="3492" t="str">
        <f t="shared" si="15"/>
        <v>物业管理</v>
      </c>
      <c r="AA39" s="3492">
        <f t="shared" si="3"/>
        <v>1</v>
      </c>
      <c r="AB39" s="3492">
        <f t="shared" si="4"/>
        <v>1</v>
      </c>
      <c r="AC39" s="3492">
        <f t="shared" si="5"/>
        <v>1</v>
      </c>
    </row>
    <row r="40" spans="1:29" ht="15">
      <c r="A40" s="3545"/>
      <c r="B40" s="3551" t="s">
        <v>2535</v>
      </c>
      <c r="C40" s="3546"/>
      <c r="D40" s="3475">
        <v>100</v>
      </c>
      <c r="E40" s="3546"/>
      <c r="F40" s="3522">
        <f>SUMIF(117:117,E40,118:118)-SUMIF(117:117,C40,118:118)+100</f>
        <v>100</v>
      </c>
      <c r="G40" s="3546"/>
      <c r="H40" s="3475">
        <f>SUMIF(117:117,G40,118:118)-SUMIF(117:117,C40,118:118)+100</f>
        <v>100</v>
      </c>
      <c r="I40" s="3546"/>
      <c r="J40" s="3475">
        <f>SUMIF(117:117,I40,118:118)-SUMIF(117:117,C40,118:118)+100</f>
        <v>100</v>
      </c>
      <c r="K40" s="3458"/>
      <c r="L40" s="3476"/>
      <c r="M40" s="3422"/>
      <c r="N40" s="3422"/>
      <c r="O40" s="3422"/>
      <c r="P40" s="4120"/>
      <c r="Q40" s="3489" t="str">
        <f t="shared" si="11"/>
        <v>市政基础设施</v>
      </c>
      <c r="R40" s="3490" t="s">
        <v>8</v>
      </c>
      <c r="S40" s="3491">
        <f t="shared" si="12"/>
        <v>100</v>
      </c>
      <c r="T40" s="3490" t="s">
        <v>8</v>
      </c>
      <c r="U40" s="3491">
        <f t="shared" si="13"/>
        <v>100</v>
      </c>
      <c r="V40" s="3490" t="s">
        <v>8</v>
      </c>
      <c r="W40" s="3491">
        <f t="shared" si="14"/>
        <v>100</v>
      </c>
      <c r="X40" s="3423"/>
      <c r="Y40" s="4120"/>
      <c r="Z40" s="3492" t="str">
        <f t="shared" si="15"/>
        <v>市政基础设施</v>
      </c>
      <c r="AA40" s="3492">
        <f t="shared" si="3"/>
        <v>1</v>
      </c>
      <c r="AB40" s="3492">
        <f t="shared" si="4"/>
        <v>1</v>
      </c>
      <c r="AC40" s="3492">
        <f t="shared" si="5"/>
        <v>1</v>
      </c>
    </row>
    <row r="41" spans="1:29" ht="15">
      <c r="A41" s="3545"/>
      <c r="B41" s="3520" t="s">
        <v>766</v>
      </c>
      <c r="C41" s="3521"/>
      <c r="D41" s="3475">
        <v>100</v>
      </c>
      <c r="E41" s="3521"/>
      <c r="F41" s="3522">
        <f>SUMIF(119:119,E41,120:120)-SUMIF(119:119,C41,120:120)+100</f>
        <v>100</v>
      </c>
      <c r="G41" s="3521"/>
      <c r="H41" s="3475">
        <f>SUMIF(119:119,G41,120:120)-SUMIF(119:119,C41,120:120)+100</f>
        <v>100</v>
      </c>
      <c r="I41" s="3521"/>
      <c r="J41" s="3475">
        <f>SUMIF(119:119,I41,120:120)-SUMIF(119:119,C41,120:120)+100</f>
        <v>100</v>
      </c>
      <c r="K41" s="3458"/>
      <c r="L41" s="3476"/>
      <c r="M41" s="3422"/>
      <c r="N41" s="3422"/>
      <c r="O41" s="3422"/>
      <c r="P41" s="4120"/>
      <c r="Q41" s="3489" t="str">
        <f t="shared" si="11"/>
        <v>层高</v>
      </c>
      <c r="R41" s="3490" t="s">
        <v>8</v>
      </c>
      <c r="S41" s="3491">
        <f t="shared" si="12"/>
        <v>100</v>
      </c>
      <c r="T41" s="3490" t="s">
        <v>8</v>
      </c>
      <c r="U41" s="3491">
        <f t="shared" si="13"/>
        <v>100</v>
      </c>
      <c r="V41" s="3490" t="s">
        <v>8</v>
      </c>
      <c r="W41" s="3491">
        <f t="shared" si="14"/>
        <v>100</v>
      </c>
      <c r="X41" s="3423"/>
      <c r="Y41" s="4120"/>
      <c r="Z41" s="3492" t="str">
        <f t="shared" si="15"/>
        <v>层高</v>
      </c>
      <c r="AA41" s="3492">
        <f t="shared" si="3"/>
        <v>1</v>
      </c>
      <c r="AB41" s="3492">
        <f t="shared" si="4"/>
        <v>1</v>
      </c>
      <c r="AC41" s="3492">
        <f t="shared" si="5"/>
        <v>1</v>
      </c>
    </row>
    <row r="42" spans="1:29" s="3544" customFormat="1" ht="15">
      <c r="A42" s="3535"/>
      <c r="B42" s="3522" t="s">
        <v>775</v>
      </c>
      <c r="C42" s="3472"/>
      <c r="D42" s="3475">
        <v>100</v>
      </c>
      <c r="E42" s="3472"/>
      <c r="F42" s="3522">
        <f>SUMIF(121:121,E42,122:122)-SUMIF(121:121,C42,122:122)+100</f>
        <v>100</v>
      </c>
      <c r="G42" s="3472"/>
      <c r="H42" s="3475">
        <f>SUMIF(121:121,G42,122:122)-SUMIF(121:121,C42,122:122)+100</f>
        <v>100</v>
      </c>
      <c r="I42" s="3472"/>
      <c r="J42" s="3475">
        <f>SUMIF(121:121,I42,122:122)-SUMIF(121:121,C42,122:122)+100</f>
        <v>100</v>
      </c>
      <c r="K42" s="3474"/>
      <c r="L42" s="3466"/>
      <c r="M42" s="3537"/>
      <c r="N42" s="3537"/>
      <c r="O42" s="3537"/>
      <c r="P42" s="4120"/>
      <c r="Q42" s="3539" t="str">
        <f t="shared" si="11"/>
        <v>单套建筑面积</v>
      </c>
      <c r="R42" s="3540" t="s">
        <v>8</v>
      </c>
      <c r="S42" s="3541">
        <f t="shared" si="12"/>
        <v>100</v>
      </c>
      <c r="T42" s="3540" t="s">
        <v>8</v>
      </c>
      <c r="U42" s="3541">
        <f t="shared" si="13"/>
        <v>100</v>
      </c>
      <c r="V42" s="3540" t="s">
        <v>8</v>
      </c>
      <c r="W42" s="3541">
        <f t="shared" si="14"/>
        <v>100</v>
      </c>
      <c r="X42" s="3542"/>
      <c r="Y42" s="4120"/>
      <c r="Z42" s="3543" t="str">
        <f t="shared" si="15"/>
        <v>单套建筑面积</v>
      </c>
      <c r="AA42" s="3492">
        <f t="shared" si="3"/>
        <v>1</v>
      </c>
      <c r="AB42" s="3492">
        <f t="shared" si="4"/>
        <v>1</v>
      </c>
      <c r="AC42" s="3492">
        <f t="shared" si="5"/>
        <v>1</v>
      </c>
    </row>
    <row r="43" spans="1:29" ht="15">
      <c r="A43" s="3545"/>
      <c r="B43" s="3520" t="s">
        <v>747</v>
      </c>
      <c r="C43" s="3546"/>
      <c r="D43" s="3475">
        <v>100</v>
      </c>
      <c r="E43" s="3546"/>
      <c r="F43" s="3522">
        <f>SUMIF(123:123,E43,124:124)-SUMIF(123:123,C43,124:124)+100</f>
        <v>100</v>
      </c>
      <c r="G43" s="3546"/>
      <c r="H43" s="3475">
        <f>SUMIF(123:123,G43,124:124)-SUMIF(123:123,C43,124:124)+100</f>
        <v>100</v>
      </c>
      <c r="I43" s="3546"/>
      <c r="J43" s="3475">
        <f>SUMIF(123:123,I43,124:124)-SUMIF(123:123,C43,124:124)+100</f>
        <v>100</v>
      </c>
      <c r="K43" s="3458"/>
      <c r="L43" s="3476"/>
      <c r="M43" s="3422"/>
      <c r="N43" s="3422"/>
      <c r="O43" s="3422"/>
      <c r="P43" s="4120"/>
      <c r="Q43" s="3489" t="str">
        <f t="shared" si="11"/>
        <v>内部装修</v>
      </c>
      <c r="R43" s="3490" t="s">
        <v>8</v>
      </c>
      <c r="S43" s="3491">
        <f t="shared" si="12"/>
        <v>100</v>
      </c>
      <c r="T43" s="3490" t="s">
        <v>8</v>
      </c>
      <c r="U43" s="3491">
        <f t="shared" si="13"/>
        <v>100</v>
      </c>
      <c r="V43" s="3490" t="s">
        <v>8</v>
      </c>
      <c r="W43" s="3491">
        <f t="shared" si="14"/>
        <v>100</v>
      </c>
      <c r="X43" s="3423"/>
      <c r="Y43" s="4120"/>
      <c r="Z43" s="3492" t="str">
        <f t="shared" si="15"/>
        <v>内部装修</v>
      </c>
      <c r="AA43" s="3492">
        <f t="shared" si="3"/>
        <v>1</v>
      </c>
      <c r="AB43" s="3492">
        <f t="shared" si="4"/>
        <v>1</v>
      </c>
      <c r="AC43" s="3492">
        <f t="shared" si="5"/>
        <v>1</v>
      </c>
    </row>
    <row r="44" spans="1:29" ht="27">
      <c r="A44" s="3545"/>
      <c r="B44" s="3520" t="s">
        <v>727</v>
      </c>
      <c r="C44" s="3546"/>
      <c r="D44" s="3475">
        <v>100</v>
      </c>
      <c r="E44" s="3548"/>
      <c r="F44" s="3522">
        <f>SUMIF(125:125,E44,126:126)-SUMIF(125:125,C44,126:126)+100</f>
        <v>100</v>
      </c>
      <c r="G44" s="3548"/>
      <c r="H44" s="3475">
        <f>SUMIF(125:125,G44,126:126)-SUMIF(125:125,C44,126:126)+100</f>
        <v>100</v>
      </c>
      <c r="I44" s="3548"/>
      <c r="J44" s="3475">
        <f>SUMIF(125:125,I44,126:126)-SUMIF(125:125,C44,126:126)+100</f>
        <v>100</v>
      </c>
      <c r="K44" s="3458"/>
      <c r="L44" s="3476"/>
      <c r="M44" s="3422"/>
      <c r="N44" s="3422"/>
      <c r="O44" s="3422"/>
      <c r="P44" s="4120"/>
      <c r="Q44" s="3489" t="str">
        <f t="shared" si="11"/>
        <v>内部装修维护情况</v>
      </c>
      <c r="R44" s="3490" t="s">
        <v>8</v>
      </c>
      <c r="S44" s="3491">
        <f t="shared" si="12"/>
        <v>100</v>
      </c>
      <c r="T44" s="3490" t="s">
        <v>8</v>
      </c>
      <c r="U44" s="3491">
        <f t="shared" si="13"/>
        <v>100</v>
      </c>
      <c r="V44" s="3490" t="s">
        <v>8</v>
      </c>
      <c r="W44" s="3491">
        <f t="shared" si="14"/>
        <v>100</v>
      </c>
      <c r="X44" s="3423"/>
      <c r="Y44" s="4120"/>
      <c r="Z44" s="3492" t="str">
        <f t="shared" si="15"/>
        <v>内部装修维护情况</v>
      </c>
      <c r="AA44" s="3492">
        <f t="shared" si="3"/>
        <v>1</v>
      </c>
      <c r="AB44" s="3492">
        <f t="shared" si="4"/>
        <v>1</v>
      </c>
      <c r="AC44" s="3492">
        <f t="shared" si="5"/>
        <v>1</v>
      </c>
    </row>
    <row r="45" spans="1:29" s="3442" customFormat="1" ht="15">
      <c r="A45" s="3550"/>
      <c r="B45" s="3523">
        <v>111</v>
      </c>
      <c r="C45" s="3536"/>
      <c r="D45" s="3456">
        <v>100</v>
      </c>
      <c r="E45" s="3470"/>
      <c r="F45" s="3520">
        <f>SUMIF(127:127,E45,128:128)-SUMIF(127:127,C45,128:128)+100</f>
        <v>100</v>
      </c>
      <c r="G45" s="3470"/>
      <c r="H45" s="3456">
        <f>SUMIF(127:127,G45,128:128)-SUMIF(127:127,C45,128:128)+100</f>
        <v>100</v>
      </c>
      <c r="I45" s="3470"/>
      <c r="J45" s="3456">
        <f>SUMIF(127:127,I45,128:128)-SUMIF(127:127,C45,128:128)+100</f>
        <v>100</v>
      </c>
      <c r="K45" s="3474"/>
      <c r="L45" s="3436"/>
      <c r="M45" s="3437"/>
      <c r="N45" s="3437"/>
      <c r="O45" s="3437"/>
      <c r="P45" s="4120"/>
      <c r="Q45" s="3453">
        <f t="shared" si="11"/>
        <v>111</v>
      </c>
      <c r="R45" s="3438" t="s">
        <v>8</v>
      </c>
      <c r="S45" s="3439">
        <f t="shared" si="12"/>
        <v>100</v>
      </c>
      <c r="T45" s="3438" t="s">
        <v>8</v>
      </c>
      <c r="U45" s="3439">
        <f t="shared" si="13"/>
        <v>100</v>
      </c>
      <c r="V45" s="3438" t="s">
        <v>8</v>
      </c>
      <c r="W45" s="3439">
        <f t="shared" si="14"/>
        <v>100</v>
      </c>
      <c r="X45" s="3440"/>
      <c r="Y45" s="4120"/>
      <c r="Z45" s="3441">
        <f t="shared" si="15"/>
        <v>111</v>
      </c>
      <c r="AA45" s="3441">
        <f t="shared" si="3"/>
        <v>1</v>
      </c>
      <c r="AB45" s="3441">
        <f t="shared" si="4"/>
        <v>1</v>
      </c>
      <c r="AC45" s="3441">
        <f t="shared" si="5"/>
        <v>1</v>
      </c>
    </row>
    <row r="46" spans="1:29" ht="15">
      <c r="A46" s="3545"/>
      <c r="B46" s="3523">
        <v>111</v>
      </c>
      <c r="C46" s="3472"/>
      <c r="D46" s="3475">
        <v>100</v>
      </c>
      <c r="E46" s="3470"/>
      <c r="F46" s="3522">
        <f>SUMIF(129:129,E46,130:130)-SUMIF(129:129,C46,130:130)+100</f>
        <v>100</v>
      </c>
      <c r="G46" s="3470"/>
      <c r="H46" s="3475">
        <f>SUMIF(129:129,G46,130:130)-SUMIF(129:129,C46,130:130)+100</f>
        <v>100</v>
      </c>
      <c r="I46" s="3470"/>
      <c r="J46" s="3475">
        <f>SUMIF(129:129,I46,130:130)-SUMIF(129:129,C46,130:130)+100</f>
        <v>100</v>
      </c>
      <c r="K46" s="3474"/>
      <c r="L46" s="3476"/>
      <c r="M46" s="3422"/>
      <c r="N46" s="3422"/>
      <c r="O46" s="3422"/>
      <c r="P46" s="4120"/>
      <c r="Q46" s="3489">
        <f t="shared" si="11"/>
        <v>111</v>
      </c>
      <c r="R46" s="3490" t="s">
        <v>8</v>
      </c>
      <c r="S46" s="3491">
        <f t="shared" si="12"/>
        <v>100</v>
      </c>
      <c r="T46" s="3490" t="s">
        <v>8</v>
      </c>
      <c r="U46" s="3491">
        <f t="shared" si="13"/>
        <v>100</v>
      </c>
      <c r="V46" s="3490" t="s">
        <v>8</v>
      </c>
      <c r="W46" s="3491">
        <f t="shared" si="14"/>
        <v>100</v>
      </c>
      <c r="X46" s="3423"/>
      <c r="Y46" s="4120"/>
      <c r="Z46" s="3492">
        <f t="shared" si="15"/>
        <v>111</v>
      </c>
      <c r="AA46" s="3492">
        <f t="shared" si="3"/>
        <v>1</v>
      </c>
      <c r="AB46" s="3492">
        <f t="shared" si="4"/>
        <v>1</v>
      </c>
      <c r="AC46" s="3492">
        <f t="shared" si="5"/>
        <v>1</v>
      </c>
    </row>
    <row r="47" spans="1:29" ht="15.75" thickBot="1">
      <c r="A47" s="3554"/>
      <c r="B47" s="3555">
        <v>111</v>
      </c>
      <c r="C47" s="3479"/>
      <c r="D47" s="3480">
        <v>100</v>
      </c>
      <c r="E47" s="3470"/>
      <c r="F47" s="3530">
        <f>SUMIF(131:131,E47,132:132)-SUMIF(131:131,C47,132:132)+100</f>
        <v>100</v>
      </c>
      <c r="G47" s="3470"/>
      <c r="H47" s="3480">
        <f>SUMIF(131:131,G47,132:132)-SUMIF(131:131,C47,132:132)+100</f>
        <v>100</v>
      </c>
      <c r="I47" s="3470"/>
      <c r="J47" s="3480">
        <f>SUMIF(131:131,I47,132:132)-SUMIF(131:131,C47,132:132)+100</f>
        <v>100</v>
      </c>
      <c r="K47" s="3474"/>
      <c r="L47" s="3476"/>
      <c r="M47" s="3422"/>
      <c r="N47" s="3422"/>
      <c r="O47" s="3422"/>
      <c r="P47" s="4121"/>
      <c r="Q47" s="3489">
        <f t="shared" si="11"/>
        <v>111</v>
      </c>
      <c r="R47" s="3490" t="s">
        <v>8</v>
      </c>
      <c r="S47" s="3491">
        <f t="shared" si="12"/>
        <v>100</v>
      </c>
      <c r="T47" s="3490" t="s">
        <v>8</v>
      </c>
      <c r="U47" s="3491">
        <f t="shared" si="13"/>
        <v>100</v>
      </c>
      <c r="V47" s="3490" t="s">
        <v>8</v>
      </c>
      <c r="W47" s="3491">
        <f t="shared" si="14"/>
        <v>100</v>
      </c>
      <c r="X47" s="3423"/>
      <c r="Y47" s="4121"/>
      <c r="Z47" s="3492">
        <f t="shared" si="15"/>
        <v>111</v>
      </c>
      <c r="AA47" s="3492">
        <f t="shared" si="3"/>
        <v>1</v>
      </c>
      <c r="AB47" s="3492">
        <f t="shared" si="4"/>
        <v>1</v>
      </c>
      <c r="AC47" s="3492">
        <f t="shared" si="5"/>
        <v>1</v>
      </c>
    </row>
    <row r="48" spans="1:29" ht="15">
      <c r="A48" s="3556" t="s">
        <v>728</v>
      </c>
      <c r="B48" s="3557"/>
      <c r="C48" s="3558" t="s">
        <v>1</v>
      </c>
      <c r="D48" s="3559"/>
      <c r="E48" s="3560">
        <f>办公案例截图及地图!$A$2</f>
        <v>33000</v>
      </c>
      <c r="F48" s="3561"/>
      <c r="G48" s="3562">
        <f>办公案例截图及地图!$A$41</f>
        <v>37523</v>
      </c>
      <c r="H48" s="3563"/>
      <c r="I48" s="3560">
        <f>办公案例截图及地图!A87</f>
        <v>36800</v>
      </c>
      <c r="J48" s="3563"/>
      <c r="K48" s="3564"/>
      <c r="L48" s="3565"/>
      <c r="M48" s="3422"/>
      <c r="N48" s="3422"/>
      <c r="O48" s="3422"/>
      <c r="P48" s="4122" t="str">
        <f>A48</f>
        <v>成交单价（元/平方米）</v>
      </c>
      <c r="Q48" s="4115"/>
      <c r="R48" s="4111">
        <f>E48</f>
        <v>33000</v>
      </c>
      <c r="S48" s="4111"/>
      <c r="T48" s="4111">
        <f>G48</f>
        <v>37523</v>
      </c>
      <c r="U48" s="4111"/>
      <c r="V48" s="4111">
        <f>I48</f>
        <v>36800</v>
      </c>
      <c r="W48" s="4111"/>
      <c r="X48" s="3494"/>
      <c r="Y48" s="3566"/>
      <c r="Z48" s="3494"/>
      <c r="AA48" s="3494"/>
      <c r="AB48" s="3494"/>
      <c r="AC48" s="3494"/>
    </row>
    <row r="49" spans="1:29" ht="15.75" thickBot="1">
      <c r="A49" s="3567" t="s">
        <v>2671</v>
      </c>
      <c r="B49" s="3568"/>
      <c r="C49" s="3569">
        <f>R50</f>
        <v>29537</v>
      </c>
      <c r="D49" s="3570" t="s">
        <v>2963</v>
      </c>
      <c r="E49" s="3571">
        <f>R49</f>
        <v>29287</v>
      </c>
      <c r="F49" s="3572"/>
      <c r="G49" s="3569">
        <f>T49</f>
        <v>30776</v>
      </c>
      <c r="H49" s="3572"/>
      <c r="I49" s="3571">
        <f>V49</f>
        <v>28549</v>
      </c>
      <c r="J49" s="3572"/>
      <c r="K49" s="3573">
        <f>F49+H49+J49</f>
        <v>0</v>
      </c>
      <c r="L49" s="3565"/>
      <c r="M49" s="3422"/>
      <c r="N49" s="3422"/>
      <c r="O49" s="3422"/>
      <c r="P49" s="4122" t="str">
        <f>A49</f>
        <v>比较价格（元/平方米）</v>
      </c>
      <c r="Q49" s="4115"/>
      <c r="R49" s="4111">
        <f>IF(F1="售价",ROUND(PRODUCT(R48,AA7:AA47),0),ROUND(PRODUCT(R48,AA7:AA47),0))</f>
        <v>29287</v>
      </c>
      <c r="S49" s="4111"/>
      <c r="T49" s="4111">
        <f>IF(F1="售价",ROUND(PRODUCT(T48,AB7:AB47),0),ROUND(PRODUCT(T48,AB7:AB47),0))</f>
        <v>30776</v>
      </c>
      <c r="U49" s="4111"/>
      <c r="V49" s="4111">
        <f>IF(F1="售价",ROUND(PRODUCT(V48,AC7:AC47),0),ROUND(PRODUCT(V48,AC7:AC47),0))</f>
        <v>28549</v>
      </c>
      <c r="W49" s="4111"/>
      <c r="X49" s="3494"/>
      <c r="Y49" s="3494"/>
      <c r="Z49" s="3494"/>
      <c r="AA49" s="3494"/>
      <c r="AB49" s="3494"/>
      <c r="AC49" s="3494"/>
    </row>
    <row r="50" spans="1:29" ht="15.75" thickBot="1">
      <c r="A50" s="3574" t="s">
        <v>2898</v>
      </c>
      <c r="B50" s="3575"/>
      <c r="C50" s="3428">
        <f>R50</f>
        <v>29537</v>
      </c>
      <c r="D50" s="3428"/>
      <c r="E50" s="3428"/>
      <c r="F50" s="3428"/>
      <c r="G50" s="3428"/>
      <c r="H50" s="3428"/>
      <c r="I50" s="3428"/>
      <c r="J50" s="3428"/>
      <c r="K50" s="3576"/>
      <c r="L50" s="3565"/>
      <c r="M50" s="3422"/>
      <c r="N50" s="3422"/>
      <c r="O50" s="3422"/>
      <c r="P50" s="4123" t="str">
        <f>A50</f>
        <v>估价对象XX用房的比较价格（楼面单价，元/平方米）</v>
      </c>
      <c r="Q50" s="4122"/>
      <c r="R50" s="4124">
        <f>IF(F1="售价",ROUND(IF(D49="简单平均",AVERAGE(R49:V49),R49*F49+T49*H49+V49*J49),0),ROUND(IF(D49="简单平均",AVERAGE(R49:V49),R49*F49+T49*H49+V49*J49),0))</f>
        <v>29537</v>
      </c>
      <c r="S50" s="4124"/>
      <c r="T50" s="4124"/>
      <c r="U50" s="4124"/>
      <c r="V50" s="4124"/>
      <c r="W50" s="4124"/>
      <c r="X50" s="3494"/>
      <c r="Y50" s="3494"/>
      <c r="Z50" s="3494"/>
      <c r="AA50" s="3494"/>
      <c r="AB50" s="3494"/>
      <c r="AC50" s="3494"/>
    </row>
    <row r="51" spans="1:29">
      <c r="A51" s="3577"/>
      <c r="B51" s="3577"/>
      <c r="C51" s="3577"/>
      <c r="D51" s="3577"/>
      <c r="E51" s="3577"/>
      <c r="F51" s="3577"/>
      <c r="G51" s="3578"/>
      <c r="H51" s="3577"/>
      <c r="I51" s="3577"/>
      <c r="J51" s="3577"/>
      <c r="K51" s="3579"/>
      <c r="L51" s="3580"/>
      <c r="M51" s="3422"/>
      <c r="N51" s="3422"/>
      <c r="O51" s="3422"/>
      <c r="P51" s="3738"/>
      <c r="Q51" s="3422"/>
      <c r="R51" s="3422"/>
      <c r="S51" s="3422"/>
      <c r="T51" s="3422"/>
      <c r="U51" s="3422"/>
      <c r="V51" s="3422"/>
      <c r="W51" s="3422"/>
      <c r="X51" s="3422"/>
      <c r="Y51" s="3422"/>
      <c r="Z51" s="3422"/>
      <c r="AA51" s="3422"/>
      <c r="AB51" s="3422"/>
      <c r="AC51" s="3422"/>
    </row>
    <row r="52" spans="1:29">
      <c r="A52" s="3577"/>
      <c r="B52" s="3577"/>
      <c r="C52" s="3577"/>
      <c r="D52" s="3577"/>
      <c r="E52" s="3577"/>
      <c r="F52" s="3577"/>
      <c r="G52" s="3577"/>
      <c r="H52" s="3577"/>
      <c r="I52" s="3577"/>
      <c r="J52" s="3577"/>
      <c r="K52" s="3579"/>
      <c r="L52" s="3580"/>
      <c r="M52" s="3422"/>
      <c r="N52" s="3422"/>
      <c r="O52" s="3422"/>
      <c r="P52" s="3738"/>
      <c r="Q52" s="3422"/>
      <c r="R52" s="3422"/>
      <c r="S52" s="3422"/>
      <c r="T52" s="3422"/>
      <c r="U52" s="3422"/>
      <c r="V52" s="3422"/>
      <c r="W52" s="3422"/>
      <c r="X52" s="3422"/>
      <c r="Y52" s="3422"/>
      <c r="Z52" s="3422"/>
      <c r="AA52" s="3422"/>
      <c r="AB52" s="3422"/>
      <c r="AC52" s="3422"/>
    </row>
    <row r="53" spans="1:29" ht="13.5" customHeight="1">
      <c r="A53" s="3577"/>
      <c r="B53" s="3577"/>
      <c r="C53" s="3581" t="s">
        <v>549</v>
      </c>
      <c r="D53" s="3582"/>
      <c r="E53" s="3583">
        <f>IF(E48&lt;E49,E49/E48-1,E48/E49-1)</f>
        <v>0.12677979991122346</v>
      </c>
      <c r="F53" s="3584" t="str">
        <f>IF(OR(E53&gt;=0.3,E53&lt;=-0.3),"超过30%","")</f>
        <v/>
      </c>
      <c r="G53" s="3583">
        <f>IF(G48&lt;G49,G49/G48-1,G48/G49-1)</f>
        <v>0.21922926956069655</v>
      </c>
      <c r="H53" s="3584" t="str">
        <f>IF(OR(G53&gt;=0.3,G53&lt;=-0.3),"超过30%","")</f>
        <v/>
      </c>
      <c r="I53" s="3583">
        <f>IF(I48&lt;I49,I49/I48-1,I48/I49-1)</f>
        <v>0.28901187432134234</v>
      </c>
      <c r="J53" s="3584" t="str">
        <f>IF(OR(I53&gt;=0.3,I53&lt;=-0.3),"超过30%","")</f>
        <v/>
      </c>
      <c r="K53" s="3579"/>
      <c r="L53" s="3580"/>
      <c r="M53" s="3422"/>
      <c r="N53" s="3422"/>
      <c r="O53" s="3422"/>
      <c r="P53" s="3738"/>
      <c r="Q53" s="3422"/>
      <c r="R53" s="3422"/>
      <c r="S53" s="3422"/>
      <c r="T53" s="3422"/>
      <c r="U53" s="3422"/>
      <c r="V53" s="3422"/>
      <c r="W53" s="3422"/>
      <c r="X53" s="3422"/>
      <c r="Y53" s="3422"/>
      <c r="Z53" s="3422"/>
      <c r="AA53" s="3422"/>
      <c r="AB53" s="3422"/>
      <c r="AC53" s="3422"/>
    </row>
    <row r="54" spans="1:29" ht="13.5" customHeight="1">
      <c r="A54" s="3577"/>
      <c r="B54" s="3577"/>
      <c r="C54" s="3581" t="s">
        <v>550</v>
      </c>
      <c r="D54" s="3585"/>
      <c r="E54" s="3583">
        <f>IF(E49&lt;G49,G49/E49-1,E49/G49-1)</f>
        <v>5.0841670365691316E-2</v>
      </c>
      <c r="F54" s="3584" t="str">
        <f>IF(OR(E54&gt;=0.2,E54&lt;=-0.2),"超过20%","")</f>
        <v/>
      </c>
      <c r="G54" s="3583">
        <f>IF(G49&lt;I49,I49/G49-1,G49/I49-1)</f>
        <v>7.8006234894392179E-2</v>
      </c>
      <c r="H54" s="3584" t="str">
        <f>IF(OR(G54&gt;=0.2,G54&lt;=-0.2),"超过20%","")</f>
        <v/>
      </c>
      <c r="I54" s="3583">
        <f>IF(I49&lt;E49,E49/I49-1,I49/E49-1)</f>
        <v>2.5850292479596471E-2</v>
      </c>
      <c r="J54" s="3584" t="str">
        <f>IF(OR(I54&gt;=0.2,I54&lt;=-0.2),"超过20%","")</f>
        <v/>
      </c>
      <c r="K54" s="3579"/>
      <c r="L54" s="3580"/>
      <c r="M54" s="3422"/>
      <c r="N54" s="3422"/>
      <c r="O54" s="3422"/>
      <c r="P54" s="3738"/>
      <c r="Q54" s="3422"/>
      <c r="R54" s="3422"/>
      <c r="S54" s="3422"/>
      <c r="T54" s="3422"/>
      <c r="U54" s="3422"/>
      <c r="V54" s="3422"/>
      <c r="W54" s="3422"/>
      <c r="X54" s="3422"/>
      <c r="Y54" s="3422"/>
      <c r="Z54" s="3422"/>
      <c r="AA54" s="3422"/>
      <c r="AB54" s="3422"/>
      <c r="AC54" s="3422"/>
    </row>
    <row r="55" spans="1:29" s="3590" customFormat="1" ht="13.5" customHeight="1">
      <c r="A55" s="3586"/>
      <c r="B55" s="3586"/>
      <c r="C55" s="3581" t="s">
        <v>551</v>
      </c>
      <c r="D55" s="3585"/>
      <c r="E55" s="3583">
        <f>IF(E48&lt;G48,G48/E48-1,E48/G48-1)</f>
        <v>0.1370606060606061</v>
      </c>
      <c r="F55" s="3584" t="str">
        <f>IF(OR(E55&gt;=0.3,E55&lt;=-0.3),"超过30%","")</f>
        <v/>
      </c>
      <c r="G55" s="3583">
        <f>IF(G48&lt;I48,I48/G48-1,G48/I48-1)</f>
        <v>1.9646739130434687E-2</v>
      </c>
      <c r="H55" s="3584" t="str">
        <f>IF(OR(G55&gt;=0.3,G55&lt;=-0.3),"超过30%","")</f>
        <v/>
      </c>
      <c r="I55" s="3583">
        <f>IF(I48&lt;E48,E48/I48-1,I48/E48-1)</f>
        <v>0.11515151515151523</v>
      </c>
      <c r="J55" s="3584" t="str">
        <f>IF(OR(I55&gt;=0.3,I55&lt;=-0.3),"超过30%","")</f>
        <v/>
      </c>
      <c r="K55" s="3587"/>
      <c r="L55" s="3588"/>
      <c r="M55" s="3589"/>
      <c r="N55" s="3589"/>
      <c r="O55" s="3589"/>
      <c r="P55" s="3739"/>
      <c r="Q55" s="3589"/>
      <c r="R55" s="3589"/>
      <c r="S55" s="3589"/>
      <c r="T55" s="3589"/>
      <c r="U55" s="3589"/>
      <c r="V55" s="3589"/>
      <c r="W55" s="3589"/>
      <c r="X55" s="3589"/>
      <c r="Y55" s="3589"/>
      <c r="Z55" s="3589"/>
      <c r="AA55" s="3589"/>
      <c r="AB55" s="3589"/>
      <c r="AC55" s="3589"/>
    </row>
    <row r="56" spans="1:29" s="3590" customFormat="1">
      <c r="A56" s="3589"/>
      <c r="B56" s="3591"/>
      <c r="C56" s="3592"/>
      <c r="D56" s="3589"/>
      <c r="E56" s="3589"/>
      <c r="F56" s="3589"/>
      <c r="G56" s="3589"/>
      <c r="H56" s="3589"/>
      <c r="I56" s="3589"/>
      <c r="J56" s="3589"/>
      <c r="K56" s="3593"/>
      <c r="L56" s="3588"/>
      <c r="M56" s="3589"/>
      <c r="N56" s="3589"/>
      <c r="O56" s="3589"/>
      <c r="P56" s="3739"/>
      <c r="Q56" s="3589"/>
      <c r="R56" s="3589"/>
      <c r="S56" s="3589"/>
      <c r="T56" s="3589"/>
      <c r="U56" s="3589"/>
      <c r="V56" s="3589"/>
      <c r="W56" s="3589"/>
      <c r="X56" s="3589"/>
      <c r="Y56" s="3589"/>
      <c r="Z56" s="3589"/>
      <c r="AA56" s="3589"/>
      <c r="AB56" s="3589"/>
      <c r="AC56" s="3589"/>
    </row>
    <row r="57" spans="1:29">
      <c r="A57" s="3422"/>
      <c r="B57" s="3591"/>
      <c r="C57" s="3592"/>
      <c r="D57" s="3422"/>
      <c r="E57" s="3422"/>
      <c r="F57" s="3422"/>
      <c r="G57" s="3422"/>
      <c r="H57" s="3422"/>
      <c r="I57" s="3422"/>
      <c r="J57" s="3422"/>
      <c r="K57" s="3594"/>
      <c r="L57" s="3580"/>
      <c r="M57" s="3422"/>
      <c r="N57" s="3422"/>
      <c r="O57" s="3422"/>
      <c r="P57" s="3738"/>
      <c r="Q57" s="3422"/>
      <c r="R57" s="3422"/>
      <c r="S57" s="3422"/>
      <c r="T57" s="3422"/>
      <c r="U57" s="3422"/>
      <c r="V57" s="3422"/>
      <c r="W57" s="3422"/>
      <c r="X57" s="3422"/>
      <c r="Y57" s="3422"/>
      <c r="Z57" s="3422"/>
      <c r="AA57" s="3422"/>
      <c r="AB57" s="3422"/>
      <c r="AC57" s="3422"/>
    </row>
    <row r="58" spans="1:29" ht="21.75" thickBot="1">
      <c r="A58" s="3595" t="s">
        <v>566</v>
      </c>
      <c r="B58" s="3494"/>
      <c r="C58" s="3596"/>
      <c r="D58" s="3596"/>
      <c r="E58" s="3596"/>
      <c r="F58" s="3597"/>
      <c r="G58" s="3597"/>
      <c r="H58" s="3596"/>
      <c r="I58" s="3596"/>
      <c r="J58" s="3596"/>
      <c r="K58" s="3598"/>
      <c r="L58" s="3599"/>
      <c r="M58" s="3596"/>
      <c r="N58" s="3600"/>
      <c r="O58" s="3600"/>
      <c r="P58" s="3740"/>
      <c r="Q58" s="3601"/>
      <c r="R58" s="3422"/>
      <c r="S58" s="3422"/>
      <c r="T58" s="3422"/>
      <c r="U58" s="3422"/>
      <c r="V58" s="3422"/>
      <c r="W58" s="3422"/>
      <c r="X58" s="3422"/>
      <c r="Y58" s="3422"/>
      <c r="Z58" s="3422"/>
      <c r="AA58" s="3422"/>
      <c r="AB58" s="3422"/>
      <c r="AC58" s="3422"/>
    </row>
    <row r="59" spans="1:29" s="3607" customFormat="1" ht="15">
      <c r="A59" s="3602" t="s">
        <v>521</v>
      </c>
      <c r="B59" s="3603"/>
      <c r="C59" s="3604" t="str">
        <f>YEAR(C7)&amp;"-"&amp;MONTH(C7)</f>
        <v>2021-10</v>
      </c>
      <c r="D59" s="3605">
        <f>EDATE(C59,-1)</f>
        <v>44440</v>
      </c>
      <c r="E59" s="3605">
        <f t="shared" ref="E59:O59" si="16">EDATE(D59,-1)</f>
        <v>44409</v>
      </c>
      <c r="F59" s="3605">
        <f t="shared" si="16"/>
        <v>44378</v>
      </c>
      <c r="G59" s="3605">
        <f t="shared" si="16"/>
        <v>44348</v>
      </c>
      <c r="H59" s="3605">
        <f t="shared" si="16"/>
        <v>44317</v>
      </c>
      <c r="I59" s="3605">
        <f t="shared" si="16"/>
        <v>44287</v>
      </c>
      <c r="J59" s="3605">
        <f t="shared" si="16"/>
        <v>44256</v>
      </c>
      <c r="K59" s="3605">
        <f t="shared" si="16"/>
        <v>44228</v>
      </c>
      <c r="L59" s="3605">
        <f t="shared" si="16"/>
        <v>44197</v>
      </c>
      <c r="M59" s="3605">
        <f t="shared" si="16"/>
        <v>44166</v>
      </c>
      <c r="N59" s="3605">
        <f t="shared" si="16"/>
        <v>44136</v>
      </c>
      <c r="O59" s="3605">
        <f t="shared" si="16"/>
        <v>44105</v>
      </c>
      <c r="P59" s="3741"/>
      <c r="Q59" s="3606"/>
      <c r="R59" s="3606"/>
      <c r="S59" s="3606"/>
      <c r="T59" s="3606"/>
      <c r="U59" s="3606"/>
      <c r="V59" s="3606"/>
      <c r="W59" s="3606"/>
      <c r="X59" s="3606"/>
      <c r="Y59" s="3606"/>
      <c r="Z59" s="3606"/>
      <c r="AA59" s="3606"/>
      <c r="AB59" s="3606"/>
      <c r="AC59" s="3606"/>
    </row>
    <row r="60" spans="1:29" s="3442" customFormat="1" ht="15">
      <c r="A60" s="3608"/>
      <c r="B60" s="3609"/>
      <c r="C60" s="3610">
        <v>100</v>
      </c>
      <c r="D60" s="3611">
        <v>100</v>
      </c>
      <c r="E60" s="3611"/>
      <c r="F60" s="3611"/>
      <c r="G60" s="3611"/>
      <c r="H60" s="3611"/>
      <c r="I60" s="3611"/>
      <c r="J60" s="3611"/>
      <c r="K60" s="3611"/>
      <c r="L60" s="3611"/>
      <c r="M60" s="3612"/>
      <c r="N60" s="3611"/>
      <c r="O60" s="3612"/>
      <c r="P60" s="3742"/>
      <c r="Q60" s="3437"/>
      <c r="R60" s="3437"/>
      <c r="S60" s="3437"/>
      <c r="T60" s="3437"/>
      <c r="U60" s="3437"/>
      <c r="V60" s="3437"/>
      <c r="W60" s="3437"/>
      <c r="X60" s="3437"/>
      <c r="Y60" s="3437"/>
      <c r="Z60" s="3437"/>
      <c r="AA60" s="3437"/>
      <c r="AB60" s="3437"/>
      <c r="AC60" s="3437"/>
    </row>
    <row r="61" spans="1:29" s="3442" customFormat="1" ht="15.75" thickBot="1">
      <c r="A61" s="3614" t="s">
        <v>3186</v>
      </c>
      <c r="B61" s="3615"/>
      <c r="C61" s="3616"/>
      <c r="D61" s="3617"/>
      <c r="E61" s="3617"/>
      <c r="F61" s="3617"/>
      <c r="G61" s="3617"/>
      <c r="H61" s="3617"/>
      <c r="I61" s="3617"/>
      <c r="J61" s="3617"/>
      <c r="K61" s="3617"/>
      <c r="L61" s="3617"/>
      <c r="M61" s="3618"/>
      <c r="N61" s="3617"/>
      <c r="O61" s="3618"/>
      <c r="P61" s="3742"/>
      <c r="Q61" s="3601"/>
      <c r="R61" s="3437"/>
      <c r="S61" s="3437"/>
      <c r="T61" s="3437"/>
      <c r="U61" s="3437"/>
      <c r="V61" s="3437"/>
      <c r="W61" s="3437"/>
      <c r="X61" s="3437"/>
      <c r="Y61" s="3437"/>
      <c r="Z61" s="3437"/>
      <c r="AA61" s="3437"/>
      <c r="AB61" s="3437"/>
      <c r="AC61" s="3437"/>
    </row>
    <row r="62" spans="1:29" s="3442" customFormat="1" ht="15">
      <c r="A62" s="3620" t="s">
        <v>523</v>
      </c>
      <c r="B62" s="3609"/>
      <c r="C62" s="3621" t="s">
        <v>3178</v>
      </c>
      <c r="D62" s="3743" t="s">
        <v>3213</v>
      </c>
      <c r="E62" s="3622"/>
      <c r="F62" s="3622"/>
      <c r="G62" s="3622"/>
      <c r="H62" s="3622"/>
      <c r="I62" s="3622"/>
      <c r="J62" s="3622"/>
      <c r="K62" s="3622"/>
      <c r="L62" s="3623"/>
      <c r="M62" s="3624"/>
      <c r="N62" s="3625"/>
      <c r="O62" s="3625"/>
      <c r="P62" s="3744"/>
      <c r="Q62" s="3601"/>
      <c r="R62" s="3437"/>
      <c r="S62" s="3437"/>
      <c r="T62" s="3437"/>
      <c r="U62" s="3437"/>
      <c r="V62" s="3437"/>
      <c r="W62" s="3437"/>
      <c r="X62" s="3437"/>
      <c r="Y62" s="3437"/>
      <c r="Z62" s="3437"/>
      <c r="AA62" s="3437"/>
      <c r="AB62" s="3437"/>
      <c r="AC62" s="3437"/>
    </row>
    <row r="63" spans="1:29" s="3442" customFormat="1" ht="15.75" thickBot="1">
      <c r="A63" s="3620"/>
      <c r="B63" s="3609"/>
      <c r="C63" s="3627">
        <v>100</v>
      </c>
      <c r="D63" s="3611">
        <v>115</v>
      </c>
      <c r="E63" s="3611"/>
      <c r="F63" s="3611"/>
      <c r="G63" s="3611"/>
      <c r="H63" s="3611"/>
      <c r="I63" s="3611"/>
      <c r="J63" s="3611"/>
      <c r="K63" s="3611"/>
      <c r="L63" s="3611"/>
      <c r="M63" s="3613"/>
      <c r="N63" s="3625"/>
      <c r="O63" s="3625"/>
      <c r="P63" s="3742"/>
      <c r="Q63" s="3601"/>
      <c r="R63" s="3437"/>
      <c r="S63" s="3437"/>
      <c r="T63" s="3437"/>
      <c r="U63" s="3437"/>
      <c r="V63" s="3437"/>
      <c r="W63" s="3437"/>
      <c r="X63" s="3437"/>
      <c r="Y63" s="3437"/>
      <c r="Z63" s="3437"/>
      <c r="AA63" s="3437"/>
      <c r="AB63" s="3437"/>
      <c r="AC63" s="3437"/>
    </row>
    <row r="64" spans="1:29">
      <c r="A64" s="3629" t="s">
        <v>569</v>
      </c>
      <c r="B64" s="3630" t="s">
        <v>526</v>
      </c>
      <c r="C64" s="3631">
        <f>C9</f>
        <v>0</v>
      </c>
      <c r="D64" s="3632"/>
      <c r="E64" s="3632"/>
      <c r="F64" s="3632"/>
      <c r="G64" s="3632"/>
      <c r="H64" s="3632"/>
      <c r="I64" s="3632"/>
      <c r="J64" s="3632"/>
      <c r="K64" s="3633"/>
      <c r="L64" s="3634"/>
      <c r="M64" s="3635"/>
      <c r="N64" s="3636"/>
      <c r="O64" s="3636"/>
      <c r="P64" s="3745"/>
      <c r="Q64" s="3601"/>
      <c r="R64" s="3422"/>
      <c r="S64" s="3422"/>
      <c r="T64" s="3422"/>
      <c r="U64" s="3422"/>
      <c r="V64" s="3422"/>
      <c r="W64" s="3422"/>
      <c r="X64" s="3422"/>
      <c r="Y64" s="3422"/>
      <c r="Z64" s="3422"/>
      <c r="AA64" s="3422"/>
      <c r="AB64" s="3422"/>
      <c r="AC64" s="3422"/>
    </row>
    <row r="65" spans="1:29" ht="15.75" thickBot="1">
      <c r="A65" s="3493"/>
      <c r="B65" s="3637"/>
      <c r="C65" s="3638"/>
      <c r="D65" s="3638"/>
      <c r="E65" s="3638"/>
      <c r="F65" s="3638"/>
      <c r="G65" s="3638"/>
      <c r="H65" s="3638"/>
      <c r="I65" s="3638"/>
      <c r="J65" s="3638"/>
      <c r="K65" s="3638"/>
      <c r="L65" s="3638"/>
      <c r="M65" s="3639"/>
      <c r="N65" s="3640"/>
      <c r="O65" s="3640"/>
      <c r="P65" s="3745"/>
      <c r="Q65" s="3601"/>
      <c r="R65" s="3422"/>
      <c r="S65" s="3422"/>
      <c r="T65" s="3422"/>
      <c r="U65" s="3422"/>
      <c r="V65" s="3422"/>
      <c r="W65" s="3422"/>
      <c r="X65" s="3422"/>
      <c r="Y65" s="3422"/>
      <c r="Z65" s="3422"/>
      <c r="AA65" s="3422"/>
      <c r="AB65" s="3422"/>
      <c r="AC65" s="3422"/>
    </row>
    <row r="66" spans="1:29" ht="27.75" thickTop="1">
      <c r="A66" s="3493"/>
      <c r="B66" s="3641" t="s">
        <v>529</v>
      </c>
      <c r="C66" s="3642" t="s">
        <v>3187</v>
      </c>
      <c r="D66" s="3642" t="s">
        <v>3188</v>
      </c>
      <c r="E66" s="3642" t="s">
        <v>3189</v>
      </c>
      <c r="F66" s="3642" t="s">
        <v>3190</v>
      </c>
      <c r="G66" s="3642" t="s">
        <v>3191</v>
      </c>
      <c r="H66" s="3642" t="s">
        <v>3192</v>
      </c>
      <c r="I66" s="3642" t="s">
        <v>3193</v>
      </c>
      <c r="J66" s="3642"/>
      <c r="K66" s="3643"/>
      <c r="L66" s="3644"/>
      <c r="M66" s="3645"/>
      <c r="N66" s="3636"/>
      <c r="O66" s="3636"/>
      <c r="P66" s="3745"/>
      <c r="Q66" s="3601"/>
      <c r="R66" s="3422"/>
      <c r="S66" s="3422"/>
      <c r="T66" s="3422"/>
      <c r="U66" s="3422"/>
      <c r="V66" s="3422"/>
      <c r="W66" s="3422"/>
      <c r="X66" s="3422"/>
      <c r="Y66" s="3422"/>
      <c r="Z66" s="3422"/>
      <c r="AA66" s="3422"/>
      <c r="AB66" s="3422"/>
      <c r="AC66" s="3422"/>
    </row>
    <row r="67" spans="1:29" ht="15.75" thickBot="1">
      <c r="A67" s="3493"/>
      <c r="B67" s="3646"/>
      <c r="C67" s="3647" t="s">
        <v>2279</v>
      </c>
      <c r="D67" s="3647" t="s">
        <v>2279</v>
      </c>
      <c r="E67" s="3647">
        <v>100</v>
      </c>
      <c r="F67" s="3647">
        <f>E67-$K10</f>
        <v>99</v>
      </c>
      <c r="G67" s="3647">
        <f>F67-$K10</f>
        <v>98</v>
      </c>
      <c r="H67" s="3647">
        <f>G67-$K10</f>
        <v>97</v>
      </c>
      <c r="I67" s="3647">
        <f>H67-$K10</f>
        <v>96</v>
      </c>
      <c r="J67" s="3647"/>
      <c r="K67" s="3647"/>
      <c r="L67" s="3647"/>
      <c r="M67" s="3648"/>
      <c r="N67" s="3640"/>
      <c r="O67" s="3640"/>
      <c r="P67" s="3745"/>
      <c r="Q67" s="3601"/>
      <c r="R67" s="3422"/>
      <c r="S67" s="3422"/>
      <c r="T67" s="3422"/>
      <c r="U67" s="3422"/>
      <c r="V67" s="3422"/>
      <c r="W67" s="3422"/>
      <c r="X67" s="3422"/>
      <c r="Y67" s="3422"/>
      <c r="Z67" s="3422"/>
      <c r="AA67" s="3422"/>
      <c r="AB67" s="3422"/>
      <c r="AC67" s="3422"/>
    </row>
    <row r="68" spans="1:29" ht="15.75" thickTop="1">
      <c r="A68" s="3493"/>
      <c r="B68" s="3649" t="s">
        <v>530</v>
      </c>
      <c r="C68" s="3650" t="str">
        <f>C69&amp;"（含）"&amp;"-"&amp;D69</f>
        <v>0（含）-1</v>
      </c>
      <c r="D68" s="3650" t="str">
        <f t="shared" ref="D68:L68" si="17">D69&amp;"（含）"&amp;"-"&amp;E69</f>
        <v>1（含）-2</v>
      </c>
      <c r="E68" s="3650" t="str">
        <f t="shared" si="17"/>
        <v>2（含）-3</v>
      </c>
      <c r="F68" s="3650" t="str">
        <f t="shared" si="17"/>
        <v>3（含）-</v>
      </c>
      <c r="G68" s="3650" t="str">
        <f t="shared" si="17"/>
        <v>（含）-</v>
      </c>
      <c r="H68" s="3650" t="str">
        <f t="shared" si="17"/>
        <v>（含）-</v>
      </c>
      <c r="I68" s="3650" t="str">
        <f t="shared" si="17"/>
        <v>（含）-</v>
      </c>
      <c r="J68" s="3650" t="str">
        <f t="shared" si="17"/>
        <v>（含）-</v>
      </c>
      <c r="K68" s="3650" t="str">
        <f t="shared" si="17"/>
        <v>（含）-</v>
      </c>
      <c r="L68" s="3650" t="str">
        <f t="shared" si="17"/>
        <v>（含）-</v>
      </c>
      <c r="M68" s="3496" t="str">
        <f>M69&amp;"（含）"&amp;"-"&amp;P69</f>
        <v>（含）-</v>
      </c>
      <c r="N68" s="3640"/>
      <c r="O68" s="3640"/>
      <c r="P68" s="3745"/>
      <c r="Q68" s="3601"/>
      <c r="R68" s="3422"/>
      <c r="S68" s="3422"/>
      <c r="T68" s="3422"/>
      <c r="U68" s="3422"/>
      <c r="V68" s="3422"/>
      <c r="W68" s="3422"/>
      <c r="X68" s="3422"/>
      <c r="Y68" s="3422"/>
      <c r="Z68" s="3422"/>
      <c r="AA68" s="3422"/>
      <c r="AB68" s="3422"/>
      <c r="AC68" s="3422"/>
    </row>
    <row r="69" spans="1:29" ht="15">
      <c r="A69" s="3493"/>
      <c r="B69" s="3651"/>
      <c r="C69" s="3652">
        <v>0</v>
      </c>
      <c r="D69" s="3652">
        <v>1</v>
      </c>
      <c r="E69" s="3652">
        <v>2</v>
      </c>
      <c r="F69" s="3652">
        <v>3</v>
      </c>
      <c r="G69" s="3652"/>
      <c r="H69" s="3652"/>
      <c r="I69" s="3652"/>
      <c r="J69" s="3652"/>
      <c r="K69" s="3653"/>
      <c r="L69" s="3654"/>
      <c r="M69" s="3655"/>
      <c r="N69" s="3636"/>
      <c r="O69" s="3636"/>
      <c r="P69" s="3745"/>
      <c r="Q69" s="3601"/>
      <c r="R69" s="3422"/>
      <c r="S69" s="3422"/>
      <c r="T69" s="3422"/>
      <c r="U69" s="3422"/>
      <c r="V69" s="3422"/>
      <c r="W69" s="3422"/>
      <c r="X69" s="3422"/>
      <c r="Y69" s="3422"/>
      <c r="Z69" s="3422"/>
      <c r="AA69" s="3422"/>
      <c r="AB69" s="3422"/>
      <c r="AC69" s="3422"/>
    </row>
    <row r="70" spans="1:29" ht="15.75" thickBot="1">
      <c r="A70" s="3493"/>
      <c r="B70" s="3637"/>
      <c r="C70" s="3647">
        <v>100</v>
      </c>
      <c r="D70" s="3647">
        <f t="shared" ref="D70:M70" si="18">C70-$K11</f>
        <v>100</v>
      </c>
      <c r="E70" s="3647">
        <f t="shared" si="18"/>
        <v>100</v>
      </c>
      <c r="F70" s="3647">
        <f t="shared" si="18"/>
        <v>100</v>
      </c>
      <c r="G70" s="3647">
        <f t="shared" si="18"/>
        <v>100</v>
      </c>
      <c r="H70" s="3647">
        <f t="shared" si="18"/>
        <v>100</v>
      </c>
      <c r="I70" s="3647">
        <f t="shared" si="18"/>
        <v>100</v>
      </c>
      <c r="J70" s="3647">
        <f t="shared" si="18"/>
        <v>100</v>
      </c>
      <c r="K70" s="3647">
        <f t="shared" si="18"/>
        <v>100</v>
      </c>
      <c r="L70" s="3647">
        <f t="shared" si="18"/>
        <v>100</v>
      </c>
      <c r="M70" s="3648">
        <f t="shared" si="18"/>
        <v>100</v>
      </c>
      <c r="N70" s="3640"/>
      <c r="O70" s="3640"/>
      <c r="P70" s="3745"/>
      <c r="Q70" s="3601"/>
      <c r="R70" s="3422"/>
      <c r="S70" s="3422"/>
      <c r="T70" s="3422"/>
      <c r="U70" s="3422"/>
      <c r="V70" s="3422"/>
      <c r="W70" s="3422"/>
      <c r="X70" s="3422"/>
      <c r="Y70" s="3422"/>
      <c r="Z70" s="3422"/>
      <c r="AA70" s="3422"/>
      <c r="AB70" s="3422"/>
      <c r="AC70" s="3422"/>
    </row>
    <row r="71" spans="1:29" s="3544" customFormat="1" ht="15.75" thickTop="1">
      <c r="A71" s="3656"/>
      <c r="B71" s="3641">
        <f>B12</f>
        <v>111</v>
      </c>
      <c r="C71" s="3657"/>
      <c r="D71" s="3657"/>
      <c r="E71" s="3657"/>
      <c r="F71" s="3657"/>
      <c r="G71" s="3657"/>
      <c r="H71" s="3658"/>
      <c r="I71" s="3658"/>
      <c r="J71" s="3658"/>
      <c r="K71" s="3658"/>
      <c r="L71" s="3659"/>
      <c r="M71" s="3660"/>
      <c r="N71" s="3661"/>
      <c r="O71" s="3661"/>
      <c r="P71" s="3746"/>
      <c r="Q71" s="3662"/>
      <c r="R71" s="3537"/>
      <c r="S71" s="3537"/>
      <c r="T71" s="3537"/>
      <c r="U71" s="3537"/>
      <c r="V71" s="3537"/>
      <c r="W71" s="3537"/>
      <c r="X71" s="3537"/>
      <c r="Y71" s="3537"/>
      <c r="Z71" s="3537"/>
      <c r="AA71" s="3537"/>
      <c r="AB71" s="3537"/>
      <c r="AC71" s="3537"/>
    </row>
    <row r="72" spans="1:29" s="3544" customFormat="1" ht="15.75" thickBot="1">
      <c r="A72" s="3656"/>
      <c r="B72" s="3646"/>
      <c r="C72" s="3663"/>
      <c r="D72" s="3638"/>
      <c r="E72" s="3638"/>
      <c r="F72" s="3638"/>
      <c r="G72" s="3638"/>
      <c r="H72" s="3638"/>
      <c r="I72" s="3638"/>
      <c r="J72" s="3638"/>
      <c r="K72" s="3638"/>
      <c r="L72" s="3638"/>
      <c r="M72" s="3639"/>
      <c r="N72" s="3640"/>
      <c r="O72" s="3640"/>
      <c r="P72" s="3746"/>
      <c r="Q72" s="3662"/>
      <c r="R72" s="3537"/>
      <c r="S72" s="3537"/>
      <c r="T72" s="3537"/>
      <c r="U72" s="3537"/>
      <c r="V72" s="3537"/>
      <c r="W72" s="3537"/>
      <c r="X72" s="3537"/>
      <c r="Y72" s="3537"/>
      <c r="Z72" s="3537"/>
      <c r="AA72" s="3537"/>
      <c r="AB72" s="3537"/>
      <c r="AC72" s="3537"/>
    </row>
    <row r="73" spans="1:29" s="3544" customFormat="1" ht="15.75" thickTop="1">
      <c r="A73" s="3656"/>
      <c r="B73" s="3641">
        <f>B13</f>
        <v>111</v>
      </c>
      <c r="C73" s="3657"/>
      <c r="D73" s="3657"/>
      <c r="E73" s="3657"/>
      <c r="F73" s="3657"/>
      <c r="G73" s="3657"/>
      <c r="H73" s="3658"/>
      <c r="I73" s="3658"/>
      <c r="J73" s="3658"/>
      <c r="K73" s="3658"/>
      <c r="L73" s="3659"/>
      <c r="M73" s="3660"/>
      <c r="N73" s="3661"/>
      <c r="O73" s="3661"/>
      <c r="P73" s="3747"/>
      <c r="Q73" s="3664"/>
      <c r="R73" s="3537"/>
      <c r="S73" s="3537"/>
      <c r="T73" s="3537"/>
      <c r="U73" s="3537"/>
      <c r="V73" s="3537"/>
      <c r="W73" s="3537"/>
      <c r="X73" s="3537"/>
      <c r="Y73" s="3537"/>
      <c r="Z73" s="3537"/>
      <c r="AA73" s="3537"/>
      <c r="AB73" s="3537"/>
      <c r="AC73" s="3537"/>
    </row>
    <row r="74" spans="1:29" s="3544" customFormat="1" ht="15.75" thickBot="1">
      <c r="A74" s="3656"/>
      <c r="B74" s="3646"/>
      <c r="C74" s="3663"/>
      <c r="D74" s="3663"/>
      <c r="E74" s="3663"/>
      <c r="F74" s="3663"/>
      <c r="G74" s="3663"/>
      <c r="H74" s="3665"/>
      <c r="I74" s="3665"/>
      <c r="J74" s="3665"/>
      <c r="K74" s="3665"/>
      <c r="L74" s="3665"/>
      <c r="M74" s="3666"/>
      <c r="N74" s="3661"/>
      <c r="O74" s="3661"/>
      <c r="P74" s="3746"/>
      <c r="Q74" s="3662"/>
      <c r="R74" s="3537"/>
      <c r="S74" s="3537"/>
      <c r="T74" s="3537"/>
      <c r="U74" s="3537"/>
      <c r="V74" s="3537"/>
      <c r="W74" s="3537"/>
      <c r="X74" s="3537"/>
      <c r="Y74" s="3537"/>
      <c r="Z74" s="3537"/>
      <c r="AA74" s="3537"/>
      <c r="AB74" s="3537"/>
      <c r="AC74" s="3537"/>
    </row>
    <row r="75" spans="1:29" s="3544" customFormat="1" ht="15.75" thickTop="1">
      <c r="A75" s="3656"/>
      <c r="B75" s="3649">
        <f>B14</f>
        <v>111</v>
      </c>
      <c r="C75" s="3622"/>
      <c r="D75" s="3622"/>
      <c r="E75" s="3622"/>
      <c r="F75" s="3622"/>
      <c r="G75" s="3622"/>
      <c r="H75" s="3667"/>
      <c r="I75" s="3667"/>
      <c r="J75" s="3667"/>
      <c r="K75" s="3667"/>
      <c r="L75" s="3668"/>
      <c r="M75" s="3669"/>
      <c r="N75" s="3661"/>
      <c r="O75" s="3661"/>
      <c r="P75" s="3748"/>
      <c r="Q75" s="3662"/>
      <c r="R75" s="3537"/>
      <c r="S75" s="3537"/>
      <c r="T75" s="3537"/>
      <c r="U75" s="3537"/>
      <c r="V75" s="3537"/>
      <c r="W75" s="3537"/>
      <c r="X75" s="3537"/>
      <c r="Y75" s="3537"/>
      <c r="Z75" s="3537"/>
      <c r="AA75" s="3537"/>
      <c r="AB75" s="3537"/>
      <c r="AC75" s="3537"/>
    </row>
    <row r="76" spans="1:29" s="3544" customFormat="1" ht="15.75" thickBot="1">
      <c r="A76" s="3671"/>
      <c r="B76" s="3672"/>
      <c r="C76" s="3673"/>
      <c r="D76" s="3673"/>
      <c r="E76" s="3673"/>
      <c r="F76" s="3673"/>
      <c r="G76" s="3673"/>
      <c r="H76" s="3674"/>
      <c r="I76" s="3674"/>
      <c r="J76" s="3674"/>
      <c r="K76" s="3674"/>
      <c r="L76" s="3674"/>
      <c r="M76" s="3675"/>
      <c r="N76" s="3661"/>
      <c r="O76" s="3661"/>
      <c r="P76" s="3746"/>
      <c r="Q76" s="3662"/>
      <c r="R76" s="3537"/>
      <c r="S76" s="3537"/>
      <c r="T76" s="3537"/>
      <c r="U76" s="3537"/>
      <c r="V76" s="3537"/>
      <c r="W76" s="3537"/>
      <c r="X76" s="3537"/>
      <c r="Y76" s="3537"/>
      <c r="Z76" s="3537"/>
      <c r="AA76" s="3537"/>
      <c r="AB76" s="3537"/>
      <c r="AC76" s="3537"/>
    </row>
    <row r="77" spans="1:29">
      <c r="A77" s="3629" t="s">
        <v>531</v>
      </c>
      <c r="B77" s="3630" t="s">
        <v>577</v>
      </c>
      <c r="C77" s="3676" t="s">
        <v>571</v>
      </c>
      <c r="D77" s="3676" t="s">
        <v>572</v>
      </c>
      <c r="E77" s="3676" t="s">
        <v>573</v>
      </c>
      <c r="F77" s="3676" t="s">
        <v>574</v>
      </c>
      <c r="G77" s="3676" t="s">
        <v>575</v>
      </c>
      <c r="H77" s="3631"/>
      <c r="I77" s="3631"/>
      <c r="J77" s="3631"/>
      <c r="K77" s="3677"/>
      <c r="L77" s="3678"/>
      <c r="M77" s="3679"/>
      <c r="N77" s="3636"/>
      <c r="O77" s="3636"/>
      <c r="P77" s="3749"/>
      <c r="Q77" s="3601"/>
      <c r="R77" s="3422"/>
      <c r="S77" s="3422"/>
      <c r="T77" s="3422"/>
      <c r="U77" s="3422"/>
      <c r="V77" s="3422"/>
      <c r="W77" s="3422"/>
      <c r="X77" s="3422"/>
      <c r="Y77" s="3422"/>
      <c r="Z77" s="3422"/>
      <c r="AA77" s="3422"/>
      <c r="AB77" s="3422"/>
      <c r="AC77" s="3422"/>
    </row>
    <row r="78" spans="1:29" ht="15.75" thickBot="1">
      <c r="A78" s="3493"/>
      <c r="B78" s="3646"/>
      <c r="C78" s="3647">
        <v>100</v>
      </c>
      <c r="D78" s="3647">
        <f>C78-$K15</f>
        <v>99</v>
      </c>
      <c r="E78" s="3647">
        <f>D78-$K15</f>
        <v>98</v>
      </c>
      <c r="F78" s="3647">
        <f>E78-$K15</f>
        <v>97</v>
      </c>
      <c r="G78" s="3647">
        <f>F78-$K15</f>
        <v>96</v>
      </c>
      <c r="H78" s="3647"/>
      <c r="I78" s="3647"/>
      <c r="J78" s="3647"/>
      <c r="K78" s="3647"/>
      <c r="L78" s="3647"/>
      <c r="M78" s="3648"/>
      <c r="N78" s="3640"/>
      <c r="O78" s="3640"/>
      <c r="P78" s="3745"/>
      <c r="Q78" s="3601"/>
      <c r="R78" s="3422"/>
      <c r="S78" s="3422"/>
      <c r="T78" s="3422"/>
      <c r="U78" s="3422"/>
      <c r="V78" s="3422"/>
      <c r="W78" s="3422"/>
      <c r="X78" s="3422"/>
      <c r="Y78" s="3422"/>
      <c r="Z78" s="3422"/>
      <c r="AA78" s="3422"/>
      <c r="AB78" s="3422"/>
      <c r="AC78" s="3422"/>
    </row>
    <row r="79" spans="1:29" ht="15.75" thickTop="1">
      <c r="A79" s="3493"/>
      <c r="B79" s="3641" t="s">
        <v>578</v>
      </c>
      <c r="C79" s="3681" t="s">
        <v>571</v>
      </c>
      <c r="D79" s="3681" t="s">
        <v>572</v>
      </c>
      <c r="E79" s="3681" t="s">
        <v>573</v>
      </c>
      <c r="F79" s="3681" t="s">
        <v>574</v>
      </c>
      <c r="G79" s="3681" t="s">
        <v>575</v>
      </c>
      <c r="H79" s="3642"/>
      <c r="I79" s="3642"/>
      <c r="J79" s="3642"/>
      <c r="K79" s="3643"/>
      <c r="L79" s="3644"/>
      <c r="M79" s="3645"/>
      <c r="N79" s="3636"/>
      <c r="O79" s="3636"/>
      <c r="P79" s="3745"/>
      <c r="Q79" s="3601"/>
      <c r="R79" s="3422"/>
      <c r="S79" s="3422"/>
      <c r="T79" s="3422"/>
      <c r="U79" s="3422"/>
      <c r="V79" s="3422"/>
      <c r="W79" s="3422"/>
      <c r="X79" s="3422"/>
      <c r="Y79" s="3422"/>
      <c r="Z79" s="3422"/>
      <c r="AA79" s="3422"/>
      <c r="AB79" s="3422"/>
      <c r="AC79" s="3422"/>
    </row>
    <row r="80" spans="1:29" ht="15.75" thickBot="1">
      <c r="A80" s="3493"/>
      <c r="B80" s="3646"/>
      <c r="C80" s="3647">
        <v>100</v>
      </c>
      <c r="D80" s="3647">
        <f>C80-$K17</f>
        <v>95</v>
      </c>
      <c r="E80" s="3647">
        <f>D80-$K17</f>
        <v>90</v>
      </c>
      <c r="F80" s="3647">
        <f>E80-$K17</f>
        <v>85</v>
      </c>
      <c r="G80" s="3647">
        <f>F80-$K17</f>
        <v>80</v>
      </c>
      <c r="H80" s="3647"/>
      <c r="I80" s="3647"/>
      <c r="J80" s="3647"/>
      <c r="K80" s="3647"/>
      <c r="L80" s="3647"/>
      <c r="M80" s="3648"/>
      <c r="N80" s="3640"/>
      <c r="O80" s="3640"/>
      <c r="P80" s="3745"/>
      <c r="Q80" s="3601"/>
      <c r="R80" s="3422"/>
      <c r="S80" s="3422"/>
      <c r="T80" s="3422"/>
      <c r="U80" s="3422"/>
      <c r="V80" s="3422"/>
      <c r="W80" s="3422"/>
      <c r="X80" s="3422"/>
      <c r="Y80" s="3422"/>
      <c r="Z80" s="3422"/>
      <c r="AA80" s="3422"/>
      <c r="AB80" s="3422"/>
      <c r="AC80" s="3422"/>
    </row>
    <row r="81" spans="1:29" ht="15.75" thickTop="1">
      <c r="A81" s="3493"/>
      <c r="B81" s="3682" t="s">
        <v>2302</v>
      </c>
      <c r="C81" s="3681" t="s">
        <v>571</v>
      </c>
      <c r="D81" s="3681" t="s">
        <v>572</v>
      </c>
      <c r="E81" s="3681" t="s">
        <v>573</v>
      </c>
      <c r="F81" s="3681" t="s">
        <v>574</v>
      </c>
      <c r="G81" s="3681" t="s">
        <v>575</v>
      </c>
      <c r="H81" s="3642"/>
      <c r="I81" s="3642"/>
      <c r="J81" s="3642"/>
      <c r="K81" s="3643"/>
      <c r="L81" s="3644"/>
      <c r="M81" s="3645"/>
      <c r="N81" s="3636"/>
      <c r="O81" s="3636"/>
      <c r="P81" s="3745"/>
      <c r="Q81" s="3601"/>
      <c r="R81" s="3422"/>
      <c r="S81" s="3422"/>
      <c r="T81" s="3422"/>
      <c r="U81" s="3422"/>
      <c r="V81" s="3422"/>
      <c r="W81" s="3422"/>
      <c r="X81" s="3422"/>
      <c r="Y81" s="3422"/>
      <c r="Z81" s="3422"/>
      <c r="AA81" s="3422"/>
      <c r="AB81" s="3422"/>
      <c r="AC81" s="3422"/>
    </row>
    <row r="82" spans="1:29" ht="15.75" thickBot="1">
      <c r="A82" s="3493"/>
      <c r="B82" s="3646"/>
      <c r="C82" s="3647">
        <v>100</v>
      </c>
      <c r="D82" s="3647">
        <f>C82-$K19</f>
        <v>99</v>
      </c>
      <c r="E82" s="3647">
        <f>D82-$K19</f>
        <v>98</v>
      </c>
      <c r="F82" s="3647">
        <f>E82-$K19</f>
        <v>97</v>
      </c>
      <c r="G82" s="3647">
        <f>F82-$K19</f>
        <v>96</v>
      </c>
      <c r="H82" s="3647"/>
      <c r="I82" s="3647"/>
      <c r="J82" s="3647"/>
      <c r="K82" s="3647"/>
      <c r="L82" s="3647"/>
      <c r="M82" s="3648"/>
      <c r="N82" s="3640"/>
      <c r="O82" s="3640"/>
      <c r="P82" s="3745"/>
      <c r="Q82" s="3601"/>
      <c r="R82" s="3422"/>
      <c r="S82" s="3422"/>
      <c r="T82" s="3422"/>
      <c r="U82" s="3422"/>
      <c r="V82" s="3422"/>
      <c r="W82" s="3422"/>
      <c r="X82" s="3422"/>
      <c r="Y82" s="3422"/>
      <c r="Z82" s="3422"/>
      <c r="AA82" s="3422"/>
      <c r="AB82" s="3422"/>
      <c r="AC82" s="3422"/>
    </row>
    <row r="83" spans="1:29" ht="15.75" thickTop="1">
      <c r="A83" s="3493"/>
      <c r="B83" s="3683" t="s">
        <v>3180</v>
      </c>
      <c r="C83" s="3684" t="s">
        <v>1970</v>
      </c>
      <c r="D83" s="3684" t="s">
        <v>1969</v>
      </c>
      <c r="E83" s="3684" t="s">
        <v>1968</v>
      </c>
      <c r="F83" s="3684" t="s">
        <v>1967</v>
      </c>
      <c r="G83" s="3684" t="s">
        <v>1966</v>
      </c>
      <c r="H83" s="3642"/>
      <c r="I83" s="3642"/>
      <c r="J83" s="3642"/>
      <c r="K83" s="3642"/>
      <c r="L83" s="3642"/>
      <c r="M83" s="3685"/>
      <c r="N83" s="3640"/>
      <c r="O83" s="3640"/>
      <c r="P83" s="3745"/>
      <c r="Q83" s="3601"/>
      <c r="R83" s="3422"/>
      <c r="S83" s="3422"/>
      <c r="T83" s="3422"/>
      <c r="U83" s="3422"/>
      <c r="V83" s="3422"/>
      <c r="W83" s="3422"/>
      <c r="X83" s="3422"/>
      <c r="Y83" s="3422"/>
      <c r="Z83" s="3422"/>
      <c r="AA83" s="3422"/>
      <c r="AB83" s="3422"/>
      <c r="AC83" s="3422"/>
    </row>
    <row r="84" spans="1:29" ht="15.75" thickBot="1">
      <c r="A84" s="3493"/>
      <c r="B84" s="3649"/>
      <c r="C84" s="3647">
        <v>100</v>
      </c>
      <c r="D84" s="3647">
        <f>C84-$K21</f>
        <v>99</v>
      </c>
      <c r="E84" s="3647">
        <f>D84-$K21</f>
        <v>98</v>
      </c>
      <c r="F84" s="3647">
        <f>E84-$K21</f>
        <v>97</v>
      </c>
      <c r="G84" s="3647">
        <f>F84-$K21</f>
        <v>96</v>
      </c>
      <c r="H84" s="3686"/>
      <c r="I84" s="3686"/>
      <c r="J84" s="3686"/>
      <c r="K84" s="3686"/>
      <c r="L84" s="3686"/>
      <c r="M84" s="3498"/>
      <c r="N84" s="3640"/>
      <c r="O84" s="3640"/>
      <c r="P84" s="3745"/>
      <c r="Q84" s="3601"/>
      <c r="R84" s="3422"/>
      <c r="S84" s="3422"/>
      <c r="T84" s="3422"/>
      <c r="U84" s="3422"/>
      <c r="V84" s="3422"/>
      <c r="W84" s="3422"/>
      <c r="X84" s="3422"/>
      <c r="Y84" s="3422"/>
      <c r="Z84" s="3422"/>
      <c r="AA84" s="3422"/>
      <c r="AB84" s="3422"/>
      <c r="AC84" s="3422"/>
    </row>
    <row r="85" spans="1:29" ht="15.75" thickTop="1">
      <c r="A85" s="3493"/>
      <c r="B85" s="3641" t="s">
        <v>776</v>
      </c>
      <c r="C85" s="3681" t="s">
        <v>571</v>
      </c>
      <c r="D85" s="3681" t="s">
        <v>572</v>
      </c>
      <c r="E85" s="3681" t="s">
        <v>573</v>
      </c>
      <c r="F85" s="3681" t="s">
        <v>574</v>
      </c>
      <c r="G85" s="3681" t="s">
        <v>575</v>
      </c>
      <c r="H85" s="3642"/>
      <c r="I85" s="3642"/>
      <c r="J85" s="3642"/>
      <c r="K85" s="3643"/>
      <c r="L85" s="3644"/>
      <c r="M85" s="3645"/>
      <c r="N85" s="3636"/>
      <c r="O85" s="3636"/>
      <c r="P85" s="3745"/>
      <c r="Q85" s="3601"/>
      <c r="R85" s="3422"/>
      <c r="S85" s="3422"/>
      <c r="T85" s="3422"/>
      <c r="U85" s="3422"/>
      <c r="V85" s="3422"/>
      <c r="W85" s="3422"/>
      <c r="X85" s="3422"/>
      <c r="Y85" s="3422"/>
      <c r="Z85" s="3422"/>
      <c r="AA85" s="3422"/>
      <c r="AB85" s="3422"/>
      <c r="AC85" s="3422"/>
    </row>
    <row r="86" spans="1:29" ht="15.75" thickBot="1">
      <c r="A86" s="3493"/>
      <c r="B86" s="3646"/>
      <c r="C86" s="3647">
        <v>100</v>
      </c>
      <c r="D86" s="3647">
        <f>C86-$K23</f>
        <v>99</v>
      </c>
      <c r="E86" s="3647">
        <f>D86-$K23</f>
        <v>98</v>
      </c>
      <c r="F86" s="3647">
        <f>E86-$K23</f>
        <v>97</v>
      </c>
      <c r="G86" s="3647">
        <f>F86-$K23</f>
        <v>96</v>
      </c>
      <c r="H86" s="3647"/>
      <c r="I86" s="3647"/>
      <c r="J86" s="3647"/>
      <c r="K86" s="3647"/>
      <c r="L86" s="3647"/>
      <c r="M86" s="3648"/>
      <c r="N86" s="3640"/>
      <c r="O86" s="3640"/>
      <c r="P86" s="3745"/>
      <c r="Q86" s="3601"/>
      <c r="R86" s="3422"/>
      <c r="S86" s="3422"/>
      <c r="T86" s="3422"/>
      <c r="U86" s="3422"/>
      <c r="V86" s="3422"/>
      <c r="W86" s="3422"/>
      <c r="X86" s="3422"/>
      <c r="Y86" s="3422"/>
      <c r="Z86" s="3422"/>
      <c r="AA86" s="3422"/>
      <c r="AB86" s="3422"/>
      <c r="AC86" s="3422"/>
    </row>
    <row r="87" spans="1:29" s="3442" customFormat="1" ht="27.75" thickTop="1">
      <c r="A87" s="3524"/>
      <c r="B87" s="3641" t="s">
        <v>777</v>
      </c>
      <c r="C87" s="3687" t="s">
        <v>3194</v>
      </c>
      <c r="D87" s="3687" t="s">
        <v>3195</v>
      </c>
      <c r="E87" s="3657"/>
      <c r="F87" s="3657"/>
      <c r="G87" s="3657"/>
      <c r="H87" s="3657"/>
      <c r="I87" s="3657"/>
      <c r="J87" s="3657"/>
      <c r="K87" s="3657"/>
      <c r="L87" s="3688"/>
      <c r="M87" s="3689"/>
      <c r="N87" s="3625"/>
      <c r="O87" s="3625"/>
      <c r="P87" s="3745"/>
      <c r="Q87" s="3601"/>
      <c r="R87" s="3437"/>
      <c r="S87" s="3437"/>
      <c r="T87" s="3437"/>
      <c r="U87" s="3437"/>
      <c r="V87" s="3437"/>
      <c r="W87" s="3437"/>
      <c r="X87" s="3437"/>
      <c r="Y87" s="3437"/>
      <c r="Z87" s="3437"/>
      <c r="AA87" s="3437"/>
      <c r="AB87" s="3437"/>
      <c r="AC87" s="3437"/>
    </row>
    <row r="88" spans="1:29" s="3442" customFormat="1" ht="15.75" thickBot="1">
      <c r="A88" s="3524"/>
      <c r="B88" s="3646"/>
      <c r="C88" s="3690">
        <v>100</v>
      </c>
      <c r="D88" s="3647">
        <f t="shared" ref="D88:M88" si="19">C88-$K25</f>
        <v>98</v>
      </c>
      <c r="E88" s="3647">
        <f t="shared" si="19"/>
        <v>96</v>
      </c>
      <c r="F88" s="3647">
        <f t="shared" si="19"/>
        <v>94</v>
      </c>
      <c r="G88" s="3647">
        <f t="shared" si="19"/>
        <v>92</v>
      </c>
      <c r="H88" s="3647">
        <f t="shared" si="19"/>
        <v>90</v>
      </c>
      <c r="I88" s="3647">
        <f t="shared" si="19"/>
        <v>88</v>
      </c>
      <c r="J88" s="3647">
        <f t="shared" si="19"/>
        <v>86</v>
      </c>
      <c r="K88" s="3647">
        <f t="shared" si="19"/>
        <v>84</v>
      </c>
      <c r="L88" s="3647">
        <f t="shared" si="19"/>
        <v>82</v>
      </c>
      <c r="M88" s="3647">
        <f t="shared" si="19"/>
        <v>80</v>
      </c>
      <c r="N88" s="3640"/>
      <c r="O88" s="3640"/>
      <c r="P88" s="3745"/>
      <c r="Q88" s="3601"/>
      <c r="R88" s="3437"/>
      <c r="S88" s="3437"/>
      <c r="T88" s="3437"/>
      <c r="U88" s="3437"/>
      <c r="V88" s="3437"/>
      <c r="W88" s="3437"/>
      <c r="X88" s="3437"/>
      <c r="Y88" s="3437"/>
      <c r="Z88" s="3437"/>
      <c r="AA88" s="3437"/>
      <c r="AB88" s="3437"/>
      <c r="AC88" s="3437"/>
    </row>
    <row r="89" spans="1:29" s="3442" customFormat="1" ht="15.75" thickTop="1">
      <c r="A89" s="3524"/>
      <c r="B89" s="3641" t="str">
        <f>B27</f>
        <v>楼层</v>
      </c>
      <c r="C89" s="3687" t="s">
        <v>2246</v>
      </c>
      <c r="D89" s="3687" t="s">
        <v>3214</v>
      </c>
      <c r="E89" s="3687" t="s">
        <v>3215</v>
      </c>
      <c r="F89" s="3750" t="s">
        <v>3216</v>
      </c>
      <c r="G89" s="3657"/>
      <c r="H89" s="3657"/>
      <c r="I89" s="3657"/>
      <c r="J89" s="3657"/>
      <c r="K89" s="3657"/>
      <c r="L89" s="3657"/>
      <c r="M89" s="3689"/>
      <c r="N89" s="3625"/>
      <c r="O89" s="3625"/>
      <c r="P89" s="3745"/>
      <c r="Q89" s="3601"/>
      <c r="R89" s="3437"/>
      <c r="S89" s="3437"/>
      <c r="T89" s="3437"/>
      <c r="U89" s="3437"/>
      <c r="V89" s="3437"/>
      <c r="W89" s="3437"/>
      <c r="X89" s="3437"/>
      <c r="Y89" s="3437"/>
      <c r="Z89" s="3437"/>
      <c r="AA89" s="3437"/>
      <c r="AB89" s="3437"/>
      <c r="AC89" s="3437"/>
    </row>
    <row r="90" spans="1:29" s="3442" customFormat="1" ht="15.75" thickBot="1">
      <c r="A90" s="3524"/>
      <c r="B90" s="3646"/>
      <c r="C90" s="3690">
        <v>100</v>
      </c>
      <c r="D90" s="3647">
        <f>C90-$K27</f>
        <v>99</v>
      </c>
      <c r="E90" s="3647">
        <f t="shared" ref="E90:M90" si="20">D90-$K27</f>
        <v>98</v>
      </c>
      <c r="F90" s="3647">
        <f t="shared" si="20"/>
        <v>97</v>
      </c>
      <c r="G90" s="3647">
        <f t="shared" si="20"/>
        <v>96</v>
      </c>
      <c r="H90" s="3647">
        <f t="shared" si="20"/>
        <v>95</v>
      </c>
      <c r="I90" s="3647">
        <f t="shared" si="20"/>
        <v>94</v>
      </c>
      <c r="J90" s="3647">
        <f t="shared" si="20"/>
        <v>93</v>
      </c>
      <c r="K90" s="3647">
        <f t="shared" si="20"/>
        <v>92</v>
      </c>
      <c r="L90" s="3647">
        <f t="shared" si="20"/>
        <v>91</v>
      </c>
      <c r="M90" s="3647">
        <f t="shared" si="20"/>
        <v>90</v>
      </c>
      <c r="N90" s="3640"/>
      <c r="O90" s="3640"/>
      <c r="P90" s="3745"/>
      <c r="Q90" s="3601"/>
      <c r="R90" s="3437"/>
      <c r="S90" s="3437"/>
      <c r="T90" s="3437"/>
      <c r="U90" s="3437"/>
      <c r="V90" s="3437"/>
      <c r="W90" s="3437"/>
      <c r="X90" s="3437"/>
      <c r="Y90" s="3437"/>
      <c r="Z90" s="3437"/>
      <c r="AA90" s="3437"/>
      <c r="AB90" s="3437"/>
      <c r="AC90" s="3437"/>
    </row>
    <row r="91" spans="1:29" s="3544" customFormat="1" ht="15.75" thickTop="1">
      <c r="A91" s="3656"/>
      <c r="B91" s="3641" t="str">
        <f>B28</f>
        <v>朝向</v>
      </c>
      <c r="C91" s="3657"/>
      <c r="D91" s="3657"/>
      <c r="E91" s="3657"/>
      <c r="F91" s="3657"/>
      <c r="G91" s="3657"/>
      <c r="H91" s="3658"/>
      <c r="I91" s="3658"/>
      <c r="J91" s="3658"/>
      <c r="K91" s="3658"/>
      <c r="L91" s="3659"/>
      <c r="M91" s="3660"/>
      <c r="N91" s="3661"/>
      <c r="O91" s="3661"/>
      <c r="P91" s="3746"/>
      <c r="Q91" s="3662"/>
      <c r="R91" s="3537"/>
      <c r="S91" s="3537"/>
      <c r="T91" s="3537"/>
      <c r="U91" s="3537"/>
      <c r="V91" s="3537"/>
      <c r="W91" s="3537"/>
      <c r="X91" s="3537"/>
      <c r="Y91" s="3537"/>
      <c r="Z91" s="3537"/>
      <c r="AA91" s="3537"/>
      <c r="AB91" s="3537"/>
      <c r="AC91" s="3537"/>
    </row>
    <row r="92" spans="1:29" s="3544" customFormat="1" ht="15.75" thickBot="1">
      <c r="A92" s="3656"/>
      <c r="B92" s="3646"/>
      <c r="C92" s="3690">
        <v>100</v>
      </c>
      <c r="D92" s="3647">
        <f t="shared" ref="D92:M92" si="21">C92-$K28</f>
        <v>100</v>
      </c>
      <c r="E92" s="3647">
        <f t="shared" si="21"/>
        <v>100</v>
      </c>
      <c r="F92" s="3647">
        <f t="shared" si="21"/>
        <v>100</v>
      </c>
      <c r="G92" s="3647">
        <f t="shared" si="21"/>
        <v>100</v>
      </c>
      <c r="H92" s="3647">
        <f t="shared" si="21"/>
        <v>100</v>
      </c>
      <c r="I92" s="3647">
        <f t="shared" si="21"/>
        <v>100</v>
      </c>
      <c r="J92" s="3647">
        <f t="shared" si="21"/>
        <v>100</v>
      </c>
      <c r="K92" s="3647">
        <f t="shared" si="21"/>
        <v>100</v>
      </c>
      <c r="L92" s="3647">
        <f t="shared" si="21"/>
        <v>100</v>
      </c>
      <c r="M92" s="3647">
        <f t="shared" si="21"/>
        <v>100</v>
      </c>
      <c r="N92" s="3661"/>
      <c r="O92" s="3661"/>
      <c r="P92" s="3746"/>
      <c r="Q92" s="3662"/>
      <c r="R92" s="3537"/>
      <c r="S92" s="3537"/>
      <c r="T92" s="3537"/>
      <c r="U92" s="3537"/>
      <c r="V92" s="3537"/>
      <c r="W92" s="3537"/>
      <c r="X92" s="3537"/>
      <c r="Y92" s="3537"/>
      <c r="Z92" s="3537"/>
      <c r="AA92" s="3537"/>
      <c r="AB92" s="3537"/>
      <c r="AC92" s="3537"/>
    </row>
    <row r="93" spans="1:29" ht="15.75" thickTop="1">
      <c r="A93" s="3493"/>
      <c r="B93" s="3641">
        <f>B29</f>
        <v>111</v>
      </c>
      <c r="C93" s="3657"/>
      <c r="D93" s="3657"/>
      <c r="E93" s="3657"/>
      <c r="F93" s="3657"/>
      <c r="G93" s="3657"/>
      <c r="H93" s="3657"/>
      <c r="I93" s="3657"/>
      <c r="J93" s="3657"/>
      <c r="K93" s="3657"/>
      <c r="L93" s="3688"/>
      <c r="M93" s="3689"/>
      <c r="N93" s="3636"/>
      <c r="O93" s="3636"/>
      <c r="P93" s="3745"/>
      <c r="Q93" s="3601"/>
      <c r="R93" s="3422"/>
      <c r="S93" s="3422"/>
      <c r="T93" s="3422"/>
      <c r="U93" s="3422"/>
      <c r="V93" s="3422"/>
      <c r="W93" s="3422"/>
      <c r="X93" s="3422"/>
      <c r="Y93" s="3422"/>
      <c r="Z93" s="3422"/>
      <c r="AA93" s="3422"/>
      <c r="AB93" s="3422"/>
      <c r="AC93" s="3422"/>
    </row>
    <row r="94" spans="1:29" ht="15.75" thickBot="1">
      <c r="A94" s="3493"/>
      <c r="B94" s="3646"/>
      <c r="C94" s="3663"/>
      <c r="D94" s="3638"/>
      <c r="E94" s="3638"/>
      <c r="F94" s="3638"/>
      <c r="G94" s="3638"/>
      <c r="H94" s="3638"/>
      <c r="I94" s="3638"/>
      <c r="J94" s="3638"/>
      <c r="K94" s="3638"/>
      <c r="L94" s="3638"/>
      <c r="M94" s="3639"/>
      <c r="N94" s="3640"/>
      <c r="O94" s="3640"/>
      <c r="P94" s="3745"/>
      <c r="Q94" s="3601"/>
      <c r="R94" s="3422"/>
      <c r="S94" s="3422"/>
      <c r="T94" s="3422"/>
      <c r="U94" s="3422"/>
      <c r="V94" s="3422"/>
      <c r="W94" s="3422"/>
      <c r="X94" s="3422"/>
      <c r="Y94" s="3422"/>
      <c r="Z94" s="3422"/>
      <c r="AA94" s="3422"/>
      <c r="AB94" s="3422"/>
      <c r="AC94" s="3422"/>
    </row>
    <row r="95" spans="1:29" ht="15.75" thickTop="1">
      <c r="A95" s="3493"/>
      <c r="B95" s="3641">
        <f>B30</f>
        <v>111</v>
      </c>
      <c r="C95" s="3657"/>
      <c r="D95" s="3657"/>
      <c r="E95" s="3657"/>
      <c r="F95" s="3657"/>
      <c r="G95" s="3692"/>
      <c r="H95" s="3692"/>
      <c r="I95" s="3692"/>
      <c r="J95" s="3692"/>
      <c r="K95" s="3693"/>
      <c r="L95" s="3694"/>
      <c r="M95" s="3695"/>
      <c r="N95" s="3636"/>
      <c r="O95" s="3636"/>
      <c r="P95" s="3745"/>
      <c r="Q95" s="3601"/>
      <c r="R95" s="3422"/>
      <c r="S95" s="3422"/>
      <c r="T95" s="3422"/>
      <c r="U95" s="3422"/>
      <c r="V95" s="3422"/>
      <c r="W95" s="3422"/>
      <c r="X95" s="3422"/>
      <c r="Y95" s="3422"/>
      <c r="Z95" s="3422"/>
      <c r="AA95" s="3422"/>
      <c r="AB95" s="3422"/>
      <c r="AC95" s="3422"/>
    </row>
    <row r="96" spans="1:29" ht="15.75" thickBot="1">
      <c r="A96" s="3493"/>
      <c r="B96" s="3646"/>
      <c r="C96" s="3663"/>
      <c r="D96" s="3663"/>
      <c r="E96" s="3663"/>
      <c r="F96" s="3663"/>
      <c r="G96" s="3638"/>
      <c r="H96" s="3638"/>
      <c r="I96" s="3638"/>
      <c r="J96" s="3638"/>
      <c r="K96" s="3638"/>
      <c r="L96" s="3638"/>
      <c r="M96" s="3639"/>
      <c r="N96" s="3640"/>
      <c r="O96" s="3640"/>
      <c r="P96" s="3745"/>
      <c r="Q96" s="3601"/>
      <c r="R96" s="3422"/>
      <c r="S96" s="3422"/>
      <c r="T96" s="3422"/>
      <c r="U96" s="3422"/>
      <c r="V96" s="3422"/>
      <c r="W96" s="3422"/>
      <c r="X96" s="3422"/>
      <c r="Y96" s="3422"/>
      <c r="Z96" s="3422"/>
      <c r="AA96" s="3422"/>
      <c r="AB96" s="3422"/>
      <c r="AC96" s="3422"/>
    </row>
    <row r="97" spans="1:29" ht="15.75" thickTop="1">
      <c r="A97" s="3493"/>
      <c r="B97" s="3641">
        <f>B31</f>
        <v>111</v>
      </c>
      <c r="C97" s="3657"/>
      <c r="D97" s="3657"/>
      <c r="E97" s="3657"/>
      <c r="F97" s="3657"/>
      <c r="G97" s="3692"/>
      <c r="H97" s="3692"/>
      <c r="I97" s="3692"/>
      <c r="J97" s="3692"/>
      <c r="K97" s="3693"/>
      <c r="L97" s="3694"/>
      <c r="M97" s="3695"/>
      <c r="N97" s="3636"/>
      <c r="O97" s="3636"/>
      <c r="P97" s="3745"/>
      <c r="Q97" s="3601"/>
      <c r="R97" s="3422"/>
      <c r="S97" s="3422"/>
      <c r="T97" s="3422"/>
      <c r="U97" s="3422"/>
      <c r="V97" s="3422"/>
      <c r="W97" s="3422"/>
      <c r="X97" s="3422"/>
      <c r="Y97" s="3422"/>
      <c r="Z97" s="3422"/>
      <c r="AA97" s="3422"/>
      <c r="AB97" s="3422"/>
      <c r="AC97" s="3422"/>
    </row>
    <row r="98" spans="1:29" ht="15.75" thickBot="1">
      <c r="A98" s="3493"/>
      <c r="B98" s="3646"/>
      <c r="C98" s="3663"/>
      <c r="D98" s="3638"/>
      <c r="E98" s="3638"/>
      <c r="F98" s="3638"/>
      <c r="G98" s="3638"/>
      <c r="H98" s="3638"/>
      <c r="I98" s="3638"/>
      <c r="J98" s="3638"/>
      <c r="K98" s="3638"/>
      <c r="L98" s="3638"/>
      <c r="M98" s="3639"/>
      <c r="N98" s="3640"/>
      <c r="O98" s="3640"/>
      <c r="P98" s="3745"/>
      <c r="Q98" s="3601"/>
      <c r="R98" s="3422"/>
      <c r="S98" s="3422"/>
      <c r="T98" s="3422"/>
      <c r="U98" s="3422"/>
      <c r="V98" s="3422"/>
      <c r="W98" s="3422"/>
      <c r="X98" s="3422"/>
      <c r="Y98" s="3422"/>
      <c r="Z98" s="3422"/>
      <c r="AA98" s="3422"/>
      <c r="AB98" s="3422"/>
      <c r="AC98" s="3422"/>
    </row>
    <row r="99" spans="1:29" ht="15.75" thickTop="1">
      <c r="A99" s="3493"/>
      <c r="B99" s="3649">
        <f>B32</f>
        <v>111</v>
      </c>
      <c r="C99" s="3622"/>
      <c r="D99" s="3622"/>
      <c r="E99" s="3622"/>
      <c r="F99" s="3622"/>
      <c r="G99" s="3696"/>
      <c r="H99" s="3696"/>
      <c r="I99" s="3696"/>
      <c r="J99" s="3696"/>
      <c r="K99" s="3697"/>
      <c r="L99" s="3698"/>
      <c r="M99" s="3699"/>
      <c r="N99" s="3636"/>
      <c r="O99" s="3636"/>
      <c r="P99" s="3745"/>
      <c r="Q99" s="3601"/>
      <c r="R99" s="3422"/>
      <c r="S99" s="3422"/>
      <c r="T99" s="3422"/>
      <c r="U99" s="3422"/>
      <c r="V99" s="3422"/>
      <c r="W99" s="3422"/>
      <c r="X99" s="3422"/>
      <c r="Y99" s="3422"/>
      <c r="Z99" s="3422"/>
      <c r="AA99" s="3422"/>
      <c r="AB99" s="3422"/>
      <c r="AC99" s="3422"/>
    </row>
    <row r="100" spans="1:29" ht="15.75" thickBot="1">
      <c r="A100" s="3529"/>
      <c r="B100" s="3672"/>
      <c r="C100" s="3673"/>
      <c r="D100" s="3673"/>
      <c r="E100" s="3673"/>
      <c r="F100" s="3673"/>
      <c r="G100" s="3700"/>
      <c r="H100" s="3700"/>
      <c r="I100" s="3700"/>
      <c r="J100" s="3700"/>
      <c r="K100" s="3700"/>
      <c r="L100" s="3700"/>
      <c r="M100" s="3701"/>
      <c r="N100" s="3640"/>
      <c r="O100" s="3640"/>
      <c r="P100" s="3745"/>
      <c r="Q100" s="3601"/>
      <c r="R100" s="3422"/>
      <c r="S100" s="3422"/>
      <c r="T100" s="3422"/>
      <c r="U100" s="3422"/>
      <c r="V100" s="3422"/>
      <c r="W100" s="3422"/>
      <c r="X100" s="3422"/>
      <c r="Y100" s="3422"/>
      <c r="Z100" s="3422"/>
      <c r="AA100" s="3422"/>
      <c r="AB100" s="3422"/>
      <c r="AC100" s="3422"/>
    </row>
    <row r="101" spans="1:29">
      <c r="A101" s="3629" t="s">
        <v>543</v>
      </c>
      <c r="B101" s="3630" t="s">
        <v>739</v>
      </c>
      <c r="C101" s="3632"/>
      <c r="D101" s="3632"/>
      <c r="E101" s="3632"/>
      <c r="F101" s="3632"/>
      <c r="G101" s="3632"/>
      <c r="H101" s="3632"/>
      <c r="I101" s="3632"/>
      <c r="J101" s="3632"/>
      <c r="K101" s="3633"/>
      <c r="L101" s="3634"/>
      <c r="M101" s="3635"/>
      <c r="N101" s="3636"/>
      <c r="O101" s="3636"/>
      <c r="P101" s="3745"/>
      <c r="Q101" s="3601"/>
      <c r="R101" s="3422"/>
      <c r="S101" s="3422"/>
      <c r="T101" s="3422"/>
      <c r="U101" s="3422"/>
      <c r="V101" s="3422"/>
      <c r="W101" s="3422"/>
      <c r="X101" s="3422"/>
      <c r="Y101" s="3422"/>
      <c r="Z101" s="3422"/>
      <c r="AA101" s="3422"/>
      <c r="AB101" s="3422"/>
      <c r="AC101" s="3422"/>
    </row>
    <row r="102" spans="1:29" ht="15.75" thickBot="1">
      <c r="A102" s="3493"/>
      <c r="B102" s="3646"/>
      <c r="C102" s="3647">
        <v>100</v>
      </c>
      <c r="D102" s="3647">
        <f t="shared" ref="D102:M102" si="22">C102-$K33</f>
        <v>100</v>
      </c>
      <c r="E102" s="3647">
        <f t="shared" si="22"/>
        <v>100</v>
      </c>
      <c r="F102" s="3647">
        <f t="shared" si="22"/>
        <v>100</v>
      </c>
      <c r="G102" s="3647">
        <f t="shared" si="22"/>
        <v>100</v>
      </c>
      <c r="H102" s="3647">
        <f t="shared" si="22"/>
        <v>100</v>
      </c>
      <c r="I102" s="3647">
        <f t="shared" si="22"/>
        <v>100</v>
      </c>
      <c r="J102" s="3647">
        <f t="shared" si="22"/>
        <v>100</v>
      </c>
      <c r="K102" s="3647">
        <f t="shared" si="22"/>
        <v>100</v>
      </c>
      <c r="L102" s="3647">
        <f t="shared" si="22"/>
        <v>100</v>
      </c>
      <c r="M102" s="3648">
        <f t="shared" si="22"/>
        <v>100</v>
      </c>
      <c r="N102" s="3640"/>
      <c r="O102" s="3640"/>
      <c r="P102" s="3745"/>
      <c r="Q102" s="3601"/>
      <c r="R102" s="3422"/>
      <c r="S102" s="3422"/>
      <c r="T102" s="3422"/>
      <c r="U102" s="3422"/>
      <c r="V102" s="3422"/>
      <c r="W102" s="3422"/>
      <c r="X102" s="3422"/>
      <c r="Y102" s="3422"/>
      <c r="Z102" s="3422"/>
      <c r="AA102" s="3422"/>
      <c r="AB102" s="3422"/>
      <c r="AC102" s="3422"/>
    </row>
    <row r="103" spans="1:29" ht="29.25" thickTop="1">
      <c r="A103" s="3493"/>
      <c r="B103" s="3641" t="s">
        <v>740</v>
      </c>
      <c r="C103" s="3681" t="str">
        <f>C104&amp;"(含)"&amp;"-"&amp;D104</f>
        <v>0(含)-500</v>
      </c>
      <c r="D103" s="3681" t="str">
        <f t="shared" ref="D103:L103" si="23">D104&amp;"(含)"&amp;"-"&amp;E104</f>
        <v>500(含)-5000</v>
      </c>
      <c r="E103" s="3681" t="str">
        <f t="shared" si="23"/>
        <v>5000(含)-10000</v>
      </c>
      <c r="F103" s="3681" t="str">
        <f t="shared" si="23"/>
        <v>10000(含)-50000</v>
      </c>
      <c r="G103" s="3681" t="str">
        <f t="shared" si="23"/>
        <v>50000(含)-</v>
      </c>
      <c r="H103" s="3681" t="str">
        <f t="shared" si="23"/>
        <v>(含)-</v>
      </c>
      <c r="I103" s="3681" t="str">
        <f t="shared" si="23"/>
        <v>(含)-</v>
      </c>
      <c r="J103" s="3681" t="str">
        <f t="shared" si="23"/>
        <v>(含)-</v>
      </c>
      <c r="K103" s="3681" t="str">
        <f t="shared" si="23"/>
        <v>(含)-</v>
      </c>
      <c r="L103" s="3681" t="str">
        <f t="shared" si="23"/>
        <v>(含)-</v>
      </c>
      <c r="M103" s="3703" t="str">
        <f>M104&amp;"(含)"&amp;"-"&amp;P104</f>
        <v>(含)-</v>
      </c>
      <c r="N103" s="3625"/>
      <c r="O103" s="3625"/>
      <c r="P103" s="3745"/>
      <c r="Q103" s="3601"/>
      <c r="R103" s="3422"/>
      <c r="S103" s="3422"/>
      <c r="T103" s="3422"/>
      <c r="U103" s="3422"/>
      <c r="V103" s="3422"/>
      <c r="W103" s="3422"/>
      <c r="X103" s="3422"/>
      <c r="Y103" s="3422"/>
      <c r="Z103" s="3422"/>
      <c r="AA103" s="3422"/>
      <c r="AB103" s="3422"/>
      <c r="AC103" s="3422"/>
    </row>
    <row r="104" spans="1:29" s="3544" customFormat="1">
      <c r="A104" s="3535"/>
      <c r="B104" s="3704"/>
      <c r="C104" s="3705">
        <v>0</v>
      </c>
      <c r="D104" s="3705">
        <v>500</v>
      </c>
      <c r="E104" s="3705">
        <v>5000</v>
      </c>
      <c r="F104" s="3705">
        <v>10000</v>
      </c>
      <c r="G104" s="3705">
        <v>50000</v>
      </c>
      <c r="H104" s="3705"/>
      <c r="I104" s="3705"/>
      <c r="J104" s="3706"/>
      <c r="K104" s="3706"/>
      <c r="L104" s="3707"/>
      <c r="M104" s="3708"/>
      <c r="N104" s="3661"/>
      <c r="O104" s="3661"/>
      <c r="P104" s="3746"/>
      <c r="Q104" s="3662"/>
      <c r="R104" s="3537"/>
      <c r="S104" s="3537"/>
      <c r="T104" s="3537"/>
      <c r="U104" s="3537"/>
      <c r="V104" s="3537"/>
      <c r="W104" s="3537"/>
      <c r="X104" s="3537"/>
      <c r="Y104" s="3537"/>
      <c r="Z104" s="3537"/>
      <c r="AA104" s="3537"/>
      <c r="AB104" s="3537"/>
      <c r="AC104" s="3537"/>
    </row>
    <row r="105" spans="1:29" s="3544" customFormat="1" ht="15.75" thickBot="1">
      <c r="A105" s="3656"/>
      <c r="B105" s="3646"/>
      <c r="C105" s="3663">
        <v>100</v>
      </c>
      <c r="D105" s="3638">
        <v>101</v>
      </c>
      <c r="E105" s="3638">
        <v>100</v>
      </c>
      <c r="F105" s="3638">
        <v>99</v>
      </c>
      <c r="G105" s="3638">
        <v>98</v>
      </c>
      <c r="H105" s="3638">
        <v>97</v>
      </c>
      <c r="I105" s="3638">
        <v>96</v>
      </c>
      <c r="J105" s="3638"/>
      <c r="K105" s="3638"/>
      <c r="L105" s="3638"/>
      <c r="M105" s="3639"/>
      <c r="N105" s="3640"/>
      <c r="O105" s="3640"/>
      <c r="P105" s="3746"/>
      <c r="Q105" s="3662"/>
      <c r="R105" s="3537"/>
      <c r="S105" s="3537"/>
      <c r="T105" s="3537"/>
      <c r="U105" s="3537"/>
      <c r="V105" s="3537"/>
      <c r="W105" s="3537"/>
      <c r="X105" s="3537"/>
      <c r="Y105" s="3537"/>
      <c r="Z105" s="3537"/>
      <c r="AA105" s="3537"/>
      <c r="AB105" s="3537"/>
      <c r="AC105" s="3537"/>
    </row>
    <row r="106" spans="1:29" ht="15" thickTop="1">
      <c r="A106" s="3545"/>
      <c r="B106" s="3641" t="s">
        <v>741</v>
      </c>
      <c r="C106" s="3657"/>
      <c r="D106" s="3657"/>
      <c r="E106" s="3692"/>
      <c r="F106" s="3692"/>
      <c r="G106" s="3692"/>
      <c r="H106" s="3692"/>
      <c r="I106" s="3692"/>
      <c r="J106" s="3692"/>
      <c r="K106" s="3693"/>
      <c r="L106" s="3694"/>
      <c r="M106" s="3695"/>
      <c r="N106" s="3636"/>
      <c r="O106" s="3636"/>
      <c r="P106" s="3745"/>
      <c r="Q106" s="3601"/>
      <c r="R106" s="3422"/>
      <c r="S106" s="3422"/>
      <c r="T106" s="3422"/>
      <c r="U106" s="3422"/>
      <c r="V106" s="3422"/>
      <c r="W106" s="3422"/>
      <c r="X106" s="3422"/>
      <c r="Y106" s="3422"/>
      <c r="Z106" s="3422"/>
      <c r="AA106" s="3422"/>
      <c r="AB106" s="3422"/>
      <c r="AC106" s="3422"/>
    </row>
    <row r="107" spans="1:29" ht="15.75" thickBot="1">
      <c r="A107" s="3493"/>
      <c r="B107" s="3646"/>
      <c r="C107" s="3647">
        <v>100</v>
      </c>
      <c r="D107" s="3647">
        <f t="shared" ref="D107:M107" si="24">C107-$K35</f>
        <v>100</v>
      </c>
      <c r="E107" s="3647">
        <f t="shared" si="24"/>
        <v>100</v>
      </c>
      <c r="F107" s="3647">
        <f t="shared" si="24"/>
        <v>100</v>
      </c>
      <c r="G107" s="3647">
        <f t="shared" si="24"/>
        <v>100</v>
      </c>
      <c r="H107" s="3647">
        <f t="shared" si="24"/>
        <v>100</v>
      </c>
      <c r="I107" s="3647">
        <f t="shared" si="24"/>
        <v>100</v>
      </c>
      <c r="J107" s="3647">
        <f t="shared" si="24"/>
        <v>100</v>
      </c>
      <c r="K107" s="3647">
        <f t="shared" si="24"/>
        <v>100</v>
      </c>
      <c r="L107" s="3647">
        <f t="shared" si="24"/>
        <v>100</v>
      </c>
      <c r="M107" s="3648">
        <f t="shared" si="24"/>
        <v>100</v>
      </c>
      <c r="N107" s="3640"/>
      <c r="O107" s="3640"/>
      <c r="P107" s="3745"/>
      <c r="Q107" s="3601"/>
      <c r="R107" s="3422"/>
      <c r="S107" s="3422"/>
      <c r="T107" s="3422"/>
      <c r="U107" s="3422"/>
      <c r="V107" s="3422"/>
      <c r="W107" s="3422"/>
      <c r="X107" s="3422"/>
      <c r="Y107" s="3422"/>
      <c r="Z107" s="3422"/>
      <c r="AA107" s="3422"/>
      <c r="AB107" s="3422"/>
      <c r="AC107" s="3422"/>
    </row>
    <row r="108" spans="1:29" ht="15" thickTop="1">
      <c r="A108" s="3545"/>
      <c r="B108" s="3641" t="s">
        <v>743</v>
      </c>
      <c r="C108" s="3657"/>
      <c r="D108" s="3657"/>
      <c r="E108" s="3657"/>
      <c r="F108" s="3692"/>
      <c r="G108" s="3692"/>
      <c r="H108" s="3692"/>
      <c r="I108" s="3692"/>
      <c r="J108" s="3692"/>
      <c r="K108" s="3693"/>
      <c r="L108" s="3694"/>
      <c r="M108" s="3695"/>
      <c r="N108" s="3636"/>
      <c r="O108" s="3636"/>
      <c r="P108" s="3745"/>
      <c r="Q108" s="3601"/>
      <c r="R108" s="3422"/>
      <c r="S108" s="3422"/>
      <c r="T108" s="3422"/>
      <c r="U108" s="3422"/>
      <c r="V108" s="3422"/>
      <c r="W108" s="3422"/>
      <c r="X108" s="3422"/>
      <c r="Y108" s="3422"/>
      <c r="Z108" s="3422"/>
      <c r="AA108" s="3422"/>
      <c r="AB108" s="3422"/>
      <c r="AC108" s="3422"/>
    </row>
    <row r="109" spans="1:29" ht="15.75" thickBot="1">
      <c r="A109" s="3493"/>
      <c r="B109" s="3646"/>
      <c r="C109" s="3647">
        <v>100</v>
      </c>
      <c r="D109" s="3647">
        <f t="shared" ref="D109:M109" si="25">C109-$K36</f>
        <v>100</v>
      </c>
      <c r="E109" s="3647">
        <f t="shared" si="25"/>
        <v>100</v>
      </c>
      <c r="F109" s="3647">
        <f t="shared" si="25"/>
        <v>100</v>
      </c>
      <c r="G109" s="3647">
        <f t="shared" si="25"/>
        <v>100</v>
      </c>
      <c r="H109" s="3647">
        <f t="shared" si="25"/>
        <v>100</v>
      </c>
      <c r="I109" s="3647">
        <f t="shared" si="25"/>
        <v>100</v>
      </c>
      <c r="J109" s="3647">
        <f t="shared" si="25"/>
        <v>100</v>
      </c>
      <c r="K109" s="3647">
        <f t="shared" si="25"/>
        <v>100</v>
      </c>
      <c r="L109" s="3647">
        <f t="shared" si="25"/>
        <v>100</v>
      </c>
      <c r="M109" s="3648">
        <f t="shared" si="25"/>
        <v>100</v>
      </c>
      <c r="N109" s="3640"/>
      <c r="O109" s="3640"/>
      <c r="P109" s="3745"/>
      <c r="Q109" s="3601"/>
      <c r="R109" s="3422"/>
      <c r="S109" s="3422"/>
      <c r="T109" s="3422"/>
      <c r="U109" s="3422"/>
      <c r="V109" s="3422"/>
      <c r="W109" s="3422"/>
      <c r="X109" s="3422"/>
      <c r="Y109" s="3422"/>
      <c r="Z109" s="3422"/>
      <c r="AA109" s="3422"/>
      <c r="AB109" s="3422"/>
      <c r="AC109" s="3422"/>
    </row>
    <row r="110" spans="1:29" ht="15" thickTop="1">
      <c r="A110" s="3545"/>
      <c r="B110" s="3641" t="s">
        <v>744</v>
      </c>
      <c r="C110" s="3681" t="str">
        <f>C111&amp;"(含)"&amp;"-"&amp;D111</f>
        <v>0.5(含)-0.6</v>
      </c>
      <c r="D110" s="3681" t="str">
        <f>D111&amp;"(含)"&amp;"-"&amp;E111</f>
        <v>0.6(含)-0.7</v>
      </c>
      <c r="E110" s="3681" t="str">
        <f>E111&amp;"(含)"&amp;"-"&amp;F111</f>
        <v>0.7(含)-0.8</v>
      </c>
      <c r="F110" s="3681" t="str">
        <f>F111&amp;"(含)"&amp;"-"&amp;G111</f>
        <v>0.8(含)-0.9</v>
      </c>
      <c r="G110" s="3681" t="str">
        <f>G111&amp;"(含)"&amp;"-"&amp;ROUND(H111,0)</f>
        <v>0.9(含)-1</v>
      </c>
      <c r="H110" s="3681"/>
      <c r="I110" s="3692"/>
      <c r="J110" s="3692"/>
      <c r="K110" s="3693"/>
      <c r="L110" s="3694"/>
      <c r="M110" s="3695"/>
      <c r="N110" s="3636"/>
      <c r="O110" s="3636"/>
      <c r="P110" s="3745"/>
      <c r="Q110" s="3601"/>
      <c r="R110" s="3422"/>
      <c r="S110" s="3422"/>
      <c r="T110" s="3422"/>
      <c r="U110" s="3422"/>
      <c r="V110" s="3422"/>
      <c r="W110" s="3422"/>
      <c r="X110" s="3422"/>
      <c r="Y110" s="3422"/>
      <c r="Z110" s="3422"/>
      <c r="AA110" s="3422"/>
      <c r="AB110" s="3422"/>
      <c r="AC110" s="3422"/>
    </row>
    <row r="111" spans="1:29">
      <c r="A111" s="3545"/>
      <c r="B111" s="3649"/>
      <c r="C111" s="3453">
        <v>0.5</v>
      </c>
      <c r="D111" s="3453">
        <v>0.6</v>
      </c>
      <c r="E111" s="3453">
        <v>0.7</v>
      </c>
      <c r="F111" s="3453">
        <v>0.8</v>
      </c>
      <c r="G111" s="3453">
        <v>0.9</v>
      </c>
      <c r="H111" s="3453">
        <v>1.0001</v>
      </c>
      <c r="I111" s="3709"/>
      <c r="J111" s="3709"/>
      <c r="K111" s="3710"/>
      <c r="L111" s="3711"/>
      <c r="M111" s="3712"/>
      <c r="N111" s="3636"/>
      <c r="O111" s="3636"/>
      <c r="P111" s="3745"/>
      <c r="Q111" s="3601"/>
      <c r="R111" s="3422"/>
      <c r="S111" s="3422"/>
      <c r="T111" s="3422"/>
      <c r="U111" s="3422"/>
      <c r="V111" s="3422"/>
      <c r="W111" s="3422"/>
      <c r="X111" s="3422"/>
      <c r="Y111" s="3422"/>
      <c r="Z111" s="3422"/>
      <c r="AA111" s="3422"/>
      <c r="AB111" s="3422"/>
      <c r="AC111" s="3422"/>
    </row>
    <row r="112" spans="1:29" ht="15.75" thickBot="1">
      <c r="A112" s="3493"/>
      <c r="B112" s="3646"/>
      <c r="C112" s="3690">
        <v>100</v>
      </c>
      <c r="D112" s="3647">
        <f>C112+$K37</f>
        <v>102</v>
      </c>
      <c r="E112" s="3647">
        <f t="shared" ref="E112:M112" si="26">D112+$K37</f>
        <v>104</v>
      </c>
      <c r="F112" s="3647">
        <f t="shared" si="26"/>
        <v>106</v>
      </c>
      <c r="G112" s="3647">
        <f t="shared" si="26"/>
        <v>108</v>
      </c>
      <c r="H112" s="3647">
        <f t="shared" si="26"/>
        <v>110</v>
      </c>
      <c r="I112" s="3647">
        <f t="shared" si="26"/>
        <v>112</v>
      </c>
      <c r="J112" s="3647">
        <f t="shared" si="26"/>
        <v>114</v>
      </c>
      <c r="K112" s="3647">
        <f t="shared" si="26"/>
        <v>116</v>
      </c>
      <c r="L112" s="3647">
        <f t="shared" si="26"/>
        <v>118</v>
      </c>
      <c r="M112" s="3647">
        <f t="shared" si="26"/>
        <v>120</v>
      </c>
      <c r="N112" s="3640"/>
      <c r="O112" s="3640"/>
      <c r="P112" s="3745"/>
      <c r="Q112" s="3601"/>
      <c r="R112" s="3422"/>
      <c r="S112" s="3422"/>
      <c r="T112" s="3422"/>
      <c r="U112" s="3422"/>
      <c r="V112" s="3422"/>
      <c r="W112" s="3422"/>
      <c r="X112" s="3422"/>
      <c r="Y112" s="3422"/>
      <c r="Z112" s="3422"/>
      <c r="AA112" s="3422"/>
      <c r="AB112" s="3422"/>
      <c r="AC112" s="3422"/>
    </row>
    <row r="113" spans="1:29" s="3544" customFormat="1" ht="15" thickTop="1">
      <c r="A113" s="3535"/>
      <c r="B113" s="3641" t="s">
        <v>778</v>
      </c>
      <c r="C113" s="3657"/>
      <c r="D113" s="3657"/>
      <c r="E113" s="3657"/>
      <c r="F113" s="3657"/>
      <c r="G113" s="3657"/>
      <c r="H113" s="3692"/>
      <c r="I113" s="3692"/>
      <c r="J113" s="3692"/>
      <c r="K113" s="3693"/>
      <c r="L113" s="3694"/>
      <c r="M113" s="3695"/>
      <c r="N113" s="3661"/>
      <c r="O113" s="3661"/>
      <c r="P113" s="3746"/>
      <c r="Q113" s="3662"/>
      <c r="R113" s="3537"/>
      <c r="S113" s="3537"/>
      <c r="T113" s="3537"/>
      <c r="U113" s="3537"/>
      <c r="V113" s="3537"/>
      <c r="W113" s="3537"/>
      <c r="X113" s="3537"/>
      <c r="Y113" s="3537"/>
      <c r="Z113" s="3537"/>
      <c r="AA113" s="3537"/>
      <c r="AB113" s="3537"/>
      <c r="AC113" s="3537"/>
    </row>
    <row r="114" spans="1:29" s="3544" customFormat="1" ht="15.75" thickBot="1">
      <c r="A114" s="3656"/>
      <c r="B114" s="3646"/>
      <c r="C114" s="3647">
        <v>100</v>
      </c>
      <c r="D114" s="3647">
        <f>C114-$K38</f>
        <v>100</v>
      </c>
      <c r="E114" s="3647">
        <f t="shared" ref="E114:M114" si="27">D114-$K38</f>
        <v>100</v>
      </c>
      <c r="F114" s="3647">
        <f t="shared" si="27"/>
        <v>100</v>
      </c>
      <c r="G114" s="3647">
        <f t="shared" si="27"/>
        <v>100</v>
      </c>
      <c r="H114" s="3647">
        <f t="shared" si="27"/>
        <v>100</v>
      </c>
      <c r="I114" s="3647">
        <f t="shared" si="27"/>
        <v>100</v>
      </c>
      <c r="J114" s="3647">
        <f t="shared" si="27"/>
        <v>100</v>
      </c>
      <c r="K114" s="3647">
        <f t="shared" si="27"/>
        <v>100</v>
      </c>
      <c r="L114" s="3647">
        <f t="shared" si="27"/>
        <v>100</v>
      </c>
      <c r="M114" s="3647">
        <f t="shared" si="27"/>
        <v>100</v>
      </c>
      <c r="N114" s="3661"/>
      <c r="O114" s="3661"/>
      <c r="P114" s="3746"/>
      <c r="Q114" s="3662"/>
      <c r="R114" s="3537"/>
      <c r="S114" s="3537"/>
      <c r="T114" s="3537"/>
      <c r="U114" s="3537"/>
      <c r="V114" s="3537"/>
      <c r="W114" s="3537"/>
      <c r="X114" s="3537"/>
      <c r="Y114" s="3537"/>
      <c r="Z114" s="3537"/>
      <c r="AA114" s="3537"/>
      <c r="AB114" s="3537"/>
      <c r="AC114" s="3537"/>
    </row>
    <row r="115" spans="1:29" ht="15" thickTop="1">
      <c r="A115" s="3545"/>
      <c r="B115" s="3641" t="s">
        <v>745</v>
      </c>
      <c r="C115" s="3657"/>
      <c r="D115" s="3657"/>
      <c r="E115" s="3692"/>
      <c r="F115" s="3692"/>
      <c r="G115" s="3692"/>
      <c r="H115" s="3692"/>
      <c r="I115" s="3692"/>
      <c r="J115" s="3692"/>
      <c r="K115" s="3693"/>
      <c r="L115" s="3694"/>
      <c r="M115" s="3695"/>
      <c r="N115" s="3636"/>
      <c r="O115" s="3636"/>
      <c r="P115" s="3745"/>
      <c r="Q115" s="3601"/>
      <c r="R115" s="3422"/>
      <c r="S115" s="3422"/>
      <c r="T115" s="3422"/>
      <c r="U115" s="3422"/>
      <c r="V115" s="3422"/>
      <c r="W115" s="3422"/>
      <c r="X115" s="3422"/>
      <c r="Y115" s="3422"/>
      <c r="Z115" s="3422"/>
      <c r="AA115" s="3422"/>
      <c r="AB115" s="3422"/>
      <c r="AC115" s="3422"/>
    </row>
    <row r="116" spans="1:29" ht="15.75" thickBot="1">
      <c r="A116" s="3493"/>
      <c r="B116" s="3646"/>
      <c r="C116" s="3647">
        <v>100</v>
      </c>
      <c r="D116" s="3647">
        <f t="shared" ref="D116:M116" si="28">C116-$K39</f>
        <v>100</v>
      </c>
      <c r="E116" s="3647">
        <f t="shared" si="28"/>
        <v>100</v>
      </c>
      <c r="F116" s="3647">
        <f t="shared" si="28"/>
        <v>100</v>
      </c>
      <c r="G116" s="3647">
        <f t="shared" si="28"/>
        <v>100</v>
      </c>
      <c r="H116" s="3647">
        <f t="shared" si="28"/>
        <v>100</v>
      </c>
      <c r="I116" s="3647">
        <f t="shared" si="28"/>
        <v>100</v>
      </c>
      <c r="J116" s="3647">
        <f t="shared" si="28"/>
        <v>100</v>
      </c>
      <c r="K116" s="3647">
        <f t="shared" si="28"/>
        <v>100</v>
      </c>
      <c r="L116" s="3647">
        <f t="shared" si="28"/>
        <v>100</v>
      </c>
      <c r="M116" s="3648">
        <f t="shared" si="28"/>
        <v>100</v>
      </c>
      <c r="N116" s="3640"/>
      <c r="O116" s="3640"/>
      <c r="P116" s="3745"/>
      <c r="Q116" s="3601"/>
      <c r="R116" s="3422"/>
      <c r="S116" s="3422"/>
      <c r="T116" s="3422"/>
      <c r="U116" s="3422"/>
      <c r="V116" s="3422"/>
      <c r="W116" s="3422"/>
      <c r="X116" s="3422"/>
      <c r="Y116" s="3422"/>
      <c r="Z116" s="3422"/>
      <c r="AA116" s="3422"/>
      <c r="AB116" s="3422"/>
      <c r="AC116" s="3422"/>
    </row>
    <row r="117" spans="1:29" ht="15" thickTop="1">
      <c r="A117" s="3545"/>
      <c r="B117" s="3682" t="s">
        <v>2535</v>
      </c>
      <c r="C117" s="3657"/>
      <c r="D117" s="3657"/>
      <c r="E117" s="3657"/>
      <c r="F117" s="3657"/>
      <c r="G117" s="3657"/>
      <c r="H117" s="3692"/>
      <c r="I117" s="3692"/>
      <c r="J117" s="3692"/>
      <c r="K117" s="3693"/>
      <c r="L117" s="3694"/>
      <c r="M117" s="3695"/>
      <c r="N117" s="3636"/>
      <c r="O117" s="3636"/>
      <c r="P117" s="3745"/>
      <c r="Q117" s="3601"/>
      <c r="R117" s="3422"/>
      <c r="S117" s="3422"/>
      <c r="T117" s="3422"/>
      <c r="U117" s="3422"/>
      <c r="V117" s="3422"/>
      <c r="W117" s="3422"/>
      <c r="X117" s="3422"/>
      <c r="Y117" s="3422"/>
      <c r="Z117" s="3422"/>
      <c r="AA117" s="3422"/>
      <c r="AB117" s="3422"/>
      <c r="AC117" s="3422"/>
    </row>
    <row r="118" spans="1:29" ht="15.75" thickBot="1">
      <c r="A118" s="3493"/>
      <c r="B118" s="3646"/>
      <c r="C118" s="3647">
        <v>100</v>
      </c>
      <c r="D118" s="3647">
        <f>C118-$K40</f>
        <v>100</v>
      </c>
      <c r="E118" s="3647">
        <f>D118-$K40</f>
        <v>100</v>
      </c>
      <c r="F118" s="3647">
        <f>E118-$K40</f>
        <v>100</v>
      </c>
      <c r="G118" s="3647">
        <f>F118-$K40</f>
        <v>100</v>
      </c>
      <c r="H118" s="3647"/>
      <c r="I118" s="3647"/>
      <c r="J118" s="3647"/>
      <c r="K118" s="3647"/>
      <c r="L118" s="3647"/>
      <c r="M118" s="3648"/>
      <c r="N118" s="3640"/>
      <c r="O118" s="3640"/>
      <c r="P118" s="3745"/>
      <c r="Q118" s="3601"/>
      <c r="R118" s="3422"/>
      <c r="S118" s="3422"/>
      <c r="T118" s="3422"/>
      <c r="U118" s="3422"/>
      <c r="V118" s="3422"/>
      <c r="W118" s="3422"/>
      <c r="X118" s="3422"/>
      <c r="Y118" s="3422"/>
      <c r="Z118" s="3422"/>
      <c r="AA118" s="3422"/>
      <c r="AB118" s="3422"/>
      <c r="AC118" s="3422"/>
    </row>
    <row r="119" spans="1:29" ht="15" thickTop="1">
      <c r="A119" s="3545"/>
      <c r="B119" s="3751" t="s">
        <v>779</v>
      </c>
      <c r="C119" s="3692"/>
      <c r="D119" s="3692"/>
      <c r="E119" s="3692"/>
      <c r="F119" s="3692"/>
      <c r="G119" s="3692"/>
      <c r="H119" s="3692"/>
      <c r="I119" s="3692"/>
      <c r="J119" s="3692"/>
      <c r="K119" s="3692"/>
      <c r="L119" s="3752"/>
      <c r="M119" s="3753"/>
      <c r="N119" s="3640"/>
      <c r="O119" s="3640"/>
      <c r="P119" s="3754"/>
      <c r="Q119" s="3755"/>
      <c r="R119" s="3422"/>
      <c r="S119" s="3422"/>
      <c r="T119" s="3422"/>
      <c r="U119" s="3422"/>
      <c r="V119" s="3422"/>
      <c r="W119" s="3422"/>
      <c r="X119" s="3422"/>
      <c r="Y119" s="3422"/>
      <c r="Z119" s="3422"/>
      <c r="AA119" s="3422"/>
      <c r="AB119" s="3422"/>
      <c r="AC119" s="3422"/>
    </row>
    <row r="120" spans="1:29" ht="15.75" thickBot="1">
      <c r="A120" s="3493"/>
      <c r="B120" s="3646"/>
      <c r="C120" s="3690">
        <v>100</v>
      </c>
      <c r="D120" s="3647">
        <f>C120-$K41</f>
        <v>100</v>
      </c>
      <c r="E120" s="3647">
        <f t="shared" ref="E120:M120" si="29">D120-$K41</f>
        <v>100</v>
      </c>
      <c r="F120" s="3647">
        <f t="shared" si="29"/>
        <v>100</v>
      </c>
      <c r="G120" s="3647">
        <f t="shared" si="29"/>
        <v>100</v>
      </c>
      <c r="H120" s="3647">
        <f t="shared" si="29"/>
        <v>100</v>
      </c>
      <c r="I120" s="3647">
        <f t="shared" si="29"/>
        <v>100</v>
      </c>
      <c r="J120" s="3647">
        <f t="shared" si="29"/>
        <v>100</v>
      </c>
      <c r="K120" s="3647">
        <f t="shared" si="29"/>
        <v>100</v>
      </c>
      <c r="L120" s="3647">
        <f t="shared" si="29"/>
        <v>100</v>
      </c>
      <c r="M120" s="3647">
        <f t="shared" si="29"/>
        <v>100</v>
      </c>
      <c r="N120" s="3640"/>
      <c r="O120" s="3640"/>
      <c r="P120" s="3745"/>
      <c r="Q120" s="3601"/>
      <c r="R120" s="3422"/>
      <c r="S120" s="3422"/>
      <c r="T120" s="3422"/>
      <c r="U120" s="3422"/>
      <c r="V120" s="3422"/>
      <c r="W120" s="3422"/>
      <c r="X120" s="3422"/>
      <c r="Y120" s="3422"/>
      <c r="Z120" s="3422"/>
      <c r="AA120" s="3422"/>
      <c r="AB120" s="3422"/>
      <c r="AC120" s="3422"/>
    </row>
    <row r="121" spans="1:29" s="3544" customFormat="1" ht="15" thickTop="1">
      <c r="A121" s="3535"/>
      <c r="B121" s="3641" t="s">
        <v>767</v>
      </c>
      <c r="C121" s="3657"/>
      <c r="D121" s="3657"/>
      <c r="E121" s="3657"/>
      <c r="F121" s="3692"/>
      <c r="G121" s="3658"/>
      <c r="H121" s="3658"/>
      <c r="I121" s="3658"/>
      <c r="J121" s="3658"/>
      <c r="K121" s="3658"/>
      <c r="L121" s="3659"/>
      <c r="M121" s="3660"/>
      <c r="N121" s="3661"/>
      <c r="O121" s="3661"/>
      <c r="P121" s="3746"/>
      <c r="Q121" s="3662"/>
      <c r="R121" s="3537"/>
      <c r="S121" s="3537"/>
      <c r="T121" s="3537"/>
      <c r="U121" s="3537"/>
      <c r="V121" s="3537"/>
      <c r="W121" s="3537"/>
      <c r="X121" s="3537"/>
      <c r="Y121" s="3537"/>
      <c r="Z121" s="3537"/>
      <c r="AA121" s="3537"/>
      <c r="AB121" s="3537"/>
      <c r="AC121" s="3537"/>
    </row>
    <row r="122" spans="1:29" s="3544" customFormat="1" ht="15.75" thickBot="1">
      <c r="A122" s="3656"/>
      <c r="B122" s="3637"/>
      <c r="C122" s="3663"/>
      <c r="D122" s="3663"/>
      <c r="E122" s="3663"/>
      <c r="F122" s="3663"/>
      <c r="G122" s="3663"/>
      <c r="H122" s="3663"/>
      <c r="I122" s="3663"/>
      <c r="J122" s="3663"/>
      <c r="K122" s="3663"/>
      <c r="L122" s="3663"/>
      <c r="M122" s="3663"/>
      <c r="N122" s="3661"/>
      <c r="O122" s="3661"/>
      <c r="P122" s="3746"/>
      <c r="Q122" s="3662"/>
      <c r="R122" s="3537"/>
      <c r="S122" s="3537"/>
      <c r="T122" s="3537"/>
      <c r="U122" s="3537"/>
      <c r="V122" s="3537"/>
      <c r="W122" s="3537"/>
      <c r="X122" s="3537"/>
      <c r="Y122" s="3537"/>
      <c r="Z122" s="3537"/>
      <c r="AA122" s="3537"/>
      <c r="AB122" s="3537"/>
      <c r="AC122" s="3537"/>
    </row>
    <row r="123" spans="1:29" ht="15" thickTop="1">
      <c r="A123" s="3545"/>
      <c r="B123" s="3641" t="s">
        <v>747</v>
      </c>
      <c r="C123" s="3657"/>
      <c r="D123" s="3657"/>
      <c r="E123" s="3657"/>
      <c r="F123" s="3692"/>
      <c r="G123" s="3692"/>
      <c r="H123" s="3692"/>
      <c r="I123" s="3692"/>
      <c r="J123" s="3692"/>
      <c r="K123" s="3693"/>
      <c r="L123" s="3694"/>
      <c r="M123" s="3695"/>
      <c r="N123" s="3636"/>
      <c r="O123" s="3636"/>
      <c r="P123" s="3745"/>
      <c r="Q123" s="3601"/>
      <c r="R123" s="3422"/>
      <c r="S123" s="3422"/>
      <c r="T123" s="3422"/>
      <c r="U123" s="3422"/>
      <c r="V123" s="3422"/>
      <c r="W123" s="3422"/>
      <c r="X123" s="3422"/>
      <c r="Y123" s="3422"/>
      <c r="Z123" s="3422"/>
      <c r="AA123" s="3422"/>
      <c r="AB123" s="3422"/>
      <c r="AC123" s="3422"/>
    </row>
    <row r="124" spans="1:29" ht="15.75" thickBot="1">
      <c r="A124" s="3493"/>
      <c r="B124" s="3646"/>
      <c r="C124" s="3647">
        <v>100</v>
      </c>
      <c r="D124" s="3647">
        <f t="shared" ref="D124:M124" si="30">C124-$K43</f>
        <v>100</v>
      </c>
      <c r="E124" s="3647">
        <f t="shared" si="30"/>
        <v>100</v>
      </c>
      <c r="F124" s="3647">
        <f t="shared" si="30"/>
        <v>100</v>
      </c>
      <c r="G124" s="3647">
        <f t="shared" si="30"/>
        <v>100</v>
      </c>
      <c r="H124" s="3647">
        <f t="shared" si="30"/>
        <v>100</v>
      </c>
      <c r="I124" s="3647">
        <f t="shared" si="30"/>
        <v>100</v>
      </c>
      <c r="J124" s="3647">
        <f t="shared" si="30"/>
        <v>100</v>
      </c>
      <c r="K124" s="3647">
        <f t="shared" si="30"/>
        <v>100</v>
      </c>
      <c r="L124" s="3647">
        <f t="shared" si="30"/>
        <v>100</v>
      </c>
      <c r="M124" s="3648">
        <f t="shared" si="30"/>
        <v>100</v>
      </c>
      <c r="N124" s="3640"/>
      <c r="O124" s="3640"/>
      <c r="P124" s="3745"/>
      <c r="Q124" s="3601"/>
      <c r="R124" s="3422"/>
      <c r="S124" s="3422"/>
      <c r="T124" s="3422"/>
      <c r="U124" s="3422"/>
      <c r="V124" s="3422"/>
      <c r="W124" s="3422"/>
      <c r="X124" s="3422"/>
      <c r="Y124" s="3422"/>
      <c r="Z124" s="3422"/>
      <c r="AA124" s="3422"/>
      <c r="AB124" s="3422"/>
      <c r="AC124" s="3422"/>
    </row>
    <row r="125" spans="1:29" ht="27.75" thickTop="1">
      <c r="A125" s="3545"/>
      <c r="B125" s="3641" t="s">
        <v>748</v>
      </c>
      <c r="C125" s="3681" t="s">
        <v>571</v>
      </c>
      <c r="D125" s="3681" t="s">
        <v>572</v>
      </c>
      <c r="E125" s="3681" t="s">
        <v>573</v>
      </c>
      <c r="F125" s="3681" t="s">
        <v>574</v>
      </c>
      <c r="G125" s="3681" t="s">
        <v>575</v>
      </c>
      <c r="H125" s="3642"/>
      <c r="I125" s="3642"/>
      <c r="J125" s="3642"/>
      <c r="K125" s="3643"/>
      <c r="L125" s="3644"/>
      <c r="M125" s="3645"/>
      <c r="N125" s="3636"/>
      <c r="O125" s="3636"/>
      <c r="P125" s="3746"/>
      <c r="Q125" s="3601"/>
      <c r="R125" s="3422"/>
      <c r="S125" s="3422"/>
      <c r="T125" s="3422"/>
      <c r="U125" s="3422"/>
      <c r="V125" s="3422"/>
      <c r="W125" s="3422"/>
      <c r="X125" s="3422"/>
      <c r="Y125" s="3422"/>
      <c r="Z125" s="3422"/>
      <c r="AA125" s="3422"/>
      <c r="AB125" s="3422"/>
      <c r="AC125" s="3422"/>
    </row>
    <row r="126" spans="1:29" ht="15.75" thickBot="1">
      <c r="A126" s="3493"/>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745"/>
      <c r="Q126" s="3601"/>
      <c r="R126" s="3422"/>
      <c r="S126" s="3422"/>
      <c r="T126" s="3422"/>
      <c r="U126" s="3422"/>
      <c r="V126" s="3422"/>
      <c r="W126" s="3422"/>
      <c r="X126" s="3422"/>
      <c r="Y126" s="3422"/>
      <c r="Z126" s="3422"/>
      <c r="AA126" s="3422"/>
      <c r="AB126" s="3422"/>
      <c r="AC126" s="3422"/>
    </row>
    <row r="127" spans="1:29" s="3544" customFormat="1" ht="15" thickTop="1">
      <c r="A127" s="3535"/>
      <c r="B127" s="3641">
        <f>B45</f>
        <v>111</v>
      </c>
      <c r="C127" s="3657"/>
      <c r="D127" s="3657"/>
      <c r="E127" s="3657"/>
      <c r="F127" s="3657"/>
      <c r="G127" s="3657"/>
      <c r="H127" s="3658"/>
      <c r="I127" s="3658"/>
      <c r="J127" s="3658"/>
      <c r="K127" s="3658"/>
      <c r="L127" s="3659"/>
      <c r="M127" s="3660"/>
      <c r="N127" s="3661"/>
      <c r="O127" s="3661"/>
      <c r="P127" s="3746"/>
      <c r="Q127" s="3662"/>
      <c r="R127" s="3537"/>
      <c r="S127" s="3537"/>
      <c r="T127" s="3537"/>
      <c r="U127" s="3537"/>
      <c r="V127" s="3537"/>
      <c r="W127" s="3537"/>
      <c r="X127" s="3537"/>
      <c r="Y127" s="3537"/>
      <c r="Z127" s="3537"/>
      <c r="AA127" s="3537"/>
      <c r="AB127" s="3537"/>
      <c r="AC127" s="3537"/>
    </row>
    <row r="128" spans="1:29" s="3544" customFormat="1" ht="15.75" thickBot="1">
      <c r="A128" s="3656"/>
      <c r="B128" s="3646"/>
      <c r="C128" s="3663"/>
      <c r="D128" s="3638"/>
      <c r="E128" s="3638"/>
      <c r="F128" s="3638"/>
      <c r="G128" s="3663"/>
      <c r="H128" s="3665"/>
      <c r="I128" s="3665"/>
      <c r="J128" s="3665"/>
      <c r="K128" s="3665"/>
      <c r="L128" s="3665"/>
      <c r="M128" s="3666"/>
      <c r="N128" s="3661"/>
      <c r="O128" s="3661"/>
      <c r="P128" s="3746"/>
      <c r="Q128" s="3662"/>
      <c r="R128" s="3537"/>
      <c r="S128" s="3537"/>
      <c r="T128" s="3537"/>
      <c r="U128" s="3537"/>
      <c r="V128" s="3537"/>
      <c r="W128" s="3537"/>
      <c r="X128" s="3537"/>
      <c r="Y128" s="3537"/>
      <c r="Z128" s="3537"/>
      <c r="AA128" s="3537"/>
      <c r="AB128" s="3537"/>
      <c r="AC128" s="3537"/>
    </row>
    <row r="129" spans="1:29" ht="15" thickTop="1">
      <c r="A129" s="3545"/>
      <c r="B129" s="3641">
        <f>B46</f>
        <v>111</v>
      </c>
      <c r="C129" s="3657"/>
      <c r="D129" s="3657"/>
      <c r="E129" s="3657"/>
      <c r="F129" s="3657"/>
      <c r="G129" s="3692"/>
      <c r="H129" s="3692"/>
      <c r="I129" s="3692"/>
      <c r="J129" s="3692"/>
      <c r="K129" s="3693"/>
      <c r="L129" s="3694"/>
      <c r="M129" s="3695"/>
      <c r="N129" s="3636"/>
      <c r="O129" s="3636"/>
      <c r="P129" s="3745"/>
      <c r="Q129" s="3601"/>
      <c r="R129" s="3422"/>
      <c r="S129" s="3422"/>
      <c r="T129" s="3422"/>
      <c r="U129" s="3422"/>
      <c r="V129" s="3422"/>
      <c r="W129" s="3422"/>
      <c r="X129" s="3422"/>
      <c r="Y129" s="3422"/>
      <c r="Z129" s="3422"/>
      <c r="AA129" s="3422"/>
      <c r="AB129" s="3422"/>
      <c r="AC129" s="3422"/>
    </row>
    <row r="130" spans="1:29" ht="15.75" thickBot="1">
      <c r="A130" s="3493"/>
      <c r="B130" s="3646"/>
      <c r="C130" s="3663"/>
      <c r="D130" s="3663"/>
      <c r="E130" s="3663"/>
      <c r="F130" s="3663"/>
      <c r="G130" s="3638"/>
      <c r="H130" s="3638"/>
      <c r="I130" s="3638"/>
      <c r="J130" s="3638"/>
      <c r="K130" s="3638"/>
      <c r="L130" s="3638"/>
      <c r="M130" s="3639"/>
      <c r="N130" s="3640"/>
      <c r="O130" s="3640"/>
      <c r="P130" s="3745"/>
      <c r="Q130" s="3601"/>
      <c r="R130" s="3422"/>
      <c r="S130" s="3422"/>
      <c r="T130" s="3422"/>
      <c r="U130" s="3422"/>
      <c r="V130" s="3422"/>
      <c r="W130" s="3422"/>
      <c r="X130" s="3422"/>
      <c r="Y130" s="3422"/>
      <c r="Z130" s="3422"/>
      <c r="AA130" s="3422"/>
      <c r="AB130" s="3422"/>
      <c r="AC130" s="3422"/>
    </row>
    <row r="131" spans="1:29" ht="15" thickTop="1">
      <c r="A131" s="3545"/>
      <c r="B131" s="3649">
        <f>B47</f>
        <v>111</v>
      </c>
      <c r="C131" s="3622"/>
      <c r="D131" s="3622"/>
      <c r="E131" s="3622"/>
      <c r="F131" s="3622"/>
      <c r="G131" s="3696"/>
      <c r="H131" s="3696"/>
      <c r="I131" s="3696"/>
      <c r="J131" s="3696"/>
      <c r="K131" s="3622"/>
      <c r="L131" s="3623"/>
      <c r="M131" s="3699"/>
      <c r="N131" s="3636"/>
      <c r="O131" s="3636"/>
      <c r="P131" s="3745"/>
      <c r="Q131" s="3601"/>
      <c r="R131" s="3422"/>
      <c r="S131" s="3422"/>
      <c r="T131" s="3422"/>
      <c r="U131" s="3422"/>
      <c r="V131" s="3422"/>
      <c r="W131" s="3422"/>
      <c r="X131" s="3422"/>
      <c r="Y131" s="3422"/>
      <c r="Z131" s="3422"/>
      <c r="AA131" s="3422"/>
      <c r="AB131" s="3422"/>
      <c r="AC131" s="3422"/>
    </row>
    <row r="132" spans="1:29" ht="15.75" thickBot="1">
      <c r="A132" s="3529"/>
      <c r="B132" s="3672"/>
      <c r="C132" s="3673"/>
      <c r="D132" s="3673"/>
      <c r="E132" s="3673"/>
      <c r="F132" s="3673"/>
      <c r="G132" s="3700"/>
      <c r="H132" s="3700"/>
      <c r="I132" s="3700"/>
      <c r="J132" s="3700"/>
      <c r="K132" s="3700"/>
      <c r="L132" s="3700"/>
      <c r="M132" s="3701"/>
      <c r="N132" s="3640"/>
      <c r="O132" s="3640"/>
      <c r="P132" s="3745"/>
      <c r="Q132" s="3601"/>
      <c r="R132" s="3422"/>
      <c r="S132" s="3422"/>
      <c r="T132" s="3422"/>
      <c r="U132" s="3422"/>
      <c r="V132" s="3422"/>
      <c r="W132" s="3422"/>
      <c r="X132" s="3422"/>
      <c r="Y132" s="3422"/>
      <c r="Z132" s="3422"/>
      <c r="AA132" s="3422"/>
      <c r="AB132" s="3422"/>
      <c r="AC132" s="3422"/>
    </row>
    <row r="133" spans="1:29">
      <c r="A133" s="3714"/>
      <c r="B133" s="3714"/>
      <c r="C133" s="3714"/>
      <c r="D133" s="3714"/>
      <c r="E133" s="3714"/>
      <c r="F133" s="3714"/>
      <c r="G133" s="3714"/>
      <c r="H133" s="3714"/>
      <c r="I133" s="3714"/>
      <c r="J133" s="3714"/>
      <c r="K133" s="3715"/>
      <c r="L133" s="3716"/>
      <c r="M133" s="3714"/>
      <c r="N133" s="3714"/>
      <c r="O133" s="3714"/>
      <c r="P133" s="3756"/>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56"/>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56"/>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56"/>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56"/>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56"/>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56"/>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56"/>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56"/>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56"/>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56"/>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56"/>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56"/>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56"/>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56"/>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56"/>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56"/>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56"/>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56"/>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56"/>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56"/>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56"/>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56"/>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56"/>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56"/>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56"/>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56"/>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56"/>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56"/>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56"/>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56"/>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56"/>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56"/>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56"/>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56"/>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56"/>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56"/>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56"/>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56"/>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56"/>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56"/>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56"/>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56"/>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56"/>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56"/>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56"/>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56"/>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56"/>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56"/>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56"/>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56"/>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56"/>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56"/>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56"/>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56"/>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56"/>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56"/>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56"/>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56"/>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56"/>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56"/>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56"/>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56"/>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56"/>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56"/>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56"/>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56"/>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56"/>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56"/>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56"/>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56"/>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56"/>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56"/>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56"/>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56"/>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56"/>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56"/>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56"/>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56"/>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56"/>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56"/>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56"/>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56"/>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56"/>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56"/>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56"/>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56"/>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56"/>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56"/>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56"/>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56"/>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56"/>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56"/>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56"/>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56"/>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56"/>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56"/>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56"/>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56"/>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56"/>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56"/>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56"/>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56"/>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56"/>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56"/>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56"/>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56"/>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56"/>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56"/>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56"/>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56"/>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56"/>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56"/>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56"/>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56"/>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56"/>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56"/>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56"/>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56"/>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56"/>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56"/>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56"/>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56"/>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56"/>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56"/>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56"/>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56"/>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56"/>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56"/>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56"/>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56"/>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56"/>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56"/>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56"/>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56"/>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56"/>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56"/>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56"/>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56"/>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56"/>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56"/>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56"/>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56"/>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56"/>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56"/>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56"/>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56"/>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56"/>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56"/>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56"/>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56"/>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56"/>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56"/>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56"/>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56"/>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56"/>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56"/>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56"/>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56"/>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56"/>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56"/>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56"/>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56"/>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56"/>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56"/>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56"/>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56"/>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56"/>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56"/>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56"/>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56"/>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56"/>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56"/>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56"/>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56"/>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56"/>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56"/>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56"/>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56"/>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56"/>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56"/>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56"/>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56"/>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56"/>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56"/>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56"/>
      <c r="Q318" s="3714"/>
      <c r="R318" s="3714"/>
      <c r="S318" s="3714"/>
      <c r="T318" s="3714"/>
      <c r="U318" s="3714"/>
      <c r="V318" s="3714"/>
      <c r="W318" s="3714"/>
      <c r="X318" s="3714"/>
      <c r="Y318" s="3714"/>
      <c r="Z318" s="3714"/>
      <c r="AA318" s="3714"/>
      <c r="AB318" s="3714"/>
      <c r="AC318" s="3714"/>
    </row>
    <row r="319" spans="1:29">
      <c r="A319" s="3714"/>
      <c r="B319" s="3714"/>
      <c r="C319" s="3714"/>
      <c r="D319" s="3714"/>
      <c r="E319" s="3714"/>
      <c r="F319" s="3714"/>
      <c r="G319" s="3714"/>
      <c r="H319" s="3714"/>
      <c r="I319" s="3714"/>
      <c r="J319" s="3714"/>
      <c r="K319" s="3715"/>
      <c r="L319" s="3716"/>
      <c r="M319" s="3714"/>
      <c r="N319" s="3714"/>
      <c r="O319" s="3714"/>
      <c r="P319" s="3756"/>
      <c r="Q319" s="3714"/>
      <c r="R319" s="3714"/>
      <c r="S319" s="3714"/>
      <c r="T319" s="3714"/>
      <c r="U319" s="3714"/>
      <c r="V319" s="3714"/>
      <c r="W319" s="3714"/>
      <c r="X319" s="3714"/>
      <c r="Y319" s="3714"/>
      <c r="Z319" s="3714"/>
      <c r="AA319" s="3714"/>
      <c r="AB319" s="3714"/>
      <c r="AC319" s="3714"/>
    </row>
    <row r="320" spans="1:29">
      <c r="A320" s="3714"/>
      <c r="B320" s="3714"/>
      <c r="C320" s="3714"/>
      <c r="D320" s="3714"/>
      <c r="E320" s="3714"/>
      <c r="F320" s="3714"/>
      <c r="G320" s="3714"/>
      <c r="H320" s="3714"/>
      <c r="I320" s="3714"/>
      <c r="J320" s="3714"/>
      <c r="K320" s="3715"/>
      <c r="L320" s="3716"/>
      <c r="M320" s="3714"/>
      <c r="N320" s="3714"/>
      <c r="O320" s="3714"/>
      <c r="P320" s="3756"/>
      <c r="Q320" s="3714"/>
      <c r="R320" s="3714"/>
      <c r="S320" s="3714"/>
      <c r="T320" s="3714"/>
      <c r="U320" s="3714"/>
      <c r="V320" s="3714"/>
      <c r="W320" s="3714"/>
      <c r="X320" s="3714"/>
      <c r="Y320" s="3714"/>
      <c r="Z320" s="3714"/>
      <c r="AA320" s="3714"/>
      <c r="AB320" s="3714"/>
      <c r="AC320" s="3714"/>
    </row>
    <row r="321" spans="1:29">
      <c r="A321" s="3714"/>
      <c r="B321" s="3714"/>
      <c r="C321" s="3714"/>
      <c r="D321" s="3714"/>
      <c r="E321" s="3714"/>
      <c r="F321" s="3714"/>
      <c r="G321" s="3714"/>
      <c r="H321" s="3714"/>
      <c r="I321" s="3714"/>
      <c r="J321" s="3714"/>
      <c r="K321" s="3715"/>
      <c r="L321" s="3716"/>
      <c r="M321" s="3714"/>
      <c r="N321" s="3714"/>
      <c r="O321" s="3714"/>
      <c r="P321" s="3756"/>
      <c r="Q321" s="3714"/>
      <c r="R321" s="3714"/>
      <c r="S321" s="3714"/>
      <c r="T321" s="3714"/>
      <c r="U321" s="3714"/>
      <c r="V321" s="3714"/>
      <c r="W321" s="3714"/>
      <c r="X321" s="3714"/>
      <c r="Y321" s="3714"/>
      <c r="Z321" s="3714"/>
      <c r="AA321" s="3714"/>
      <c r="AB321" s="3714"/>
      <c r="AC321" s="3714"/>
    </row>
    <row r="322" spans="1:29">
      <c r="A322" s="3714"/>
      <c r="B322" s="3714"/>
      <c r="C322" s="3714"/>
      <c r="D322" s="3714"/>
      <c r="E322" s="3714"/>
      <c r="F322" s="3714"/>
      <c r="G322" s="3714"/>
      <c r="H322" s="3714"/>
      <c r="I322" s="3714"/>
      <c r="J322" s="3714"/>
      <c r="K322" s="3715"/>
      <c r="L322" s="3716"/>
      <c r="M322" s="3714"/>
      <c r="N322" s="3714"/>
      <c r="O322" s="3714"/>
      <c r="P322" s="3756"/>
      <c r="Q322" s="3714"/>
      <c r="R322" s="3714"/>
      <c r="S322" s="3714"/>
      <c r="T322" s="3714"/>
      <c r="U322" s="3714"/>
      <c r="V322" s="3714"/>
      <c r="W322" s="3714"/>
      <c r="X322" s="3714"/>
      <c r="Y322" s="3714"/>
      <c r="Z322" s="3714"/>
      <c r="AA322" s="3714"/>
      <c r="AB322" s="3714"/>
      <c r="AC322" s="3714"/>
    </row>
    <row r="323" spans="1:29">
      <c r="A323" s="3714"/>
      <c r="B323" s="3714"/>
      <c r="C323" s="3714"/>
      <c r="D323" s="3714"/>
      <c r="E323" s="3714"/>
      <c r="F323" s="3714"/>
      <c r="G323" s="3714"/>
      <c r="H323" s="3714"/>
      <c r="I323" s="3714"/>
      <c r="J323" s="3714"/>
      <c r="K323" s="3715"/>
      <c r="L323" s="3716"/>
      <c r="M323" s="3714"/>
      <c r="N323" s="3714"/>
      <c r="O323" s="3714"/>
      <c r="P323" s="3756"/>
      <c r="Q323" s="3714"/>
      <c r="R323" s="3714"/>
      <c r="S323" s="3714"/>
      <c r="T323" s="3714"/>
      <c r="U323" s="3714"/>
      <c r="V323" s="3714"/>
      <c r="W323" s="3714"/>
      <c r="X323" s="3714"/>
      <c r="Y323" s="3714"/>
      <c r="Z323" s="3714"/>
      <c r="AA323" s="3714"/>
      <c r="AB323" s="3714"/>
      <c r="AC323" s="3714"/>
    </row>
    <row r="324" spans="1:29">
      <c r="A324" s="3714"/>
      <c r="B324" s="3714"/>
      <c r="C324" s="3714"/>
      <c r="D324" s="3714"/>
      <c r="E324" s="3714"/>
      <c r="F324" s="3714"/>
      <c r="G324" s="3714"/>
      <c r="H324" s="3714"/>
      <c r="I324" s="3714"/>
      <c r="J324" s="3714"/>
      <c r="K324" s="3715"/>
      <c r="L324" s="3716"/>
      <c r="M324" s="3714"/>
      <c r="N324" s="3714"/>
      <c r="O324" s="3714"/>
      <c r="P324" s="3756"/>
      <c r="Q324" s="3714"/>
      <c r="R324" s="3714"/>
      <c r="S324" s="3714"/>
      <c r="T324" s="3714"/>
      <c r="U324" s="3714"/>
      <c r="V324" s="3714"/>
      <c r="W324" s="3714"/>
      <c r="X324" s="3714"/>
      <c r="Y324" s="3714"/>
      <c r="Z324" s="3714"/>
      <c r="AA324" s="3714"/>
      <c r="AB324" s="3714"/>
      <c r="AC324" s="3714"/>
    </row>
    <row r="325" spans="1:29">
      <c r="A325" s="3714"/>
      <c r="B325" s="3714"/>
      <c r="C325" s="3714"/>
      <c r="D325" s="3714"/>
      <c r="E325" s="3714"/>
      <c r="F325" s="3714"/>
      <c r="G325" s="3714"/>
      <c r="H325" s="3714"/>
      <c r="I325" s="3714"/>
      <c r="J325" s="3714"/>
      <c r="K325" s="3715"/>
      <c r="L325" s="3716"/>
      <c r="M325" s="3714"/>
      <c r="N325" s="3714"/>
      <c r="O325" s="3714"/>
      <c r="P325" s="3756"/>
      <c r="Q325" s="3714"/>
      <c r="R325" s="3714"/>
      <c r="S325" s="3714"/>
      <c r="T325" s="3714"/>
      <c r="U325" s="3714"/>
      <c r="V325" s="3714"/>
      <c r="W325" s="3714"/>
      <c r="X325" s="3714"/>
      <c r="Y325" s="3714"/>
      <c r="Z325" s="3714"/>
      <c r="AA325" s="3714"/>
      <c r="AB325" s="3714"/>
      <c r="AC325" s="3714"/>
    </row>
    <row r="326" spans="1:29">
      <c r="A326" s="3714"/>
      <c r="B326" s="3714"/>
      <c r="C326" s="3714"/>
      <c r="D326" s="3714"/>
      <c r="E326" s="3714"/>
      <c r="F326" s="3714"/>
      <c r="G326" s="3714"/>
      <c r="H326" s="3714"/>
      <c r="I326" s="3714"/>
      <c r="J326" s="3714"/>
      <c r="K326" s="3715"/>
      <c r="L326" s="3716"/>
      <c r="M326" s="3714"/>
      <c r="N326" s="3714"/>
      <c r="O326" s="3714"/>
      <c r="P326" s="3756"/>
      <c r="Q326" s="3714"/>
      <c r="R326" s="3714"/>
      <c r="S326" s="3714"/>
      <c r="T326" s="3714"/>
      <c r="U326" s="3714"/>
      <c r="V326" s="3714"/>
      <c r="W326" s="3714"/>
      <c r="X326" s="3714"/>
      <c r="Y326" s="3714"/>
      <c r="Z326" s="3714"/>
      <c r="AA326" s="3714"/>
      <c r="AB326" s="3714"/>
      <c r="AC326" s="3714"/>
    </row>
    <row r="327" spans="1:29">
      <c r="A327" s="3714"/>
      <c r="B327" s="3714"/>
      <c r="C327" s="3714"/>
      <c r="D327" s="3714"/>
      <c r="E327" s="3714"/>
      <c r="F327" s="3714"/>
      <c r="G327" s="3714"/>
      <c r="H327" s="3714"/>
      <c r="I327" s="3714"/>
      <c r="J327" s="3714"/>
      <c r="K327" s="3715"/>
      <c r="L327" s="3716"/>
      <c r="M327" s="3714"/>
      <c r="N327" s="3714"/>
      <c r="O327" s="3714"/>
      <c r="P327" s="3756"/>
      <c r="Q327" s="3714"/>
      <c r="R327" s="3714"/>
      <c r="S327" s="3714"/>
      <c r="T327" s="3714"/>
      <c r="U327" s="3714"/>
      <c r="V327" s="3714"/>
      <c r="W327" s="3714"/>
      <c r="X327" s="3714"/>
      <c r="Y327" s="3714"/>
      <c r="Z327" s="3714"/>
      <c r="AA327" s="3714"/>
      <c r="AB327" s="3714"/>
      <c r="AC327" s="3714"/>
    </row>
    <row r="328" spans="1:29">
      <c r="A328" s="3714"/>
      <c r="B328" s="3714"/>
      <c r="C328" s="3714"/>
      <c r="D328" s="3714"/>
      <c r="E328" s="3714"/>
      <c r="F328" s="3714"/>
      <c r="G328" s="3714"/>
      <c r="H328" s="3714"/>
      <c r="I328" s="3714"/>
      <c r="J328" s="3714"/>
      <c r="K328" s="3715"/>
      <c r="L328" s="3716"/>
      <c r="M328" s="3714"/>
      <c r="N328" s="3714"/>
      <c r="O328" s="3714"/>
      <c r="P328" s="3756"/>
      <c r="Q328" s="3714"/>
      <c r="R328" s="3714"/>
      <c r="S328" s="3714"/>
      <c r="T328" s="3714"/>
      <c r="U328" s="3714"/>
      <c r="V328" s="3714"/>
      <c r="W328" s="3714"/>
      <c r="X328" s="3714"/>
      <c r="Y328" s="3714"/>
      <c r="Z328" s="3714"/>
      <c r="AA328" s="3714"/>
      <c r="AB328" s="3714"/>
      <c r="AC328" s="3714"/>
    </row>
    <row r="329" spans="1:29">
      <c r="A329" s="3714"/>
      <c r="B329" s="3714"/>
      <c r="C329" s="3714"/>
      <c r="D329" s="3714"/>
      <c r="E329" s="3714"/>
      <c r="F329" s="3714"/>
      <c r="G329" s="3714"/>
      <c r="H329" s="3714"/>
      <c r="I329" s="3714"/>
      <c r="J329" s="3714"/>
      <c r="K329" s="3715"/>
      <c r="L329" s="3716"/>
      <c r="M329" s="3714"/>
      <c r="N329" s="3714"/>
      <c r="O329" s="3714"/>
      <c r="P329" s="3756"/>
      <c r="Q329" s="3714"/>
      <c r="R329" s="3714"/>
      <c r="S329" s="3714"/>
      <c r="T329" s="3714"/>
      <c r="U329" s="3714"/>
      <c r="V329" s="3714"/>
      <c r="W329" s="3714"/>
      <c r="X329" s="3714"/>
      <c r="Y329" s="3714"/>
      <c r="Z329" s="3714"/>
      <c r="AA329" s="3714"/>
      <c r="AB329" s="3714"/>
      <c r="AC329" s="3714"/>
    </row>
    <row r="330" spans="1:29">
      <c r="A330" s="3714"/>
      <c r="B330" s="3714"/>
      <c r="C330" s="3714"/>
      <c r="D330" s="3714"/>
      <c r="E330" s="3714"/>
      <c r="F330" s="3714"/>
      <c r="G330" s="3714"/>
      <c r="H330" s="3714"/>
      <c r="I330" s="3714"/>
      <c r="J330" s="3714"/>
      <c r="K330" s="3715"/>
      <c r="L330" s="3716"/>
      <c r="M330" s="3714"/>
      <c r="N330" s="3714"/>
      <c r="O330" s="3714"/>
      <c r="P330" s="3756"/>
      <c r="Q330" s="3714"/>
      <c r="R330" s="3714"/>
      <c r="S330" s="3714"/>
      <c r="T330" s="3714"/>
      <c r="U330" s="3714"/>
      <c r="V330" s="3714"/>
      <c r="W330" s="3714"/>
      <c r="X330" s="3714"/>
      <c r="Y330" s="3714"/>
      <c r="Z330" s="3714"/>
      <c r="AA330" s="3714"/>
      <c r="AB330" s="3714"/>
      <c r="AC330" s="3714"/>
    </row>
    <row r="331" spans="1:29">
      <c r="A331" s="3714"/>
      <c r="B331" s="3714"/>
      <c r="C331" s="3714"/>
      <c r="D331" s="3714"/>
      <c r="E331" s="3714"/>
      <c r="F331" s="3714"/>
      <c r="G331" s="3714"/>
      <c r="H331" s="3714"/>
      <c r="I331" s="3714"/>
      <c r="J331" s="3714"/>
      <c r="K331" s="3715"/>
      <c r="L331" s="3716"/>
      <c r="M331" s="3714"/>
      <c r="N331" s="3714"/>
      <c r="O331" s="3714"/>
      <c r="P331" s="3756"/>
      <c r="Q331" s="3714"/>
      <c r="R331" s="3714"/>
      <c r="S331" s="3714"/>
      <c r="T331" s="3714"/>
      <c r="U331" s="3714"/>
      <c r="V331" s="3714"/>
      <c r="W331" s="3714"/>
      <c r="X331" s="3714"/>
      <c r="Y331" s="3714"/>
      <c r="Z331" s="3714"/>
      <c r="AA331" s="3714"/>
      <c r="AB331" s="3714"/>
      <c r="AC331" s="3714"/>
    </row>
    <row r="332" spans="1:29">
      <c r="A332" s="3714"/>
      <c r="B332" s="3714"/>
      <c r="C332" s="3714"/>
      <c r="D332" s="3714"/>
      <c r="E332" s="3714"/>
      <c r="F332" s="3714"/>
      <c r="G332" s="3714"/>
      <c r="H332" s="3714"/>
      <c r="I332" s="3714"/>
      <c r="J332" s="3714"/>
      <c r="K332" s="3715"/>
      <c r="L332" s="3716"/>
      <c r="M332" s="3714"/>
      <c r="N332" s="3714"/>
      <c r="O332" s="3714"/>
      <c r="P332" s="3756"/>
      <c r="Q332" s="3714"/>
      <c r="R332" s="3714"/>
      <c r="S332" s="3714"/>
      <c r="T332" s="3714"/>
      <c r="U332" s="3714"/>
      <c r="V332" s="3714"/>
      <c r="W332" s="3714"/>
      <c r="X332" s="3714"/>
      <c r="Y332" s="3714"/>
      <c r="Z332" s="3714"/>
      <c r="AA332" s="3714"/>
      <c r="AB332" s="3714"/>
      <c r="AC332" s="3714"/>
    </row>
    <row r="333" spans="1:29">
      <c r="A333" s="3714"/>
      <c r="B333" s="3714"/>
      <c r="C333" s="3714"/>
      <c r="D333" s="3714"/>
      <c r="E333" s="3714"/>
      <c r="F333" s="3714"/>
      <c r="G333" s="3714"/>
      <c r="H333" s="3714"/>
      <c r="I333" s="3714"/>
      <c r="J333" s="3714"/>
      <c r="K333" s="3715"/>
      <c r="L333" s="3716"/>
      <c r="M333" s="3714"/>
      <c r="N333" s="3714"/>
      <c r="O333" s="3714"/>
      <c r="P333" s="3756"/>
      <c r="Q333" s="3714"/>
      <c r="R333" s="3714"/>
      <c r="S333" s="3714"/>
      <c r="T333" s="3714"/>
      <c r="U333" s="3714"/>
      <c r="V333" s="3714"/>
      <c r="W333" s="3714"/>
      <c r="X333" s="3714"/>
      <c r="Y333" s="3714"/>
      <c r="Z333" s="3714"/>
      <c r="AA333" s="3714"/>
      <c r="AB333" s="3714"/>
      <c r="AC333" s="3714"/>
    </row>
    <row r="334" spans="1:29">
      <c r="A334" s="3714"/>
      <c r="B334" s="3714"/>
      <c r="C334" s="3714"/>
      <c r="D334" s="3714"/>
      <c r="E334" s="3714"/>
      <c r="F334" s="3714"/>
      <c r="G334" s="3714"/>
      <c r="H334" s="3714"/>
      <c r="I334" s="3714"/>
      <c r="J334" s="3714"/>
      <c r="K334" s="3715"/>
      <c r="L334" s="3716"/>
      <c r="M334" s="3714"/>
      <c r="N334" s="3714"/>
      <c r="O334" s="3714"/>
      <c r="P334" s="3756"/>
      <c r="Q334" s="3714"/>
      <c r="R334" s="3714"/>
      <c r="S334" s="3714"/>
      <c r="T334" s="3714"/>
      <c r="U334" s="3714"/>
      <c r="V334" s="3714"/>
      <c r="W334" s="3714"/>
      <c r="X334" s="3714"/>
      <c r="Y334" s="3714"/>
      <c r="Z334" s="3714"/>
      <c r="AA334" s="3714"/>
      <c r="AB334" s="3714"/>
      <c r="AC334" s="3714"/>
    </row>
    <row r="335" spans="1:29">
      <c r="A335" s="3714"/>
      <c r="B335" s="3714"/>
      <c r="C335" s="3714"/>
      <c r="D335" s="3714"/>
      <c r="E335" s="3714"/>
      <c r="F335" s="3714"/>
      <c r="G335" s="3714"/>
      <c r="H335" s="3714"/>
      <c r="I335" s="3714"/>
      <c r="J335" s="3714"/>
      <c r="K335" s="3715"/>
      <c r="L335" s="3716"/>
      <c r="M335" s="3714"/>
      <c r="N335" s="3714"/>
      <c r="O335" s="3714"/>
      <c r="P335" s="3756"/>
      <c r="Q335" s="3714"/>
      <c r="R335" s="3714"/>
      <c r="S335" s="3714"/>
      <c r="T335" s="3714"/>
      <c r="U335" s="3714"/>
      <c r="V335" s="3714"/>
      <c r="W335" s="3714"/>
      <c r="X335" s="3714"/>
      <c r="Y335" s="3714"/>
      <c r="Z335" s="3714"/>
      <c r="AA335" s="3714"/>
      <c r="AB335" s="3714"/>
      <c r="AC335" s="3714"/>
    </row>
    <row r="336" spans="1:29">
      <c r="A336" s="3714"/>
      <c r="B336" s="3714"/>
      <c r="C336" s="3714"/>
      <c r="D336" s="3714"/>
      <c r="E336" s="3714"/>
      <c r="F336" s="3714"/>
      <c r="G336" s="3714"/>
      <c r="H336" s="3714"/>
      <c r="I336" s="3714"/>
      <c r="J336" s="3714"/>
      <c r="K336" s="3715"/>
      <c r="L336" s="3716"/>
      <c r="M336" s="3714"/>
      <c r="N336" s="3714"/>
      <c r="O336" s="3714"/>
      <c r="P336" s="3756"/>
      <c r="Q336" s="3714"/>
      <c r="R336" s="3714"/>
      <c r="S336" s="3714"/>
      <c r="T336" s="3714"/>
      <c r="U336" s="3714"/>
      <c r="V336" s="3714"/>
      <c r="W336" s="3714"/>
      <c r="X336" s="3714"/>
      <c r="Y336" s="3714"/>
      <c r="Z336" s="3714"/>
      <c r="AA336" s="3714"/>
      <c r="AB336" s="3714"/>
      <c r="AC336" s="3714"/>
    </row>
    <row r="337" spans="1:29">
      <c r="A337" s="3714"/>
      <c r="B337" s="3714"/>
      <c r="C337" s="3714"/>
      <c r="D337" s="3714"/>
      <c r="E337" s="3714"/>
      <c r="F337" s="3714"/>
      <c r="G337" s="3714"/>
      <c r="H337" s="3714"/>
      <c r="I337" s="3714"/>
      <c r="J337" s="3714"/>
      <c r="K337" s="3715"/>
      <c r="L337" s="3716"/>
      <c r="M337" s="3714"/>
      <c r="N337" s="3714"/>
      <c r="O337" s="3714"/>
      <c r="P337" s="3756"/>
      <c r="Q337" s="3714"/>
      <c r="R337" s="3714"/>
      <c r="S337" s="3714"/>
      <c r="T337" s="3714"/>
      <c r="U337" s="3714"/>
      <c r="V337" s="3714"/>
      <c r="W337" s="3714"/>
      <c r="X337" s="3714"/>
      <c r="Y337" s="3714"/>
      <c r="Z337" s="3714"/>
      <c r="AA337" s="3714"/>
      <c r="AB337" s="3714"/>
      <c r="AC337" s="3714"/>
    </row>
    <row r="338" spans="1:29">
      <c r="A338" s="3714"/>
      <c r="B338" s="3714"/>
      <c r="C338" s="3714"/>
      <c r="D338" s="3714"/>
      <c r="E338" s="3714"/>
      <c r="F338" s="3714"/>
      <c r="G338" s="3714"/>
      <c r="H338" s="3714"/>
      <c r="I338" s="3714"/>
      <c r="J338" s="3714"/>
      <c r="K338" s="3715"/>
      <c r="L338" s="3716"/>
      <c r="M338" s="3714"/>
      <c r="N338" s="3714"/>
      <c r="O338" s="3714"/>
      <c r="P338" s="3756"/>
      <c r="Q338" s="3714"/>
      <c r="R338" s="3714"/>
      <c r="S338" s="3714"/>
      <c r="T338" s="3714"/>
      <c r="U338" s="3714"/>
      <c r="V338" s="3714"/>
      <c r="W338" s="3714"/>
      <c r="X338" s="3714"/>
      <c r="Y338" s="3714"/>
      <c r="Z338" s="3714"/>
      <c r="AA338" s="3714"/>
      <c r="AB338" s="3714"/>
      <c r="AC338" s="3714"/>
    </row>
    <row r="339" spans="1:29">
      <c r="A339" s="3714"/>
      <c r="B339" s="3714"/>
      <c r="C339" s="3714"/>
      <c r="D339" s="3714"/>
      <c r="E339" s="3714"/>
      <c r="F339" s="3714"/>
      <c r="G339" s="3714"/>
      <c r="H339" s="3714"/>
      <c r="I339" s="3714"/>
      <c r="J339" s="3714"/>
      <c r="K339" s="3715"/>
      <c r="L339" s="3716"/>
      <c r="M339" s="3714"/>
      <c r="N339" s="3714"/>
      <c r="O339" s="3714"/>
      <c r="P339" s="3756"/>
      <c r="Q339" s="3714"/>
      <c r="R339" s="3714"/>
      <c r="S339" s="3714"/>
      <c r="T339" s="3714"/>
      <c r="U339" s="3714"/>
      <c r="V339" s="3714"/>
      <c r="W339" s="3714"/>
      <c r="X339" s="3714"/>
      <c r="Y339" s="3714"/>
      <c r="Z339" s="3714"/>
      <c r="AA339" s="3714"/>
      <c r="AB339" s="3714"/>
      <c r="AC339" s="3714"/>
    </row>
    <row r="340" spans="1:29">
      <c r="A340" s="3714"/>
      <c r="B340" s="3714"/>
      <c r="C340" s="3714"/>
      <c r="D340" s="3714"/>
      <c r="E340" s="3714"/>
      <c r="F340" s="3714"/>
      <c r="G340" s="3714"/>
      <c r="H340" s="3714"/>
      <c r="I340" s="3714"/>
      <c r="J340" s="3714"/>
      <c r="K340" s="3715"/>
      <c r="L340" s="3716"/>
      <c r="M340" s="3714"/>
      <c r="N340" s="3714"/>
      <c r="O340" s="3714"/>
      <c r="P340" s="3756"/>
      <c r="Q340" s="3714"/>
      <c r="R340" s="3714"/>
      <c r="S340" s="3714"/>
      <c r="T340" s="3714"/>
      <c r="U340" s="3714"/>
      <c r="V340" s="3714"/>
      <c r="W340" s="3714"/>
      <c r="X340" s="3714"/>
      <c r="Y340" s="3714"/>
      <c r="Z340" s="3714"/>
      <c r="AA340" s="3714"/>
      <c r="AB340" s="3714"/>
      <c r="AC340" s="3714"/>
    </row>
    <row r="341" spans="1:29">
      <c r="A341" s="3714"/>
      <c r="B341" s="3714"/>
      <c r="C341" s="3714"/>
      <c r="D341" s="3714"/>
      <c r="E341" s="3714"/>
      <c r="F341" s="3714"/>
      <c r="G341" s="3714"/>
      <c r="H341" s="3714"/>
      <c r="I341" s="3714"/>
      <c r="J341" s="3714"/>
      <c r="K341" s="3715"/>
      <c r="L341" s="3716"/>
      <c r="M341" s="3714"/>
      <c r="N341" s="3714"/>
      <c r="O341" s="3714"/>
      <c r="P341" s="3756"/>
      <c r="Q341" s="3714"/>
      <c r="R341" s="3714"/>
      <c r="S341" s="3714"/>
      <c r="T341" s="3714"/>
      <c r="U341" s="3714"/>
      <c r="V341" s="3714"/>
      <c r="W341" s="3714"/>
      <c r="X341" s="3714"/>
      <c r="Y341" s="3714"/>
      <c r="Z341" s="3714"/>
      <c r="AA341" s="3714"/>
      <c r="AB341" s="3714"/>
      <c r="AC341" s="3714"/>
    </row>
    <row r="342" spans="1:29">
      <c r="A342" s="3714"/>
      <c r="B342" s="3714"/>
      <c r="C342" s="3714"/>
      <c r="D342" s="3714"/>
      <c r="E342" s="3714"/>
      <c r="F342" s="3714"/>
      <c r="G342" s="3714"/>
      <c r="H342" s="3714"/>
      <c r="I342" s="3714"/>
      <c r="J342" s="3714"/>
      <c r="K342" s="3715"/>
      <c r="L342" s="3716"/>
      <c r="M342" s="3714"/>
      <c r="N342" s="3714"/>
      <c r="O342" s="3714"/>
      <c r="P342" s="3756"/>
      <c r="Q342" s="3714"/>
      <c r="R342" s="3714"/>
      <c r="S342" s="3714"/>
      <c r="T342" s="3714"/>
      <c r="U342" s="3714"/>
      <c r="V342" s="3714"/>
      <c r="W342" s="3714"/>
      <c r="X342" s="3714"/>
      <c r="Y342" s="3714"/>
      <c r="Z342" s="3714"/>
      <c r="AA342" s="3714"/>
      <c r="AB342" s="3714"/>
      <c r="AC342" s="3714"/>
    </row>
    <row r="343" spans="1:29">
      <c r="A343" s="3714"/>
      <c r="B343" s="3714"/>
      <c r="C343" s="3714"/>
      <c r="D343" s="3714"/>
      <c r="E343" s="3714"/>
      <c r="F343" s="3714"/>
      <c r="G343" s="3714"/>
      <c r="H343" s="3714"/>
      <c r="I343" s="3714"/>
      <c r="J343" s="3714"/>
      <c r="K343" s="3715"/>
      <c r="L343" s="3716"/>
      <c r="M343" s="3714"/>
      <c r="N343" s="3714"/>
      <c r="O343" s="3714"/>
      <c r="P343" s="3756"/>
      <c r="Q343" s="3714"/>
      <c r="R343" s="3714"/>
      <c r="S343" s="3714"/>
      <c r="T343" s="3714"/>
      <c r="U343" s="3714"/>
      <c r="V343" s="3714"/>
      <c r="W343" s="3714"/>
      <c r="X343" s="3714"/>
      <c r="Y343" s="3714"/>
      <c r="Z343" s="3714"/>
      <c r="AA343" s="3714"/>
      <c r="AB343" s="3714"/>
      <c r="AC343" s="3714"/>
    </row>
    <row r="344" spans="1:29">
      <c r="A344" s="3714"/>
      <c r="B344" s="3714"/>
      <c r="C344" s="3714"/>
      <c r="D344" s="3714"/>
      <c r="E344" s="3714"/>
      <c r="F344" s="3714"/>
      <c r="G344" s="3714"/>
      <c r="H344" s="3714"/>
      <c r="I344" s="3714"/>
      <c r="J344" s="3714"/>
      <c r="K344" s="3715"/>
      <c r="L344" s="3716"/>
      <c r="M344" s="3714"/>
      <c r="N344" s="3714"/>
      <c r="O344" s="3714"/>
      <c r="P344" s="3756"/>
      <c r="Q344" s="3714"/>
      <c r="R344" s="3714"/>
      <c r="S344" s="3714"/>
      <c r="T344" s="3714"/>
      <c r="U344" s="3714"/>
      <c r="V344" s="3714"/>
      <c r="W344" s="3714"/>
      <c r="X344" s="3714"/>
      <c r="Y344" s="3714"/>
      <c r="Z344" s="3714"/>
      <c r="AA344" s="3714"/>
      <c r="AB344" s="3714"/>
      <c r="AC344" s="3714"/>
    </row>
    <row r="345" spans="1:29">
      <c r="A345" s="3714"/>
      <c r="B345" s="3714"/>
      <c r="C345" s="3714"/>
      <c r="D345" s="3714"/>
      <c r="E345" s="3714"/>
      <c r="F345" s="3714"/>
      <c r="G345" s="3714"/>
      <c r="H345" s="3714"/>
      <c r="I345" s="3714"/>
      <c r="J345" s="3714"/>
      <c r="K345" s="3715"/>
      <c r="L345" s="3716"/>
      <c r="M345" s="3714"/>
      <c r="N345" s="3714"/>
      <c r="O345" s="3714"/>
      <c r="P345" s="3756"/>
      <c r="Q345" s="3714"/>
      <c r="R345" s="3714"/>
      <c r="S345" s="3714"/>
      <c r="T345" s="3714"/>
      <c r="U345" s="3714"/>
      <c r="V345" s="3714"/>
      <c r="W345" s="3714"/>
      <c r="X345" s="3714"/>
      <c r="Y345" s="3714"/>
      <c r="Z345" s="3714"/>
      <c r="AA345" s="3714"/>
      <c r="AB345" s="3714"/>
      <c r="AC345" s="3714"/>
    </row>
    <row r="346" spans="1:29">
      <c r="A346" s="3714"/>
      <c r="B346" s="3714"/>
      <c r="C346" s="3714"/>
      <c r="D346" s="3714"/>
      <c r="E346" s="3714"/>
      <c r="F346" s="3714"/>
      <c r="G346" s="3714"/>
      <c r="H346" s="3714"/>
      <c r="I346" s="3714"/>
      <c r="J346" s="3714"/>
      <c r="K346" s="3715"/>
      <c r="L346" s="3716"/>
      <c r="M346" s="3714"/>
      <c r="N346" s="3714"/>
      <c r="O346" s="3714"/>
      <c r="P346" s="3756"/>
      <c r="Q346" s="3714"/>
      <c r="R346" s="3714"/>
      <c r="S346" s="3714"/>
      <c r="T346" s="3714"/>
      <c r="U346" s="3714"/>
      <c r="V346" s="3714"/>
      <c r="W346" s="3714"/>
      <c r="X346" s="3714"/>
      <c r="Y346" s="3714"/>
      <c r="Z346" s="3714"/>
      <c r="AA346" s="3714"/>
      <c r="AB346" s="3714"/>
      <c r="AC346" s="3714"/>
    </row>
    <row r="347" spans="1:29">
      <c r="A347" s="3714"/>
      <c r="B347" s="3714"/>
      <c r="C347" s="3714"/>
      <c r="D347" s="3714"/>
      <c r="E347" s="3714"/>
      <c r="F347" s="3714"/>
      <c r="G347" s="3714"/>
      <c r="H347" s="3714"/>
      <c r="I347" s="3714"/>
      <c r="J347" s="3714"/>
      <c r="K347" s="3715"/>
      <c r="L347" s="3716"/>
      <c r="M347" s="3714"/>
      <c r="N347" s="3714"/>
      <c r="O347" s="3714"/>
      <c r="P347" s="3756"/>
      <c r="Q347" s="3714"/>
      <c r="R347" s="3714"/>
      <c r="S347" s="3714"/>
      <c r="T347" s="3714"/>
      <c r="U347" s="3714"/>
      <c r="V347" s="3714"/>
      <c r="W347" s="3714"/>
      <c r="X347" s="3714"/>
      <c r="Y347" s="3714"/>
      <c r="Z347" s="3714"/>
      <c r="AA347" s="3714"/>
      <c r="AB347" s="3714"/>
      <c r="AC347" s="3714"/>
    </row>
    <row r="348" spans="1:29">
      <c r="A348" s="3714"/>
      <c r="B348" s="3714"/>
      <c r="C348" s="3714"/>
      <c r="D348" s="3714"/>
      <c r="E348" s="3714"/>
      <c r="F348" s="3714"/>
      <c r="G348" s="3714"/>
      <c r="H348" s="3714"/>
      <c r="I348" s="3714"/>
      <c r="J348" s="3714"/>
      <c r="K348" s="3715"/>
      <c r="L348" s="3716"/>
      <c r="M348" s="3714"/>
      <c r="N348" s="3714"/>
      <c r="O348" s="3714"/>
      <c r="P348" s="3756"/>
      <c r="Q348" s="3714"/>
      <c r="R348" s="3714"/>
      <c r="S348" s="3714"/>
      <c r="T348" s="3714"/>
      <c r="U348" s="3714"/>
      <c r="V348" s="3714"/>
      <c r="W348" s="3714"/>
      <c r="X348" s="3714"/>
      <c r="Y348" s="3714"/>
      <c r="Z348" s="3714"/>
      <c r="AA348" s="3714"/>
      <c r="AB348" s="3714"/>
      <c r="AC348" s="3714"/>
    </row>
    <row r="349" spans="1:29">
      <c r="A349" s="3714"/>
      <c r="B349" s="3714"/>
      <c r="C349" s="3714"/>
      <c r="D349" s="3714"/>
      <c r="E349" s="3714"/>
      <c r="F349" s="3714"/>
      <c r="G349" s="3714"/>
      <c r="H349" s="3714"/>
      <c r="I349" s="3714"/>
      <c r="J349" s="3714"/>
      <c r="K349" s="3715"/>
      <c r="L349" s="3716"/>
      <c r="M349" s="3714"/>
      <c r="N349" s="3714"/>
      <c r="O349" s="3714"/>
      <c r="P349" s="3756"/>
      <c r="Q349" s="3714"/>
      <c r="R349" s="3714"/>
      <c r="S349" s="3714"/>
      <c r="T349" s="3714"/>
      <c r="U349" s="3714"/>
      <c r="V349" s="3714"/>
      <c r="W349" s="3714"/>
      <c r="X349" s="3714"/>
      <c r="Y349" s="3714"/>
      <c r="Z349" s="3714"/>
      <c r="AA349" s="3714"/>
      <c r="AB349" s="3714"/>
      <c r="AC349" s="3714"/>
    </row>
    <row r="350" spans="1:29">
      <c r="A350" s="3714"/>
      <c r="B350" s="3714"/>
      <c r="C350" s="3714"/>
      <c r="D350" s="3714"/>
      <c r="E350" s="3714"/>
      <c r="F350" s="3714"/>
      <c r="G350" s="3714"/>
      <c r="H350" s="3714"/>
      <c r="I350" s="3714"/>
      <c r="J350" s="3714"/>
      <c r="K350" s="3715"/>
      <c r="L350" s="3716"/>
      <c r="M350" s="3714"/>
      <c r="N350" s="3714"/>
      <c r="O350" s="3714"/>
      <c r="P350" s="3756"/>
      <c r="Q350" s="3714"/>
      <c r="R350" s="3714"/>
      <c r="S350" s="3714"/>
      <c r="T350" s="3714"/>
      <c r="U350" s="3714"/>
      <c r="V350" s="3714"/>
      <c r="W350" s="3714"/>
      <c r="X350" s="3714"/>
      <c r="Y350" s="3714"/>
      <c r="Z350" s="3714"/>
      <c r="AA350" s="3714"/>
      <c r="AB350" s="3714"/>
      <c r="AC350" s="3714"/>
    </row>
    <row r="351" spans="1:29">
      <c r="A351" s="3714"/>
      <c r="B351" s="3714"/>
      <c r="C351" s="3714"/>
      <c r="D351" s="3714"/>
      <c r="E351" s="3714"/>
      <c r="F351" s="3714"/>
      <c r="G351" s="3714"/>
      <c r="H351" s="3714"/>
      <c r="I351" s="3714"/>
      <c r="J351" s="3714"/>
      <c r="K351" s="3715"/>
      <c r="L351" s="3716"/>
      <c r="M351" s="3714"/>
      <c r="N351" s="3714"/>
      <c r="O351" s="3714"/>
      <c r="P351" s="3756"/>
      <c r="Q351" s="3714"/>
      <c r="R351" s="3714"/>
      <c r="S351" s="3714"/>
      <c r="T351" s="3714"/>
      <c r="U351" s="3714"/>
      <c r="V351" s="3714"/>
      <c r="W351" s="3714"/>
      <c r="X351" s="3714"/>
      <c r="Y351" s="3714"/>
      <c r="Z351" s="3714"/>
      <c r="AA351" s="3714"/>
      <c r="AB351" s="3714"/>
      <c r="AC351" s="3714"/>
    </row>
    <row r="352" spans="1:29">
      <c r="A352" s="3714"/>
      <c r="B352" s="3714"/>
      <c r="C352" s="3714"/>
      <c r="D352" s="3714"/>
      <c r="E352" s="3714"/>
      <c r="F352" s="3714"/>
      <c r="G352" s="3714"/>
      <c r="H352" s="3714"/>
      <c r="I352" s="3714"/>
      <c r="J352" s="3714"/>
      <c r="K352" s="3715"/>
      <c r="L352" s="3716"/>
      <c r="M352" s="3714"/>
      <c r="N352" s="3714"/>
      <c r="O352" s="3714"/>
      <c r="P352" s="3756"/>
      <c r="Q352" s="3714"/>
      <c r="R352" s="3714"/>
      <c r="S352" s="3714"/>
      <c r="T352" s="3714"/>
      <c r="U352" s="3714"/>
      <c r="V352" s="3714"/>
      <c r="W352" s="3714"/>
      <c r="X352" s="3714"/>
      <c r="Y352" s="3714"/>
      <c r="Z352" s="3714"/>
      <c r="AA352" s="3714"/>
      <c r="AB352" s="3714"/>
      <c r="AC352" s="3714"/>
    </row>
    <row r="353" spans="1:29">
      <c r="A353" s="3714"/>
      <c r="B353" s="3714"/>
      <c r="C353" s="3714"/>
      <c r="D353" s="3714"/>
      <c r="E353" s="3714"/>
      <c r="F353" s="3714"/>
      <c r="G353" s="3714"/>
      <c r="H353" s="3714"/>
      <c r="I353" s="3714"/>
      <c r="J353" s="3714"/>
      <c r="K353" s="3715"/>
      <c r="L353" s="3716"/>
      <c r="M353" s="3714"/>
      <c r="N353" s="3714"/>
      <c r="O353" s="3714"/>
      <c r="P353" s="3756"/>
      <c r="Q353" s="3714"/>
      <c r="R353" s="3714"/>
      <c r="S353" s="3714"/>
      <c r="T353" s="3714"/>
      <c r="U353" s="3714"/>
      <c r="V353" s="3714"/>
      <c r="W353" s="3714"/>
      <c r="X353" s="3714"/>
      <c r="Y353" s="3714"/>
      <c r="Z353" s="3714"/>
      <c r="AA353" s="3714"/>
      <c r="AB353" s="3714"/>
      <c r="AC353" s="3714"/>
    </row>
    <row r="354" spans="1:29">
      <c r="A354" s="3714"/>
      <c r="B354" s="3714"/>
      <c r="C354" s="3714"/>
      <c r="D354" s="3714"/>
      <c r="E354" s="3714"/>
      <c r="F354" s="3714"/>
      <c r="G354" s="3714"/>
      <c r="H354" s="3714"/>
      <c r="I354" s="3714"/>
      <c r="J354" s="3714"/>
      <c r="K354" s="3715"/>
      <c r="L354" s="3716"/>
      <c r="M354" s="3714"/>
      <c r="N354" s="3714"/>
      <c r="O354" s="3714"/>
      <c r="P354" s="3756"/>
      <c r="Q354" s="3714"/>
      <c r="R354" s="3714"/>
      <c r="S354" s="3714"/>
      <c r="T354" s="3714"/>
      <c r="U354" s="3714"/>
      <c r="V354" s="3714"/>
      <c r="W354" s="3714"/>
      <c r="X354" s="3714"/>
      <c r="Y354" s="3714"/>
      <c r="Z354" s="3714"/>
      <c r="AA354" s="3714"/>
      <c r="AB354" s="3714"/>
      <c r="AC354" s="3714"/>
    </row>
    <row r="355" spans="1:29">
      <c r="A355" s="3714"/>
      <c r="B355" s="3714"/>
      <c r="C355" s="3714"/>
      <c r="D355" s="3714"/>
      <c r="E355" s="3714"/>
      <c r="F355" s="3714"/>
      <c r="G355" s="3714"/>
      <c r="H355" s="3714"/>
      <c r="I355" s="3714"/>
      <c r="J355" s="3714"/>
      <c r="K355" s="3715"/>
      <c r="L355" s="3716"/>
      <c r="M355" s="3714"/>
      <c r="N355" s="3714"/>
      <c r="O355" s="3714"/>
      <c r="P355" s="3756"/>
      <c r="Q355" s="3714"/>
      <c r="R355" s="3714"/>
      <c r="S355" s="3714"/>
      <c r="T355" s="3714"/>
      <c r="U355" s="3714"/>
      <c r="V355" s="3714"/>
      <c r="W355" s="3714"/>
      <c r="X355" s="3714"/>
      <c r="Y355" s="3714"/>
      <c r="Z355" s="3714"/>
      <c r="AA355" s="3714"/>
      <c r="AB355" s="3714"/>
      <c r="AC355" s="3714"/>
    </row>
    <row r="356" spans="1:29">
      <c r="A356" s="3714"/>
      <c r="B356" s="3714"/>
      <c r="C356" s="3714"/>
      <c r="D356" s="3714"/>
      <c r="E356" s="3714"/>
      <c r="F356" s="3714"/>
      <c r="G356" s="3714"/>
      <c r="H356" s="3714"/>
      <c r="I356" s="3714"/>
      <c r="J356" s="3714"/>
      <c r="K356" s="3715"/>
      <c r="L356" s="3716"/>
      <c r="M356" s="3714"/>
      <c r="N356" s="3714"/>
      <c r="O356" s="3714"/>
      <c r="P356" s="3756"/>
      <c r="Q356" s="3714"/>
      <c r="R356" s="3714"/>
      <c r="S356" s="3714"/>
      <c r="T356" s="3714"/>
      <c r="U356" s="3714"/>
      <c r="V356" s="3714"/>
      <c r="W356" s="3714"/>
      <c r="X356" s="3714"/>
      <c r="Y356" s="3714"/>
      <c r="Z356" s="3714"/>
      <c r="AA356" s="3714"/>
      <c r="AB356" s="3714"/>
      <c r="AC356" s="3714"/>
    </row>
    <row r="357" spans="1:29">
      <c r="A357" s="3714"/>
      <c r="B357" s="3714"/>
      <c r="C357" s="3714"/>
      <c r="D357" s="3714"/>
      <c r="E357" s="3714"/>
      <c r="F357" s="3714"/>
      <c r="G357" s="3714"/>
      <c r="H357" s="3714"/>
      <c r="I357" s="3714"/>
      <c r="J357" s="3714"/>
      <c r="K357" s="3715"/>
      <c r="L357" s="3716"/>
      <c r="M357" s="3714"/>
      <c r="N357" s="3714"/>
      <c r="O357" s="3714"/>
      <c r="P357" s="3756"/>
      <c r="Q357" s="3714"/>
      <c r="R357" s="3714"/>
      <c r="S357" s="3714"/>
      <c r="T357" s="3714"/>
      <c r="U357" s="3714"/>
      <c r="V357" s="3714"/>
      <c r="W357" s="3714"/>
      <c r="X357" s="3714"/>
      <c r="Y357" s="3714"/>
      <c r="Z357" s="3714"/>
      <c r="AA357" s="3714"/>
      <c r="AB357" s="3714"/>
      <c r="AC357" s="3714"/>
    </row>
    <row r="358" spans="1:29">
      <c r="A358" s="3714"/>
      <c r="B358" s="3714"/>
      <c r="C358" s="3714"/>
      <c r="D358" s="3714"/>
      <c r="E358" s="3714"/>
      <c r="F358" s="3714"/>
      <c r="G358" s="3714"/>
      <c r="H358" s="3714"/>
      <c r="I358" s="3714"/>
      <c r="J358" s="3714"/>
      <c r="K358" s="3715"/>
      <c r="L358" s="3716"/>
      <c r="M358" s="3714"/>
      <c r="N358" s="3714"/>
      <c r="O358" s="3714"/>
      <c r="P358" s="3756"/>
      <c r="Q358" s="3714"/>
      <c r="R358" s="3714"/>
      <c r="S358" s="3714"/>
      <c r="T358" s="3714"/>
      <c r="U358" s="3714"/>
      <c r="V358" s="3714"/>
      <c r="W358" s="3714"/>
      <c r="X358" s="3714"/>
      <c r="Y358" s="3714"/>
      <c r="Z358" s="3714"/>
      <c r="AA358" s="3714"/>
      <c r="AB358" s="3714"/>
      <c r="AC358" s="3714"/>
    </row>
    <row r="359" spans="1:29">
      <c r="A359" s="3714"/>
      <c r="B359" s="3714"/>
      <c r="C359" s="3714"/>
      <c r="D359" s="3714"/>
      <c r="E359" s="3714"/>
      <c r="F359" s="3714"/>
      <c r="G359" s="3714"/>
      <c r="H359" s="3714"/>
      <c r="I359" s="3714"/>
      <c r="J359" s="3714"/>
      <c r="K359" s="3715"/>
      <c r="L359" s="3716"/>
      <c r="M359" s="3714"/>
      <c r="N359" s="3714"/>
      <c r="O359" s="3714"/>
      <c r="P359" s="3756"/>
      <c r="Q359" s="3714"/>
      <c r="R359" s="3714"/>
      <c r="S359" s="3714"/>
      <c r="T359" s="3714"/>
      <c r="U359" s="3714"/>
      <c r="V359" s="3714"/>
      <c r="W359" s="3714"/>
      <c r="X359" s="3714"/>
      <c r="Y359" s="3714"/>
      <c r="Z359" s="3714"/>
      <c r="AA359" s="3714"/>
      <c r="AB359" s="3714"/>
      <c r="AC359" s="3714"/>
    </row>
    <row r="360" spans="1:29">
      <c r="A360" s="3714"/>
      <c r="B360" s="3714"/>
      <c r="C360" s="3714"/>
      <c r="D360" s="3714"/>
      <c r="E360" s="3714"/>
      <c r="F360" s="3714"/>
      <c r="G360" s="3714"/>
      <c r="H360" s="3714"/>
      <c r="I360" s="3714"/>
      <c r="J360" s="3714"/>
      <c r="K360" s="3715"/>
      <c r="L360" s="3716"/>
      <c r="M360" s="3714"/>
      <c r="N360" s="3714"/>
      <c r="O360" s="3714"/>
      <c r="P360" s="3756"/>
      <c r="Q360" s="3714"/>
      <c r="R360" s="3714"/>
      <c r="S360" s="3714"/>
      <c r="T360" s="3714"/>
      <c r="U360" s="3714"/>
      <c r="V360" s="3714"/>
      <c r="W360" s="3714"/>
      <c r="X360" s="3714"/>
      <c r="Y360" s="3714"/>
      <c r="Z360" s="3714"/>
      <c r="AA360" s="3714"/>
      <c r="AB360" s="3714"/>
      <c r="AC360" s="3714"/>
    </row>
    <row r="361" spans="1:29">
      <c r="A361" s="3714"/>
      <c r="B361" s="3714"/>
      <c r="C361" s="3714"/>
      <c r="D361" s="3714"/>
      <c r="E361" s="3714"/>
      <c r="F361" s="3714"/>
      <c r="G361" s="3714"/>
      <c r="H361" s="3714"/>
      <c r="I361" s="3714"/>
      <c r="J361" s="3714"/>
      <c r="K361" s="3715"/>
      <c r="L361" s="3716"/>
      <c r="M361" s="3714"/>
      <c r="N361" s="3714"/>
      <c r="O361" s="3714"/>
      <c r="P361" s="3756"/>
      <c r="Q361" s="3714"/>
      <c r="R361" s="3714"/>
      <c r="S361" s="3714"/>
      <c r="T361" s="3714"/>
      <c r="U361" s="3714"/>
      <c r="V361" s="3714"/>
      <c r="W361" s="3714"/>
      <c r="X361" s="3714"/>
      <c r="Y361" s="3714"/>
      <c r="Z361" s="3714"/>
      <c r="AA361" s="3714"/>
      <c r="AB361" s="3714"/>
      <c r="AC361" s="3714"/>
    </row>
    <row r="362" spans="1:29">
      <c r="A362" s="3714"/>
      <c r="B362" s="3714"/>
      <c r="C362" s="3714"/>
      <c r="D362" s="3714"/>
      <c r="E362" s="3714"/>
      <c r="F362" s="3714"/>
      <c r="G362" s="3714"/>
      <c r="H362" s="3714"/>
      <c r="I362" s="3714"/>
      <c r="J362" s="3714"/>
      <c r="K362" s="3715"/>
      <c r="L362" s="3716"/>
      <c r="M362" s="3714"/>
      <c r="N362" s="3714"/>
      <c r="O362" s="3714"/>
      <c r="P362" s="3756"/>
      <c r="Q362" s="3714"/>
      <c r="R362" s="3714"/>
      <c r="S362" s="3714"/>
      <c r="T362" s="3714"/>
      <c r="U362" s="3714"/>
      <c r="V362" s="3714"/>
      <c r="W362" s="3714"/>
      <c r="X362" s="3714"/>
      <c r="Y362" s="3714"/>
      <c r="Z362" s="3714"/>
      <c r="AA362" s="3714"/>
      <c r="AB362" s="3714"/>
      <c r="AC362" s="3714"/>
    </row>
    <row r="363" spans="1:29">
      <c r="A363" s="3714"/>
      <c r="B363" s="3714"/>
      <c r="C363" s="3714"/>
      <c r="D363" s="3714"/>
      <c r="E363" s="3714"/>
      <c r="F363" s="3714"/>
      <c r="G363" s="3714"/>
      <c r="H363" s="3714"/>
      <c r="I363" s="3714"/>
      <c r="J363" s="3714"/>
      <c r="K363" s="3715"/>
      <c r="L363" s="3716"/>
      <c r="M363" s="3714"/>
      <c r="N363" s="3714"/>
      <c r="O363" s="3714"/>
      <c r="P363" s="3756"/>
      <c r="Q363" s="3714"/>
      <c r="R363" s="3714"/>
      <c r="S363" s="3714"/>
      <c r="T363" s="3714"/>
      <c r="U363" s="3714"/>
      <c r="V363" s="3714"/>
      <c r="W363" s="3714"/>
      <c r="X363" s="3714"/>
      <c r="Y363" s="3714"/>
      <c r="Z363" s="3714"/>
      <c r="AA363" s="3714"/>
      <c r="AB363" s="3714"/>
      <c r="AC363" s="3714"/>
    </row>
    <row r="364" spans="1:29">
      <c r="A364" s="3714"/>
      <c r="B364" s="3714"/>
      <c r="C364" s="3714"/>
      <c r="D364" s="3714"/>
      <c r="E364" s="3714"/>
      <c r="F364" s="3714"/>
      <c r="G364" s="3714"/>
      <c r="H364" s="3714"/>
      <c r="I364" s="3714"/>
      <c r="J364" s="3714"/>
      <c r="K364" s="3715"/>
      <c r="L364" s="3716"/>
      <c r="M364" s="3714"/>
      <c r="N364" s="3714"/>
      <c r="O364" s="3714"/>
      <c r="P364" s="3756"/>
      <c r="Q364" s="3714"/>
      <c r="R364" s="3714"/>
      <c r="S364" s="3714"/>
      <c r="T364" s="3714"/>
      <c r="U364" s="3714"/>
      <c r="V364" s="3714"/>
      <c r="W364" s="3714"/>
      <c r="X364" s="3714"/>
      <c r="Y364" s="3714"/>
      <c r="Z364" s="3714"/>
      <c r="AA364" s="3714"/>
      <c r="AB364" s="3714"/>
      <c r="AC364" s="3714"/>
    </row>
    <row r="365" spans="1:29">
      <c r="A365" s="3714"/>
      <c r="B365" s="3714"/>
      <c r="C365" s="3714"/>
      <c r="D365" s="3714"/>
      <c r="E365" s="3714"/>
      <c r="F365" s="3714"/>
      <c r="G365" s="3714"/>
      <c r="H365" s="3714"/>
      <c r="I365" s="3714"/>
      <c r="J365" s="3714"/>
      <c r="K365" s="3715"/>
      <c r="L365" s="3716"/>
      <c r="M365" s="3714"/>
      <c r="N365" s="3714"/>
      <c r="O365" s="3714"/>
      <c r="P365" s="3756"/>
      <c r="Q365" s="3714"/>
      <c r="R365" s="3714"/>
      <c r="S365" s="3714"/>
      <c r="T365" s="3714"/>
      <c r="U365" s="3714"/>
      <c r="V365" s="3714"/>
      <c r="W365" s="3714"/>
      <c r="X365" s="3714"/>
      <c r="Y365" s="3714"/>
      <c r="Z365" s="3714"/>
      <c r="AA365" s="3714"/>
      <c r="AB365" s="3714"/>
      <c r="AC365" s="3714"/>
    </row>
    <row r="366" spans="1:29">
      <c r="A366" s="3714"/>
      <c r="B366" s="3714"/>
      <c r="C366" s="3714"/>
      <c r="D366" s="3714"/>
      <c r="E366" s="3714"/>
      <c r="F366" s="3714"/>
      <c r="G366" s="3714"/>
      <c r="H366" s="3714"/>
      <c r="I366" s="3714"/>
      <c r="J366" s="3714"/>
      <c r="K366" s="3715"/>
      <c r="L366" s="3716"/>
      <c r="M366" s="3714"/>
      <c r="N366" s="3714"/>
      <c r="O366" s="3714"/>
      <c r="P366" s="3756"/>
      <c r="Q366" s="3714"/>
      <c r="R366" s="3714"/>
      <c r="S366" s="3714"/>
      <c r="T366" s="3714"/>
      <c r="U366" s="3714"/>
      <c r="V366" s="3714"/>
      <c r="W366" s="3714"/>
      <c r="X366" s="3714"/>
      <c r="Y366" s="3714"/>
      <c r="Z366" s="3714"/>
      <c r="AA366" s="3714"/>
      <c r="AB366" s="3714"/>
      <c r="AC366" s="3714"/>
    </row>
    <row r="367" spans="1:29">
      <c r="A367" s="3714"/>
      <c r="B367" s="3714"/>
      <c r="C367" s="3714"/>
      <c r="D367" s="3714"/>
      <c r="E367" s="3714"/>
      <c r="F367" s="3714"/>
      <c r="G367" s="3714"/>
      <c r="H367" s="3714"/>
      <c r="I367" s="3714"/>
      <c r="J367" s="3714"/>
      <c r="K367" s="3715"/>
      <c r="L367" s="3716"/>
      <c r="M367" s="3714"/>
      <c r="N367" s="3714"/>
      <c r="O367" s="3714"/>
      <c r="P367" s="3756"/>
      <c r="Q367" s="3714"/>
      <c r="R367" s="3714"/>
      <c r="S367" s="3714"/>
      <c r="T367" s="3714"/>
      <c r="U367" s="3714"/>
      <c r="V367" s="3714"/>
      <c r="W367" s="3714"/>
      <c r="X367" s="3714"/>
      <c r="Y367" s="3714"/>
      <c r="Z367" s="3714"/>
      <c r="AA367" s="3714"/>
      <c r="AB367" s="3714"/>
      <c r="AC367" s="3714"/>
    </row>
    <row r="368" spans="1:29">
      <c r="A368" s="3714"/>
      <c r="B368" s="3714"/>
      <c r="C368" s="3714"/>
      <c r="D368" s="3714"/>
      <c r="E368" s="3714"/>
      <c r="F368" s="3714"/>
      <c r="G368" s="3714"/>
      <c r="H368" s="3714"/>
      <c r="I368" s="3714"/>
      <c r="J368" s="3714"/>
      <c r="K368" s="3715"/>
      <c r="L368" s="3716"/>
      <c r="M368" s="3714"/>
      <c r="N368" s="3714"/>
      <c r="O368" s="3714"/>
      <c r="P368" s="3756"/>
      <c r="Q368" s="3714"/>
      <c r="R368" s="3714"/>
      <c r="S368" s="3714"/>
      <c r="T368" s="3714"/>
      <c r="U368" s="3714"/>
      <c r="V368" s="3714"/>
      <c r="W368" s="3714"/>
      <c r="X368" s="3714"/>
      <c r="Y368" s="3714"/>
      <c r="Z368" s="3714"/>
      <c r="AA368" s="3714"/>
      <c r="AB368" s="3714"/>
      <c r="AC368" s="3714"/>
    </row>
    <row r="369" spans="1:29">
      <c r="A369" s="3714"/>
      <c r="B369" s="3714"/>
      <c r="C369" s="3714"/>
      <c r="D369" s="3714"/>
      <c r="E369" s="3714"/>
      <c r="F369" s="3714"/>
      <c r="G369" s="3714"/>
      <c r="H369" s="3714"/>
      <c r="I369" s="3714"/>
      <c r="J369" s="3714"/>
      <c r="K369" s="3715"/>
      <c r="L369" s="3716"/>
      <c r="M369" s="3714"/>
      <c r="N369" s="3714"/>
      <c r="O369" s="3714"/>
      <c r="P369" s="3756"/>
      <c r="Q369" s="3714"/>
      <c r="R369" s="3714"/>
      <c r="S369" s="3714"/>
      <c r="T369" s="3714"/>
      <c r="U369" s="3714"/>
      <c r="V369" s="3714"/>
      <c r="W369" s="3714"/>
      <c r="X369" s="3714"/>
      <c r="Y369" s="3714"/>
      <c r="Z369" s="3714"/>
      <c r="AA369" s="3714"/>
      <c r="AB369" s="3714"/>
      <c r="AC369" s="3714"/>
    </row>
    <row r="370" spans="1:29">
      <c r="A370" s="3714"/>
      <c r="B370" s="3714"/>
      <c r="C370" s="3714"/>
      <c r="D370" s="3714"/>
      <c r="E370" s="3714"/>
      <c r="F370" s="3714"/>
      <c r="G370" s="3714"/>
      <c r="H370" s="3714"/>
      <c r="I370" s="3714"/>
      <c r="J370" s="3714"/>
      <c r="K370" s="3715"/>
      <c r="L370" s="3716"/>
      <c r="M370" s="3714"/>
      <c r="N370" s="3714"/>
      <c r="O370" s="3714"/>
      <c r="P370" s="3756"/>
      <c r="Q370" s="3714"/>
      <c r="R370" s="3714"/>
      <c r="S370" s="3714"/>
      <c r="T370" s="3714"/>
      <c r="U370" s="3714"/>
      <c r="V370" s="3714"/>
      <c r="W370" s="3714"/>
      <c r="X370" s="3714"/>
      <c r="Y370" s="3714"/>
      <c r="Z370" s="3714"/>
      <c r="AA370" s="3714"/>
      <c r="AB370" s="3714"/>
      <c r="AC370" s="3714"/>
    </row>
    <row r="371" spans="1:29">
      <c r="A371" s="3714"/>
      <c r="B371" s="3714"/>
      <c r="C371" s="3714"/>
      <c r="D371" s="3714"/>
      <c r="E371" s="3714"/>
      <c r="F371" s="3714"/>
      <c r="G371" s="3714"/>
      <c r="H371" s="3714"/>
      <c r="I371" s="3714"/>
      <c r="J371" s="3714"/>
      <c r="K371" s="3715"/>
      <c r="L371" s="3716"/>
      <c r="M371" s="3714"/>
      <c r="N371" s="3714"/>
      <c r="O371" s="3714"/>
      <c r="P371" s="3756"/>
      <c r="Q371" s="3714"/>
      <c r="R371" s="3714"/>
      <c r="S371" s="3714"/>
      <c r="T371" s="3714"/>
      <c r="U371" s="3714"/>
      <c r="V371" s="3714"/>
      <c r="W371" s="3714"/>
      <c r="X371" s="3714"/>
      <c r="Y371" s="3714"/>
      <c r="Z371" s="3714"/>
      <c r="AA371" s="3714"/>
      <c r="AB371" s="3714"/>
      <c r="AC371" s="3714"/>
    </row>
    <row r="372" spans="1:29">
      <c r="A372" s="3714"/>
      <c r="B372" s="3714"/>
      <c r="C372" s="3714"/>
      <c r="D372" s="3714"/>
      <c r="E372" s="3714"/>
      <c r="F372" s="3714"/>
      <c r="G372" s="3714"/>
      <c r="H372" s="3714"/>
      <c r="I372" s="3714"/>
      <c r="J372" s="3714"/>
      <c r="K372" s="3715"/>
      <c r="L372" s="3716"/>
      <c r="M372" s="3714"/>
      <c r="N372" s="3714"/>
      <c r="O372" s="3714"/>
      <c r="P372" s="3756"/>
      <c r="Q372" s="3714"/>
      <c r="R372" s="3714"/>
      <c r="S372" s="3714"/>
      <c r="T372" s="3714"/>
      <c r="U372" s="3714"/>
      <c r="V372" s="3714"/>
      <c r="W372" s="3714"/>
      <c r="X372" s="3714"/>
      <c r="Y372" s="3714"/>
      <c r="Z372" s="3714"/>
      <c r="AA372" s="3714"/>
      <c r="AB372" s="3714"/>
      <c r="AC372" s="3714"/>
    </row>
    <row r="373" spans="1:29">
      <c r="A373" s="3714"/>
      <c r="B373" s="3714"/>
      <c r="C373" s="3714"/>
      <c r="D373" s="3714"/>
      <c r="E373" s="3714"/>
      <c r="F373" s="3714"/>
      <c r="G373" s="3714"/>
      <c r="H373" s="3714"/>
      <c r="I373" s="3714"/>
      <c r="J373" s="3714"/>
      <c r="K373" s="3715"/>
      <c r="L373" s="3716"/>
      <c r="M373" s="3714"/>
      <c r="N373" s="3714"/>
      <c r="O373" s="3714"/>
      <c r="P373" s="3756"/>
      <c r="Q373" s="3714"/>
      <c r="R373" s="3714"/>
      <c r="S373" s="3714"/>
      <c r="T373" s="3714"/>
      <c r="U373" s="3714"/>
      <c r="V373" s="3714"/>
      <c r="W373" s="3714"/>
      <c r="X373" s="3714"/>
      <c r="Y373" s="3714"/>
      <c r="Z373" s="3714"/>
      <c r="AA373" s="3714"/>
      <c r="AB373" s="3714"/>
      <c r="AC373" s="3714"/>
    </row>
    <row r="374" spans="1:29">
      <c r="A374" s="3714"/>
      <c r="B374" s="3714"/>
      <c r="C374" s="3714"/>
      <c r="D374" s="3714"/>
      <c r="E374" s="3714"/>
      <c r="F374" s="3714"/>
      <c r="G374" s="3714"/>
      <c r="H374" s="3714"/>
      <c r="I374" s="3714"/>
      <c r="J374" s="3714"/>
      <c r="K374" s="3715"/>
      <c r="L374" s="3716"/>
      <c r="M374" s="3714"/>
      <c r="N374" s="3714"/>
      <c r="O374" s="3714"/>
      <c r="P374" s="3756"/>
      <c r="Q374" s="3714"/>
      <c r="R374" s="3714"/>
      <c r="S374" s="3714"/>
      <c r="T374" s="3714"/>
      <c r="U374" s="3714"/>
      <c r="V374" s="3714"/>
      <c r="W374" s="3714"/>
      <c r="X374" s="3714"/>
      <c r="Y374" s="3714"/>
      <c r="Z374" s="3714"/>
      <c r="AA374" s="3714"/>
      <c r="AB374" s="3714"/>
      <c r="AC374" s="3714"/>
    </row>
    <row r="375" spans="1:29">
      <c r="A375" s="3714"/>
      <c r="B375" s="3714"/>
      <c r="C375" s="3714"/>
      <c r="D375" s="3714"/>
      <c r="E375" s="3714"/>
      <c r="F375" s="3714"/>
      <c r="G375" s="3714"/>
      <c r="H375" s="3714"/>
      <c r="I375" s="3714"/>
      <c r="J375" s="3714"/>
      <c r="K375" s="3715"/>
      <c r="L375" s="3716"/>
      <c r="M375" s="3714"/>
      <c r="N375" s="3714"/>
      <c r="O375" s="3714"/>
      <c r="P375" s="3756"/>
      <c r="Q375" s="3714"/>
      <c r="R375" s="3714"/>
      <c r="S375" s="3714"/>
      <c r="T375" s="3714"/>
      <c r="U375" s="3714"/>
      <c r="V375" s="3714"/>
      <c r="W375" s="3714"/>
      <c r="X375" s="3714"/>
      <c r="Y375" s="3714"/>
      <c r="Z375" s="3714"/>
      <c r="AA375" s="3714"/>
      <c r="AB375" s="3714"/>
      <c r="AC375" s="3714"/>
    </row>
    <row r="376" spans="1:29">
      <c r="A376" s="3714"/>
      <c r="B376" s="3714"/>
      <c r="C376" s="3714"/>
      <c r="D376" s="3714"/>
      <c r="E376" s="3714"/>
      <c r="F376" s="3714"/>
      <c r="G376" s="3714"/>
      <c r="H376" s="3714"/>
      <c r="I376" s="3714"/>
      <c r="J376" s="3714"/>
      <c r="K376" s="3715"/>
      <c r="L376" s="3716"/>
      <c r="M376" s="3714"/>
      <c r="N376" s="3714"/>
      <c r="O376" s="3714"/>
      <c r="P376" s="3756"/>
      <c r="Q376" s="3714"/>
      <c r="R376" s="3714"/>
      <c r="S376" s="3714"/>
      <c r="T376" s="3714"/>
      <c r="U376" s="3714"/>
      <c r="V376" s="3714"/>
      <c r="W376" s="3714"/>
      <c r="X376" s="3714"/>
      <c r="Y376" s="3714"/>
      <c r="Z376" s="3714"/>
      <c r="AA376" s="3714"/>
      <c r="AB376" s="3714"/>
      <c r="AC376" s="3714"/>
    </row>
    <row r="377" spans="1:29">
      <c r="A377" s="3714"/>
      <c r="B377" s="3714"/>
      <c r="C377" s="3714"/>
      <c r="D377" s="3714"/>
      <c r="E377" s="3714"/>
      <c r="F377" s="3714"/>
      <c r="G377" s="3714"/>
      <c r="H377" s="3714"/>
      <c r="I377" s="3714"/>
      <c r="J377" s="3714"/>
      <c r="K377" s="3715"/>
      <c r="L377" s="3716"/>
      <c r="M377" s="3714"/>
      <c r="N377" s="3714"/>
      <c r="O377" s="3714"/>
      <c r="P377" s="3756"/>
      <c r="Q377" s="3714"/>
      <c r="R377" s="3714"/>
      <c r="S377" s="3714"/>
      <c r="T377" s="3714"/>
      <c r="U377" s="3714"/>
      <c r="V377" s="3714"/>
      <c r="W377" s="3714"/>
      <c r="X377" s="3714"/>
      <c r="Y377" s="3714"/>
      <c r="Z377" s="3714"/>
      <c r="AA377" s="3714"/>
      <c r="AB377" s="3714"/>
      <c r="AC377" s="3714"/>
    </row>
    <row r="378" spans="1:29">
      <c r="A378" s="3714"/>
      <c r="B378" s="3714"/>
      <c r="C378" s="3714"/>
      <c r="D378" s="3714"/>
      <c r="E378" s="3714"/>
      <c r="F378" s="3714"/>
      <c r="G378" s="3714"/>
      <c r="H378" s="3714"/>
      <c r="I378" s="3714"/>
      <c r="J378" s="3714"/>
      <c r="K378" s="3715"/>
      <c r="L378" s="3716"/>
      <c r="M378" s="3714"/>
      <c r="N378" s="3714"/>
      <c r="O378" s="3714"/>
      <c r="P378" s="3756"/>
      <c r="Q378" s="3714"/>
      <c r="R378" s="3714"/>
      <c r="S378" s="3714"/>
      <c r="T378" s="3714"/>
      <c r="U378" s="3714"/>
      <c r="V378" s="3714"/>
      <c r="W378" s="3714"/>
      <c r="X378" s="3714"/>
      <c r="Y378" s="3714"/>
      <c r="Z378" s="3714"/>
      <c r="AA378" s="3714"/>
      <c r="AB378" s="3714"/>
      <c r="AC378" s="3714"/>
    </row>
    <row r="379" spans="1:29">
      <c r="A379" s="3714"/>
      <c r="B379" s="3714"/>
      <c r="C379" s="3714"/>
      <c r="D379" s="3714"/>
      <c r="E379" s="3714"/>
      <c r="F379" s="3714"/>
      <c r="G379" s="3714"/>
      <c r="H379" s="3714"/>
      <c r="I379" s="3714"/>
      <c r="J379" s="3714"/>
      <c r="K379" s="3715"/>
      <c r="L379" s="3716"/>
      <c r="M379" s="3714"/>
      <c r="N379" s="3714"/>
      <c r="O379" s="3714"/>
      <c r="P379" s="3756"/>
      <c r="Q379" s="3714"/>
      <c r="R379" s="3714"/>
      <c r="S379" s="3714"/>
      <c r="T379" s="3714"/>
      <c r="U379" s="3714"/>
      <c r="V379" s="3714"/>
      <c r="W379" s="3714"/>
      <c r="X379" s="3714"/>
      <c r="Y379" s="3714"/>
      <c r="Z379" s="3714"/>
      <c r="AA379" s="3714"/>
      <c r="AB379" s="3714"/>
      <c r="AC379" s="3714"/>
    </row>
    <row r="380" spans="1:29">
      <c r="A380" s="3714"/>
      <c r="B380" s="3714"/>
      <c r="C380" s="3714"/>
      <c r="D380" s="3714"/>
      <c r="E380" s="3714"/>
      <c r="F380" s="3714"/>
      <c r="G380" s="3714"/>
      <c r="H380" s="3714"/>
      <c r="I380" s="3714"/>
      <c r="J380" s="3714"/>
      <c r="K380" s="3715"/>
      <c r="L380" s="3716"/>
      <c r="M380" s="3714"/>
      <c r="N380" s="3714"/>
      <c r="O380" s="3714"/>
      <c r="P380" s="3756"/>
      <c r="Q380" s="3714"/>
      <c r="R380" s="3714"/>
      <c r="S380" s="3714"/>
      <c r="T380" s="3714"/>
      <c r="U380" s="3714"/>
      <c r="V380" s="3714"/>
      <c r="W380" s="3714"/>
      <c r="X380" s="3714"/>
      <c r="Y380" s="3714"/>
      <c r="Z380" s="3714"/>
      <c r="AA380" s="3714"/>
      <c r="AB380" s="3714"/>
      <c r="AC380" s="3714"/>
    </row>
    <row r="381" spans="1:29">
      <c r="A381" s="3714"/>
      <c r="B381" s="3714"/>
      <c r="C381" s="3714"/>
      <c r="D381" s="3714"/>
      <c r="E381" s="3714"/>
      <c r="F381" s="3714"/>
      <c r="G381" s="3714"/>
      <c r="H381" s="3714"/>
      <c r="I381" s="3714"/>
      <c r="J381" s="3714"/>
      <c r="K381" s="3715"/>
      <c r="L381" s="3716"/>
      <c r="M381" s="3714"/>
      <c r="N381" s="3714"/>
      <c r="O381" s="3714"/>
      <c r="P381" s="3756"/>
      <c r="Q381" s="3714"/>
      <c r="R381" s="3714"/>
      <c r="S381" s="3714"/>
      <c r="T381" s="3714"/>
      <c r="U381" s="3714"/>
      <c r="V381" s="3714"/>
      <c r="W381" s="3714"/>
      <c r="X381" s="3714"/>
      <c r="Y381" s="3714"/>
      <c r="Z381" s="3714"/>
      <c r="AA381" s="3714"/>
      <c r="AB381" s="3714"/>
      <c r="AC381" s="3714"/>
    </row>
    <row r="382" spans="1:29">
      <c r="A382" s="3714"/>
      <c r="B382" s="3714"/>
      <c r="C382" s="3714"/>
      <c r="D382" s="3714"/>
      <c r="E382" s="3714"/>
      <c r="F382" s="3714"/>
      <c r="G382" s="3714"/>
      <c r="H382" s="3714"/>
      <c r="I382" s="3714"/>
      <c r="J382" s="3714"/>
      <c r="K382" s="3715"/>
      <c r="L382" s="3716"/>
      <c r="M382" s="3714"/>
      <c r="N382" s="3714"/>
      <c r="O382" s="3714"/>
      <c r="P382" s="3756"/>
      <c r="Q382" s="3714"/>
      <c r="R382" s="3714"/>
      <c r="S382" s="3714"/>
      <c r="T382" s="3714"/>
      <c r="U382" s="3714"/>
      <c r="V382" s="3714"/>
      <c r="W382" s="3714"/>
      <c r="X382" s="3714"/>
      <c r="Y382" s="3714"/>
      <c r="Z382" s="3714"/>
      <c r="AA382" s="3714"/>
      <c r="AB382" s="3714"/>
      <c r="AC382" s="3714"/>
    </row>
    <row r="383" spans="1:29">
      <c r="A383" s="3714"/>
      <c r="B383" s="3714"/>
      <c r="C383" s="3714"/>
      <c r="D383" s="3714"/>
      <c r="E383" s="3714"/>
      <c r="F383" s="3714"/>
      <c r="G383" s="3714"/>
      <c r="H383" s="3714"/>
      <c r="I383" s="3714"/>
      <c r="J383" s="3714"/>
      <c r="K383" s="3715"/>
      <c r="L383" s="3716"/>
      <c r="M383" s="3714"/>
      <c r="N383" s="3714"/>
      <c r="O383" s="3714"/>
      <c r="P383" s="3756"/>
      <c r="Q383" s="3714"/>
      <c r="R383" s="3714"/>
      <c r="S383" s="3714"/>
      <c r="T383" s="3714"/>
      <c r="U383" s="3714"/>
      <c r="V383" s="3714"/>
      <c r="W383" s="3714"/>
      <c r="X383" s="3714"/>
      <c r="Y383" s="3714"/>
      <c r="Z383" s="3714"/>
      <c r="AA383" s="3714"/>
      <c r="AB383" s="3714"/>
      <c r="AC383" s="3714"/>
    </row>
    <row r="384" spans="1:29">
      <c r="A384" s="3714"/>
      <c r="B384" s="3714"/>
      <c r="C384" s="3714"/>
      <c r="D384" s="3714"/>
      <c r="E384" s="3714"/>
      <c r="F384" s="3714"/>
      <c r="G384" s="3714"/>
      <c r="H384" s="3714"/>
      <c r="I384" s="3714"/>
      <c r="J384" s="3714"/>
      <c r="K384" s="3715"/>
      <c r="L384" s="3716"/>
      <c r="M384" s="3714"/>
      <c r="N384" s="3714"/>
      <c r="O384" s="3714"/>
      <c r="P384" s="3756"/>
      <c r="Q384" s="3714"/>
      <c r="R384" s="3714"/>
      <c r="S384" s="3714"/>
      <c r="T384" s="3714"/>
      <c r="U384" s="3714"/>
      <c r="V384" s="3714"/>
      <c r="W384" s="3714"/>
      <c r="X384" s="3714"/>
      <c r="Y384" s="3714"/>
      <c r="Z384" s="3714"/>
      <c r="AA384" s="3714"/>
      <c r="AB384" s="3714"/>
      <c r="AC384" s="3714"/>
    </row>
    <row r="385" spans="1:29">
      <c r="A385" s="3714"/>
      <c r="B385" s="3714"/>
      <c r="C385" s="3714"/>
      <c r="D385" s="3714"/>
      <c r="E385" s="3714"/>
      <c r="F385" s="3714"/>
      <c r="G385" s="3714"/>
      <c r="H385" s="3714"/>
      <c r="I385" s="3714"/>
      <c r="J385" s="3714"/>
      <c r="K385" s="3715"/>
      <c r="L385" s="3716"/>
      <c r="M385" s="3714"/>
      <c r="N385" s="3714"/>
      <c r="O385" s="3714"/>
      <c r="P385" s="3756"/>
      <c r="Q385" s="3714"/>
      <c r="R385" s="3714"/>
      <c r="S385" s="3714"/>
      <c r="T385" s="3714"/>
      <c r="U385" s="3714"/>
      <c r="V385" s="3714"/>
      <c r="W385" s="3714"/>
      <c r="X385" s="3714"/>
      <c r="Y385" s="3714"/>
      <c r="Z385" s="3714"/>
      <c r="AA385" s="3714"/>
      <c r="AB385" s="3714"/>
      <c r="AC385" s="3714"/>
    </row>
    <row r="386" spans="1:29">
      <c r="A386" s="3714"/>
      <c r="B386" s="3714"/>
      <c r="C386" s="3714"/>
      <c r="D386" s="3714"/>
      <c r="E386" s="3714"/>
      <c r="F386" s="3714"/>
      <c r="G386" s="3714"/>
      <c r="H386" s="3714"/>
      <c r="I386" s="3714"/>
      <c r="J386" s="3714"/>
      <c r="K386" s="3715"/>
      <c r="L386" s="3716"/>
      <c r="M386" s="3714"/>
      <c r="N386" s="3714"/>
      <c r="O386" s="3714"/>
      <c r="P386" s="3756"/>
      <c r="Q386" s="3714"/>
      <c r="R386" s="3714"/>
      <c r="S386" s="3714"/>
      <c r="T386" s="3714"/>
      <c r="U386" s="3714"/>
      <c r="V386" s="3714"/>
      <c r="W386" s="3714"/>
      <c r="X386" s="3714"/>
      <c r="Y386" s="3714"/>
      <c r="Z386" s="3714"/>
      <c r="AA386" s="3714"/>
      <c r="AB386" s="3714"/>
      <c r="AC386" s="3714"/>
    </row>
    <row r="387" spans="1:29">
      <c r="A387" s="3714"/>
      <c r="B387" s="3714"/>
      <c r="C387" s="3714"/>
      <c r="D387" s="3714"/>
      <c r="E387" s="3714"/>
      <c r="F387" s="3714"/>
      <c r="G387" s="3714"/>
      <c r="H387" s="3714"/>
      <c r="I387" s="3714"/>
      <c r="J387" s="3714"/>
      <c r="K387" s="3715"/>
      <c r="L387" s="3716"/>
      <c r="M387" s="3714"/>
      <c r="N387" s="3714"/>
      <c r="O387" s="3714"/>
      <c r="P387" s="3756"/>
      <c r="Q387" s="3714"/>
      <c r="R387" s="3714"/>
      <c r="S387" s="3714"/>
      <c r="T387" s="3714"/>
      <c r="U387" s="3714"/>
      <c r="V387" s="3714"/>
      <c r="W387" s="3714"/>
      <c r="X387" s="3714"/>
      <c r="Y387" s="3714"/>
      <c r="Z387" s="3714"/>
      <c r="AA387" s="3714"/>
      <c r="AB387" s="3714"/>
      <c r="AC387" s="3714"/>
    </row>
    <row r="388" spans="1:29">
      <c r="A388" s="3714"/>
      <c r="B388" s="3714"/>
      <c r="C388" s="3714"/>
      <c r="D388" s="3714"/>
      <c r="E388" s="3714"/>
      <c r="F388" s="3714"/>
      <c r="G388" s="3714"/>
      <c r="H388" s="3714"/>
      <c r="I388" s="3714"/>
      <c r="J388" s="3714"/>
      <c r="K388" s="3715"/>
      <c r="L388" s="3716"/>
      <c r="M388" s="3714"/>
      <c r="N388" s="3714"/>
      <c r="O388" s="3714"/>
      <c r="P388" s="3756"/>
      <c r="Q388" s="3714"/>
      <c r="R388" s="3714"/>
      <c r="S388" s="3714"/>
      <c r="T388" s="3714"/>
      <c r="U388" s="3714"/>
      <c r="V388" s="3714"/>
      <c r="W388" s="3714"/>
      <c r="X388" s="3714"/>
      <c r="Y388" s="3714"/>
      <c r="Z388" s="3714"/>
      <c r="AA388" s="3714"/>
      <c r="AB388" s="3714"/>
      <c r="AC388" s="3714"/>
    </row>
    <row r="389" spans="1:29">
      <c r="A389" s="3714"/>
      <c r="B389" s="3714"/>
      <c r="C389" s="3714"/>
      <c r="D389" s="3714"/>
      <c r="E389" s="3714"/>
      <c r="F389" s="3714"/>
      <c r="G389" s="3714"/>
      <c r="H389" s="3714"/>
      <c r="I389" s="3714"/>
      <c r="J389" s="3714"/>
      <c r="K389" s="3715"/>
      <c r="L389" s="3716"/>
      <c r="M389" s="3714"/>
      <c r="N389" s="3714"/>
      <c r="O389" s="3714"/>
      <c r="P389" s="3756"/>
      <c r="Q389" s="3714"/>
      <c r="R389" s="3714"/>
      <c r="S389" s="3714"/>
      <c r="T389" s="3714"/>
      <c r="U389" s="3714"/>
      <c r="V389" s="3714"/>
      <c r="W389" s="3714"/>
      <c r="X389" s="3714"/>
      <c r="Y389" s="3714"/>
      <c r="Z389" s="3714"/>
      <c r="AA389" s="3714"/>
      <c r="AB389" s="3714"/>
      <c r="AC389" s="3714"/>
    </row>
    <row r="390" spans="1:29">
      <c r="A390" s="3714"/>
      <c r="B390" s="3714"/>
      <c r="C390" s="3714"/>
      <c r="D390" s="3714"/>
      <c r="E390" s="3714"/>
      <c r="F390" s="3714"/>
      <c r="G390" s="3714"/>
      <c r="H390" s="3714"/>
      <c r="I390" s="3714"/>
      <c r="J390" s="3714"/>
      <c r="K390" s="3715"/>
      <c r="L390" s="3716"/>
      <c r="M390" s="3714"/>
      <c r="N390" s="3714"/>
      <c r="O390" s="3714"/>
      <c r="P390" s="3756"/>
      <c r="Q390" s="3714"/>
      <c r="R390" s="3714"/>
      <c r="S390" s="3714"/>
      <c r="T390" s="3714"/>
      <c r="U390" s="3714"/>
      <c r="V390" s="3714"/>
      <c r="W390" s="3714"/>
      <c r="X390" s="3714"/>
      <c r="Y390" s="3714"/>
      <c r="Z390" s="3714"/>
      <c r="AA390" s="3714"/>
      <c r="AB390" s="3714"/>
      <c r="AC390" s="3714"/>
    </row>
    <row r="391" spans="1:29">
      <c r="A391" s="3714"/>
      <c r="B391" s="3714"/>
      <c r="C391" s="3714"/>
      <c r="D391" s="3714"/>
      <c r="E391" s="3714"/>
      <c r="F391" s="3714"/>
      <c r="G391" s="3714"/>
      <c r="H391" s="3714"/>
      <c r="I391" s="3714"/>
      <c r="J391" s="3714"/>
      <c r="K391" s="3715"/>
      <c r="L391" s="3716"/>
      <c r="M391" s="3714"/>
      <c r="N391" s="3714"/>
      <c r="O391" s="3714"/>
      <c r="P391" s="3756"/>
      <c r="Q391" s="3714"/>
      <c r="R391" s="3714"/>
      <c r="S391" s="3714"/>
      <c r="T391" s="3714"/>
      <c r="U391" s="3714"/>
      <c r="V391" s="3714"/>
      <c r="W391" s="3714"/>
      <c r="X391" s="3714"/>
      <c r="Y391" s="3714"/>
      <c r="Z391" s="3714"/>
      <c r="AA391" s="3714"/>
      <c r="AB391" s="3714"/>
      <c r="AC391" s="3714"/>
    </row>
    <row r="392" spans="1:29">
      <c r="A392" s="3714"/>
      <c r="B392" s="3714"/>
      <c r="C392" s="3714"/>
      <c r="D392" s="3714"/>
      <c r="E392" s="3714"/>
      <c r="F392" s="3714"/>
      <c r="G392" s="3714"/>
      <c r="H392" s="3714"/>
      <c r="I392" s="3714"/>
      <c r="J392" s="3714"/>
      <c r="K392" s="3715"/>
      <c r="L392" s="3716"/>
      <c r="M392" s="3714"/>
      <c r="N392" s="3714"/>
      <c r="O392" s="3714"/>
      <c r="P392" s="3756"/>
      <c r="Q392" s="3714"/>
      <c r="R392" s="3714"/>
      <c r="S392" s="3714"/>
      <c r="T392" s="3714"/>
      <c r="U392" s="3714"/>
      <c r="V392" s="3714"/>
      <c r="W392" s="3714"/>
      <c r="X392" s="3714"/>
      <c r="Y392" s="3714"/>
      <c r="Z392" s="3714"/>
      <c r="AA392" s="3714"/>
      <c r="AB392" s="3714"/>
      <c r="AC392" s="3714"/>
    </row>
    <row r="393" spans="1:29">
      <c r="A393" s="3714"/>
      <c r="B393" s="3714"/>
      <c r="C393" s="3714"/>
      <c r="D393" s="3714"/>
      <c r="E393" s="3714"/>
      <c r="F393" s="3714"/>
      <c r="G393" s="3714"/>
      <c r="H393" s="3714"/>
      <c r="I393" s="3714"/>
      <c r="J393" s="3714"/>
      <c r="K393" s="3715"/>
      <c r="L393" s="3716"/>
      <c r="M393" s="3714"/>
      <c r="N393" s="3714"/>
      <c r="O393" s="3714"/>
      <c r="P393" s="3756"/>
      <c r="Q393" s="3714"/>
      <c r="R393" s="3714"/>
      <c r="S393" s="3714"/>
      <c r="T393" s="3714"/>
      <c r="U393" s="3714"/>
      <c r="V393" s="3714"/>
      <c r="W393" s="3714"/>
      <c r="X393" s="3714"/>
      <c r="Y393" s="3714"/>
      <c r="Z393" s="3714"/>
      <c r="AA393" s="3714"/>
      <c r="AB393" s="3714"/>
      <c r="AC393" s="3714"/>
    </row>
    <row r="394" spans="1:29">
      <c r="A394" s="3714"/>
      <c r="B394" s="3714"/>
      <c r="C394" s="3714"/>
      <c r="D394" s="3714"/>
      <c r="E394" s="3714"/>
      <c r="F394" s="3714"/>
      <c r="G394" s="3714"/>
      <c r="H394" s="3714"/>
      <c r="I394" s="3714"/>
      <c r="J394" s="3714"/>
      <c r="K394" s="3715"/>
      <c r="L394" s="3716"/>
      <c r="M394" s="3714"/>
      <c r="N394" s="3714"/>
      <c r="O394" s="3714"/>
      <c r="P394" s="3756"/>
      <c r="Q394" s="3714"/>
      <c r="R394" s="3714"/>
      <c r="S394" s="3714"/>
      <c r="T394" s="3714"/>
      <c r="U394" s="3714"/>
      <c r="V394" s="3714"/>
      <c r="W394" s="3714"/>
      <c r="X394" s="3714"/>
      <c r="Y394" s="3714"/>
      <c r="Z394" s="3714"/>
      <c r="AA394" s="3714"/>
      <c r="AB394" s="3714"/>
      <c r="AC394" s="3714"/>
    </row>
    <row r="395" spans="1:29">
      <c r="A395" s="3714"/>
      <c r="B395" s="3714"/>
      <c r="C395" s="3714"/>
      <c r="D395" s="3714"/>
      <c r="E395" s="3714"/>
      <c r="F395" s="3714"/>
      <c r="G395" s="3714"/>
      <c r="H395" s="3714"/>
      <c r="I395" s="3714"/>
      <c r="J395" s="3714"/>
      <c r="K395" s="3715"/>
      <c r="L395" s="3716"/>
      <c r="M395" s="3714"/>
      <c r="N395" s="3714"/>
      <c r="O395" s="3714"/>
      <c r="P395" s="3756"/>
      <c r="Q395" s="3714"/>
      <c r="R395" s="3714"/>
      <c r="S395" s="3714"/>
      <c r="T395" s="3714"/>
      <c r="U395" s="3714"/>
      <c r="V395" s="3714"/>
      <c r="W395" s="3714"/>
      <c r="X395" s="3714"/>
      <c r="Y395" s="3714"/>
      <c r="Z395" s="3714"/>
      <c r="AA395" s="3714"/>
      <c r="AB395" s="3714"/>
      <c r="AC395" s="3714"/>
    </row>
    <row r="396" spans="1:29">
      <c r="A396" s="3714"/>
      <c r="B396" s="3714"/>
      <c r="C396" s="3714"/>
      <c r="D396" s="3714"/>
      <c r="E396" s="3714"/>
      <c r="F396" s="3714"/>
      <c r="G396" s="3714"/>
      <c r="H396" s="3714"/>
      <c r="I396" s="3714"/>
      <c r="J396" s="3714"/>
      <c r="K396" s="3715"/>
      <c r="L396" s="3716"/>
      <c r="M396" s="3714"/>
      <c r="N396" s="3714"/>
      <c r="O396" s="3714"/>
      <c r="P396" s="3756"/>
      <c r="Q396" s="3714"/>
      <c r="R396" s="3714"/>
      <c r="S396" s="3714"/>
      <c r="T396" s="3714"/>
      <c r="U396" s="3714"/>
      <c r="V396" s="3714"/>
      <c r="W396" s="3714"/>
      <c r="X396" s="3714"/>
      <c r="Y396" s="3714"/>
      <c r="Z396" s="3714"/>
      <c r="AA396" s="3714"/>
      <c r="AB396" s="3714"/>
      <c r="AC396" s="3714"/>
    </row>
    <row r="397" spans="1:29">
      <c r="A397" s="3714"/>
      <c r="B397" s="3714"/>
      <c r="C397" s="3714"/>
      <c r="D397" s="3714"/>
      <c r="E397" s="3714"/>
      <c r="F397" s="3714"/>
      <c r="G397" s="3714"/>
      <c r="H397" s="3714"/>
      <c r="I397" s="3714"/>
      <c r="J397" s="3714"/>
      <c r="K397" s="3715"/>
      <c r="L397" s="3716"/>
      <c r="M397" s="3714"/>
      <c r="N397" s="3714"/>
      <c r="O397" s="3714"/>
      <c r="P397" s="3756"/>
      <c r="Q397" s="3714"/>
      <c r="R397" s="3714"/>
      <c r="S397" s="3714"/>
      <c r="T397" s="3714"/>
      <c r="U397" s="3714"/>
      <c r="V397" s="3714"/>
      <c r="W397" s="3714"/>
      <c r="X397" s="3714"/>
      <c r="Y397" s="3714"/>
      <c r="Z397" s="3714"/>
      <c r="AA397" s="3714"/>
      <c r="AB397" s="3714"/>
      <c r="AC397" s="3714"/>
    </row>
    <row r="398" spans="1:29">
      <c r="A398" s="3714"/>
      <c r="B398" s="3714"/>
      <c r="C398" s="3714"/>
      <c r="D398" s="3714"/>
      <c r="E398" s="3714"/>
      <c r="F398" s="3714"/>
      <c r="G398" s="3714"/>
      <c r="H398" s="3714"/>
      <c r="I398" s="3714"/>
      <c r="J398" s="3714"/>
      <c r="K398" s="3715"/>
      <c r="L398" s="3716"/>
      <c r="M398" s="3714"/>
      <c r="N398" s="3714"/>
      <c r="O398" s="3714"/>
      <c r="P398" s="3756"/>
      <c r="Q398" s="3714"/>
      <c r="R398" s="3714"/>
      <c r="S398" s="3714"/>
      <c r="T398" s="3714"/>
      <c r="U398" s="3714"/>
      <c r="V398" s="3714"/>
      <c r="W398" s="3714"/>
      <c r="X398" s="3714"/>
      <c r="Y398" s="3714"/>
      <c r="Z398" s="3714"/>
      <c r="AA398" s="3714"/>
      <c r="AB398" s="3714"/>
      <c r="AC398" s="3714"/>
    </row>
    <row r="399" spans="1:29">
      <c r="A399" s="3714"/>
      <c r="B399" s="3714"/>
      <c r="C399" s="3714"/>
      <c r="D399" s="3714"/>
      <c r="E399" s="3714"/>
      <c r="F399" s="3714"/>
      <c r="G399" s="3714"/>
      <c r="H399" s="3714"/>
      <c r="I399" s="3714"/>
      <c r="J399" s="3714"/>
      <c r="K399" s="3715"/>
      <c r="L399" s="3716"/>
      <c r="M399" s="3714"/>
      <c r="N399" s="3714"/>
      <c r="O399" s="3714"/>
      <c r="P399" s="3756"/>
      <c r="Q399" s="3714"/>
      <c r="R399" s="3714"/>
      <c r="S399" s="3714"/>
      <c r="T399" s="3714"/>
      <c r="U399" s="3714"/>
      <c r="V399" s="3714"/>
      <c r="W399" s="3714"/>
      <c r="X399" s="3714"/>
      <c r="Y399" s="3714"/>
      <c r="Z399" s="3714"/>
      <c r="AA399" s="3714"/>
      <c r="AB399" s="3714"/>
      <c r="AC399" s="3714"/>
    </row>
    <row r="400" spans="1:29">
      <c r="A400" s="3714"/>
      <c r="B400" s="3714"/>
      <c r="C400" s="3714"/>
      <c r="D400" s="3714"/>
      <c r="E400" s="3714"/>
      <c r="F400" s="3714"/>
      <c r="G400" s="3714"/>
      <c r="H400" s="3714"/>
      <c r="I400" s="3714"/>
      <c r="J400" s="3714"/>
      <c r="K400" s="3715"/>
      <c r="L400" s="3716"/>
      <c r="M400" s="3714"/>
      <c r="N400" s="3714"/>
      <c r="O400" s="3714"/>
      <c r="P400" s="3756"/>
      <c r="Q400" s="3714"/>
      <c r="R400" s="3714"/>
      <c r="S400" s="3714"/>
      <c r="T400" s="3714"/>
      <c r="U400" s="3714"/>
      <c r="V400" s="3714"/>
      <c r="W400" s="3714"/>
      <c r="X400" s="3714"/>
      <c r="Y400" s="3714"/>
      <c r="Z400" s="3714"/>
      <c r="AA400" s="3714"/>
      <c r="AB400" s="3714"/>
      <c r="AC400" s="3714"/>
    </row>
    <row r="401" spans="1:29">
      <c r="A401" s="3714"/>
      <c r="B401" s="3714"/>
      <c r="C401" s="3714"/>
      <c r="D401" s="3714"/>
      <c r="E401" s="3714"/>
      <c r="F401" s="3714"/>
      <c r="G401" s="3714"/>
      <c r="H401" s="3714"/>
      <c r="I401" s="3714"/>
      <c r="J401" s="3714"/>
      <c r="K401" s="3715"/>
      <c r="L401" s="3716"/>
      <c r="M401" s="3714"/>
      <c r="N401" s="3714"/>
      <c r="O401" s="3714"/>
      <c r="P401" s="3756"/>
      <c r="Q401" s="3714"/>
      <c r="R401" s="3714"/>
      <c r="S401" s="3714"/>
      <c r="T401" s="3714"/>
      <c r="U401" s="3714"/>
      <c r="V401" s="3714"/>
      <c r="W401" s="3714"/>
      <c r="X401" s="3714"/>
      <c r="Y401" s="3714"/>
      <c r="Z401" s="3714"/>
      <c r="AA401" s="3714"/>
      <c r="AB401" s="3714"/>
      <c r="AC401" s="3714"/>
    </row>
    <row r="402" spans="1:29">
      <c r="A402" s="3714"/>
      <c r="B402" s="3714"/>
      <c r="C402" s="3714"/>
      <c r="D402" s="3714"/>
      <c r="E402" s="3714"/>
      <c r="F402" s="3714"/>
      <c r="G402" s="3714"/>
      <c r="H402" s="3714"/>
      <c r="I402" s="3714"/>
      <c r="J402" s="3714"/>
      <c r="K402" s="3715"/>
      <c r="L402" s="3716"/>
      <c r="M402" s="3714"/>
      <c r="N402" s="3714"/>
      <c r="O402" s="3714"/>
      <c r="P402" s="3756"/>
      <c r="Q402" s="3714"/>
      <c r="R402" s="3714"/>
      <c r="S402" s="3714"/>
      <c r="T402" s="3714"/>
      <c r="U402" s="3714"/>
      <c r="V402" s="3714"/>
      <c r="W402" s="3714"/>
      <c r="X402" s="3714"/>
      <c r="Y402" s="3714"/>
      <c r="Z402" s="3714"/>
      <c r="AA402" s="3714"/>
      <c r="AB402" s="3714"/>
      <c r="AC402" s="3714"/>
    </row>
    <row r="403" spans="1:29">
      <c r="A403" s="3714"/>
      <c r="B403" s="3714"/>
      <c r="C403" s="3714"/>
      <c r="D403" s="3714"/>
      <c r="E403" s="3714"/>
      <c r="F403" s="3714"/>
      <c r="G403" s="3714"/>
      <c r="H403" s="3714"/>
      <c r="I403" s="3714"/>
      <c r="J403" s="3714"/>
      <c r="K403" s="3715"/>
      <c r="L403" s="3716"/>
      <c r="M403" s="3714"/>
      <c r="N403" s="3714"/>
      <c r="O403" s="3714"/>
      <c r="P403" s="3756"/>
      <c r="Q403" s="3714"/>
      <c r="R403" s="3714"/>
      <c r="S403" s="3714"/>
      <c r="T403" s="3714"/>
      <c r="U403" s="3714"/>
      <c r="V403" s="3714"/>
      <c r="W403" s="3714"/>
      <c r="X403" s="3714"/>
      <c r="Y403" s="3714"/>
      <c r="Z403" s="3714"/>
      <c r="AA403" s="3714"/>
      <c r="AB403" s="3714"/>
      <c r="AC403" s="3714"/>
    </row>
    <row r="404" spans="1:29">
      <c r="A404" s="3714"/>
      <c r="B404" s="3714"/>
      <c r="C404" s="3714"/>
      <c r="D404" s="3714"/>
      <c r="E404" s="3714"/>
      <c r="F404" s="3714"/>
      <c r="G404" s="3714"/>
      <c r="H404" s="3714"/>
      <c r="I404" s="3714"/>
      <c r="J404" s="3714"/>
      <c r="K404" s="3715"/>
      <c r="L404" s="3716"/>
      <c r="M404" s="3714"/>
      <c r="N404" s="3714"/>
      <c r="O404" s="3714"/>
      <c r="P404" s="3756"/>
      <c r="Q404" s="3714"/>
      <c r="R404" s="3714"/>
      <c r="S404" s="3714"/>
      <c r="T404" s="3714"/>
      <c r="U404" s="3714"/>
      <c r="V404" s="3714"/>
      <c r="W404" s="3714"/>
      <c r="X404" s="3714"/>
      <c r="Y404" s="3714"/>
      <c r="Z404" s="3714"/>
      <c r="AA404" s="3714"/>
      <c r="AB404" s="3714"/>
      <c r="AC404" s="3714"/>
    </row>
    <row r="405" spans="1:29">
      <c r="A405" s="3714"/>
      <c r="B405" s="3714"/>
      <c r="C405" s="3714"/>
      <c r="D405" s="3714"/>
      <c r="E405" s="3714"/>
      <c r="F405" s="3714"/>
      <c r="G405" s="3714"/>
      <c r="H405" s="3714"/>
      <c r="I405" s="3714"/>
      <c r="J405" s="3714"/>
      <c r="K405" s="3715"/>
      <c r="L405" s="3716"/>
      <c r="M405" s="3714"/>
      <c r="N405" s="3714"/>
      <c r="O405" s="3714"/>
      <c r="P405" s="3756"/>
      <c r="Q405" s="3714"/>
      <c r="R405" s="3714"/>
      <c r="S405" s="3714"/>
      <c r="T405" s="3714"/>
      <c r="U405" s="3714"/>
      <c r="V405" s="3714"/>
      <c r="W405" s="3714"/>
      <c r="X405" s="3714"/>
      <c r="Y405" s="3714"/>
      <c r="Z405" s="3714"/>
      <c r="AA405" s="3714"/>
      <c r="AB405" s="3714"/>
      <c r="AC405" s="3714"/>
    </row>
    <row r="406" spans="1:29">
      <c r="A406" s="3714"/>
      <c r="B406" s="3714"/>
      <c r="C406" s="3714"/>
      <c r="D406" s="3714"/>
      <c r="E406" s="3714"/>
      <c r="F406" s="3714"/>
      <c r="G406" s="3714"/>
      <c r="H406" s="3714"/>
      <c r="I406" s="3714"/>
      <c r="J406" s="3714"/>
      <c r="K406" s="3715"/>
      <c r="L406" s="3716"/>
      <c r="M406" s="3714"/>
      <c r="N406" s="3714"/>
      <c r="O406" s="3714"/>
      <c r="P406" s="3756"/>
      <c r="Q406" s="3714"/>
      <c r="R406" s="3714"/>
      <c r="S406" s="3714"/>
      <c r="T406" s="3714"/>
      <c r="U406" s="3714"/>
      <c r="V406" s="3714"/>
      <c r="W406" s="3714"/>
      <c r="X406" s="3714"/>
      <c r="Y406" s="3714"/>
      <c r="Z406" s="3714"/>
      <c r="AA406" s="3714"/>
      <c r="AB406" s="3714"/>
      <c r="AC406" s="3714"/>
    </row>
    <row r="407" spans="1:29">
      <c r="A407" s="3714"/>
      <c r="B407" s="3714"/>
      <c r="C407" s="3714"/>
      <c r="D407" s="3714"/>
      <c r="E407" s="3714"/>
      <c r="F407" s="3714"/>
      <c r="G407" s="3714"/>
      <c r="H407" s="3714"/>
      <c r="I407" s="3714"/>
      <c r="J407" s="3714"/>
      <c r="K407" s="3715"/>
      <c r="L407" s="3716"/>
      <c r="M407" s="3714"/>
      <c r="N407" s="3714"/>
      <c r="O407" s="3714"/>
      <c r="P407" s="3756"/>
      <c r="Q407" s="3714"/>
      <c r="R407" s="3714"/>
      <c r="S407" s="3714"/>
      <c r="T407" s="3714"/>
      <c r="U407" s="3714"/>
      <c r="V407" s="3714"/>
      <c r="W407" s="3714"/>
      <c r="X407" s="3714"/>
      <c r="Y407" s="3714"/>
      <c r="Z407" s="3714"/>
      <c r="AA407" s="3714"/>
      <c r="AB407" s="3714"/>
      <c r="AC407" s="3714"/>
    </row>
    <row r="408" spans="1:29">
      <c r="A408" s="3714"/>
      <c r="B408" s="3714"/>
      <c r="C408" s="3714"/>
      <c r="D408" s="3714"/>
      <c r="E408" s="3714"/>
      <c r="F408" s="3714"/>
      <c r="G408" s="3714"/>
      <c r="H408" s="3714"/>
      <c r="I408" s="3714"/>
      <c r="J408" s="3714"/>
      <c r="K408" s="3715"/>
      <c r="L408" s="3716"/>
      <c r="M408" s="3714"/>
      <c r="N408" s="3714"/>
      <c r="O408" s="3714"/>
      <c r="P408" s="3756"/>
      <c r="Q408" s="3714"/>
      <c r="R408" s="3714"/>
      <c r="S408" s="3714"/>
      <c r="T408" s="3714"/>
      <c r="U408" s="3714"/>
      <c r="V408" s="3714"/>
      <c r="W408" s="3714"/>
      <c r="X408" s="3714"/>
      <c r="Y408" s="3714"/>
      <c r="Z408" s="3714"/>
      <c r="AA408" s="3714"/>
      <c r="AB408" s="3714"/>
      <c r="AC408" s="3714"/>
    </row>
    <row r="409" spans="1:29">
      <c r="A409" s="3714"/>
      <c r="B409" s="3714"/>
      <c r="C409" s="3714"/>
      <c r="D409" s="3714"/>
      <c r="E409" s="3714"/>
      <c r="F409" s="3714"/>
      <c r="G409" s="3714"/>
      <c r="H409" s="3714"/>
      <c r="I409" s="3714"/>
      <c r="J409" s="3714"/>
      <c r="K409" s="3715"/>
      <c r="L409" s="3716"/>
      <c r="M409" s="3714"/>
      <c r="N409" s="3714"/>
      <c r="O409" s="3714"/>
      <c r="P409" s="3756"/>
      <c r="Q409" s="3714"/>
      <c r="R409" s="3714"/>
      <c r="S409" s="3714"/>
      <c r="T409" s="3714"/>
      <c r="U409" s="3714"/>
      <c r="V409" s="3714"/>
      <c r="W409" s="3714"/>
      <c r="X409" s="3714"/>
      <c r="Y409" s="3714"/>
      <c r="Z409" s="3714"/>
      <c r="AA409" s="3714"/>
      <c r="AB409" s="3714"/>
      <c r="AC409" s="3714"/>
    </row>
    <row r="410" spans="1:29">
      <c r="A410" s="3714"/>
      <c r="B410" s="3714"/>
      <c r="C410" s="3714"/>
      <c r="D410" s="3714"/>
      <c r="E410" s="3714"/>
      <c r="F410" s="3714"/>
      <c r="G410" s="3714"/>
      <c r="H410" s="3714"/>
      <c r="I410" s="3714"/>
      <c r="J410" s="3714"/>
      <c r="K410" s="3715"/>
      <c r="L410" s="3716"/>
      <c r="M410" s="3714"/>
      <c r="N410" s="3714"/>
      <c r="O410" s="3714"/>
      <c r="P410" s="3756"/>
      <c r="Q410" s="3714"/>
      <c r="R410" s="3714"/>
      <c r="S410" s="3714"/>
      <c r="T410" s="3714"/>
      <c r="U410" s="3714"/>
      <c r="V410" s="3714"/>
      <c r="W410" s="3714"/>
      <c r="X410" s="3714"/>
      <c r="Y410" s="3714"/>
      <c r="Z410" s="3714"/>
      <c r="AA410" s="3714"/>
      <c r="AB410" s="3714"/>
      <c r="AC410" s="3714"/>
    </row>
    <row r="411" spans="1:29">
      <c r="A411" s="3714"/>
      <c r="B411" s="3714"/>
      <c r="C411" s="3714"/>
      <c r="D411" s="3714"/>
      <c r="E411" s="3714"/>
      <c r="F411" s="3714"/>
      <c r="G411" s="3714"/>
      <c r="H411" s="3714"/>
      <c r="I411" s="3714"/>
      <c r="J411" s="3714"/>
      <c r="K411" s="3715"/>
      <c r="L411" s="3716"/>
      <c r="M411" s="3714"/>
      <c r="N411" s="3714"/>
      <c r="O411" s="3714"/>
      <c r="P411" s="3756"/>
      <c r="Q411" s="3714"/>
      <c r="R411" s="3714"/>
      <c r="S411" s="3714"/>
      <c r="T411" s="3714"/>
      <c r="U411" s="3714"/>
      <c r="V411" s="3714"/>
      <c r="W411" s="3714"/>
      <c r="X411" s="3714"/>
      <c r="Y411" s="3714"/>
      <c r="Z411" s="3714"/>
      <c r="AA411" s="3714"/>
      <c r="AB411" s="3714"/>
      <c r="AC411" s="3714"/>
    </row>
    <row r="412" spans="1:29">
      <c r="A412" s="3714"/>
      <c r="B412" s="3714"/>
      <c r="C412" s="3714"/>
      <c r="D412" s="3714"/>
      <c r="E412" s="3714"/>
      <c r="F412" s="3714"/>
      <c r="G412" s="3714"/>
      <c r="H412" s="3714"/>
      <c r="I412" s="3714"/>
      <c r="J412" s="3714"/>
      <c r="K412" s="3715"/>
      <c r="L412" s="3716"/>
      <c r="M412" s="3714"/>
      <c r="N412" s="3714"/>
      <c r="O412" s="3714"/>
      <c r="P412" s="3756"/>
      <c r="Q412" s="3714"/>
      <c r="R412" s="3714"/>
      <c r="S412" s="3714"/>
      <c r="T412" s="3714"/>
      <c r="U412" s="3714"/>
      <c r="V412" s="3714"/>
      <c r="W412" s="3714"/>
      <c r="X412" s="3714"/>
      <c r="Y412" s="3714"/>
      <c r="Z412" s="3714"/>
      <c r="AA412" s="3714"/>
      <c r="AB412" s="3714"/>
      <c r="AC412" s="3714"/>
    </row>
    <row r="413" spans="1:29">
      <c r="A413" s="3714"/>
      <c r="B413" s="3714"/>
      <c r="C413" s="3714"/>
      <c r="D413" s="3714"/>
      <c r="E413" s="3714"/>
      <c r="F413" s="3714"/>
      <c r="G413" s="3714"/>
      <c r="H413" s="3714"/>
      <c r="I413" s="3714"/>
      <c r="J413" s="3714"/>
      <c r="K413" s="3715"/>
      <c r="L413" s="3716"/>
      <c r="M413" s="3714"/>
      <c r="N413" s="3714"/>
      <c r="O413" s="3714"/>
      <c r="P413" s="3756"/>
      <c r="Q413" s="3714"/>
      <c r="R413" s="3714"/>
      <c r="S413" s="3714"/>
      <c r="T413" s="3714"/>
      <c r="U413" s="3714"/>
      <c r="V413" s="3714"/>
      <c r="W413" s="3714"/>
      <c r="X413" s="3714"/>
      <c r="Y413" s="3714"/>
      <c r="Z413" s="3714"/>
      <c r="AA413" s="3714"/>
      <c r="AB413" s="3714"/>
      <c r="AC413" s="3714"/>
    </row>
    <row r="414" spans="1:29">
      <c r="A414" s="3714"/>
      <c r="B414" s="3714"/>
      <c r="C414" s="3714"/>
      <c r="D414" s="3714"/>
      <c r="E414" s="3714"/>
      <c r="F414" s="3714"/>
      <c r="G414" s="3714"/>
      <c r="H414" s="3714"/>
      <c r="I414" s="3714"/>
      <c r="J414" s="3714"/>
      <c r="K414" s="3715"/>
      <c r="L414" s="3716"/>
      <c r="M414" s="3714"/>
      <c r="N414" s="3714"/>
      <c r="O414" s="3714"/>
      <c r="P414" s="3756"/>
      <c r="Q414" s="3714"/>
      <c r="R414" s="3714"/>
      <c r="S414" s="3714"/>
      <c r="T414" s="3714"/>
      <c r="U414" s="3714"/>
      <c r="V414" s="3714"/>
      <c r="W414" s="3714"/>
      <c r="X414" s="3714"/>
      <c r="Y414" s="3714"/>
      <c r="Z414" s="3714"/>
      <c r="AA414" s="3714"/>
      <c r="AB414" s="3714"/>
      <c r="AC414" s="3714"/>
    </row>
    <row r="415" spans="1:29">
      <c r="A415" s="3714"/>
      <c r="B415" s="3714"/>
      <c r="C415" s="3714"/>
      <c r="D415" s="3714"/>
      <c r="E415" s="3714"/>
      <c r="F415" s="3714"/>
      <c r="G415" s="3714"/>
      <c r="H415" s="3714"/>
      <c r="I415" s="3714"/>
      <c r="J415" s="3714"/>
      <c r="K415" s="3715"/>
      <c r="L415" s="3716"/>
      <c r="M415" s="3714"/>
      <c r="N415" s="3714"/>
      <c r="O415" s="3714"/>
      <c r="P415" s="3756"/>
      <c r="Q415" s="3714"/>
      <c r="R415" s="3714"/>
      <c r="S415" s="3714"/>
      <c r="T415" s="3714"/>
      <c r="U415" s="3714"/>
      <c r="V415" s="3714"/>
      <c r="W415" s="3714"/>
      <c r="X415" s="3714"/>
      <c r="Y415" s="3714"/>
      <c r="Z415" s="3714"/>
      <c r="AA415" s="3714"/>
      <c r="AB415" s="3714"/>
      <c r="AC415" s="3714"/>
    </row>
    <row r="416" spans="1:29">
      <c r="A416" s="3714"/>
      <c r="B416" s="3714"/>
      <c r="C416" s="3714"/>
      <c r="D416" s="3714"/>
      <c r="E416" s="3714"/>
      <c r="F416" s="3714"/>
      <c r="G416" s="3714"/>
      <c r="H416" s="3714"/>
      <c r="I416" s="3714"/>
      <c r="J416" s="3714"/>
      <c r="K416" s="3715"/>
      <c r="L416" s="3716"/>
      <c r="M416" s="3714"/>
      <c r="N416" s="3714"/>
      <c r="O416" s="3714"/>
      <c r="P416" s="3756"/>
      <c r="Q416" s="3714"/>
      <c r="R416" s="3714"/>
      <c r="S416" s="3714"/>
      <c r="T416" s="3714"/>
      <c r="U416" s="3714"/>
      <c r="V416" s="3714"/>
      <c r="W416" s="3714"/>
      <c r="X416" s="3714"/>
      <c r="Y416" s="3714"/>
      <c r="Z416" s="3714"/>
      <c r="AA416" s="3714"/>
      <c r="AB416" s="3714"/>
      <c r="AC416" s="3714"/>
    </row>
    <row r="417" spans="1:29">
      <c r="A417" s="3714"/>
      <c r="B417" s="3714"/>
      <c r="C417" s="3714"/>
      <c r="D417" s="3714"/>
      <c r="E417" s="3714"/>
      <c r="F417" s="3714"/>
      <c r="G417" s="3714"/>
      <c r="H417" s="3714"/>
      <c r="I417" s="3714"/>
      <c r="J417" s="3714"/>
      <c r="K417" s="3715"/>
      <c r="L417" s="3716"/>
      <c r="M417" s="3714"/>
      <c r="N417" s="3714"/>
      <c r="O417" s="3714"/>
      <c r="P417" s="3756"/>
      <c r="Q417" s="3714"/>
      <c r="R417" s="3714"/>
      <c r="S417" s="3714"/>
      <c r="T417" s="3714"/>
      <c r="U417" s="3714"/>
      <c r="V417" s="3714"/>
      <c r="W417" s="3714"/>
      <c r="X417" s="3714"/>
      <c r="Y417" s="3714"/>
      <c r="Z417" s="3714"/>
      <c r="AA417" s="3714"/>
      <c r="AB417" s="3714"/>
      <c r="AC417" s="3714"/>
    </row>
    <row r="418" spans="1:29">
      <c r="A418" s="3714"/>
      <c r="B418" s="3714"/>
      <c r="C418" s="3714"/>
      <c r="D418" s="3714"/>
      <c r="E418" s="3714"/>
      <c r="F418" s="3714"/>
      <c r="G418" s="3714"/>
      <c r="H418" s="3714"/>
      <c r="I418" s="3714"/>
      <c r="J418" s="3714"/>
      <c r="K418" s="3715"/>
      <c r="L418" s="3716"/>
      <c r="M418" s="3714"/>
      <c r="N418" s="3714"/>
      <c r="O418" s="3714"/>
      <c r="P418" s="3756"/>
      <c r="Q418" s="3714"/>
      <c r="R418" s="3714"/>
      <c r="S418" s="3714"/>
      <c r="T418" s="3714"/>
      <c r="U418" s="3714"/>
      <c r="V418" s="3714"/>
      <c r="W418" s="3714"/>
      <c r="X418" s="3714"/>
      <c r="Y418" s="3714"/>
      <c r="Z418" s="3714"/>
      <c r="AA418" s="3714"/>
      <c r="AB418" s="3714"/>
      <c r="AC418" s="3714"/>
    </row>
    <row r="419" spans="1:29">
      <c r="A419" s="3714"/>
      <c r="B419" s="3714"/>
      <c r="C419" s="3714"/>
      <c r="D419" s="3714"/>
      <c r="E419" s="3714"/>
      <c r="F419" s="3714"/>
      <c r="G419" s="3714"/>
      <c r="H419" s="3714"/>
      <c r="I419" s="3714"/>
      <c r="J419" s="3714"/>
      <c r="K419" s="3715"/>
      <c r="L419" s="3716"/>
      <c r="M419" s="3714"/>
      <c r="N419" s="3714"/>
      <c r="O419" s="3714"/>
      <c r="P419" s="3756"/>
      <c r="Q419" s="3714"/>
      <c r="R419" s="3714"/>
      <c r="S419" s="3714"/>
      <c r="T419" s="3714"/>
      <c r="U419" s="3714"/>
      <c r="V419" s="3714"/>
      <c r="W419" s="3714"/>
      <c r="X419" s="3714"/>
      <c r="Y419" s="3714"/>
      <c r="Z419" s="3714"/>
      <c r="AA419" s="3714"/>
      <c r="AB419" s="3714"/>
      <c r="AC419" s="3714"/>
    </row>
    <row r="420" spans="1:29">
      <c r="A420" s="3714"/>
      <c r="B420" s="3714"/>
      <c r="C420" s="3714"/>
      <c r="D420" s="3714"/>
      <c r="E420" s="3714"/>
      <c r="F420" s="3714"/>
      <c r="G420" s="3714"/>
      <c r="H420" s="3714"/>
      <c r="I420" s="3714"/>
      <c r="J420" s="3714"/>
      <c r="K420" s="3715"/>
      <c r="L420" s="3716"/>
      <c r="M420" s="3714"/>
      <c r="N420" s="3714"/>
      <c r="O420" s="3714"/>
      <c r="P420" s="3756"/>
      <c r="Q420" s="3714"/>
      <c r="R420" s="3714"/>
      <c r="S420" s="3714"/>
      <c r="T420" s="3714"/>
      <c r="U420" s="3714"/>
      <c r="V420" s="3714"/>
      <c r="W420" s="3714"/>
      <c r="X420" s="3714"/>
      <c r="Y420" s="3714"/>
      <c r="Z420" s="3714"/>
      <c r="AA420" s="3714"/>
      <c r="AB420" s="3714"/>
      <c r="AC420" s="3714"/>
    </row>
    <row r="421" spans="1:29">
      <c r="A421" s="3714"/>
      <c r="B421" s="3714"/>
      <c r="C421" s="3714"/>
      <c r="D421" s="3714"/>
      <c r="E421" s="3714"/>
      <c r="F421" s="3714"/>
      <c r="G421" s="3714"/>
      <c r="H421" s="3714"/>
      <c r="I421" s="3714"/>
      <c r="J421" s="3714"/>
      <c r="K421" s="3715"/>
      <c r="L421" s="3716"/>
      <c r="M421" s="3714"/>
      <c r="N421" s="3714"/>
      <c r="O421" s="3714"/>
      <c r="P421" s="3756"/>
      <c r="Q421" s="3714"/>
      <c r="R421" s="3714"/>
      <c r="S421" s="3714"/>
      <c r="T421" s="3714"/>
      <c r="U421" s="3714"/>
      <c r="V421" s="3714"/>
      <c r="W421" s="3714"/>
      <c r="X421" s="3714"/>
      <c r="Y421" s="3714"/>
      <c r="Z421" s="3714"/>
      <c r="AA421" s="3714"/>
      <c r="AB421" s="3714"/>
      <c r="AC421" s="3714"/>
    </row>
    <row r="422" spans="1:29">
      <c r="A422" s="3714"/>
      <c r="B422" s="3714"/>
      <c r="C422" s="3714"/>
      <c r="D422" s="3714"/>
      <c r="E422" s="3714"/>
      <c r="F422" s="3714"/>
      <c r="G422" s="3714"/>
      <c r="H422" s="3714"/>
      <c r="I422" s="3714"/>
      <c r="J422" s="3714"/>
      <c r="K422" s="3715"/>
      <c r="L422" s="3716"/>
      <c r="M422" s="3714"/>
      <c r="N422" s="3714"/>
      <c r="O422" s="3714"/>
      <c r="P422" s="3756"/>
      <c r="Q422" s="3714"/>
      <c r="R422" s="3714"/>
      <c r="S422" s="3714"/>
      <c r="T422" s="3714"/>
      <c r="U422" s="3714"/>
      <c r="V422" s="3714"/>
      <c r="W422" s="3714"/>
      <c r="X422" s="3714"/>
      <c r="Y422" s="3714"/>
      <c r="Z422" s="3714"/>
      <c r="AA422" s="3714"/>
      <c r="AB422" s="3714"/>
      <c r="AC422" s="3714"/>
    </row>
    <row r="423" spans="1:29">
      <c r="A423" s="3714"/>
      <c r="B423" s="3714"/>
      <c r="C423" s="3714"/>
      <c r="D423" s="3714"/>
      <c r="E423" s="3714"/>
      <c r="F423" s="3714"/>
      <c r="G423" s="3714"/>
      <c r="H423" s="3714"/>
      <c r="I423" s="3714"/>
      <c r="J423" s="3714"/>
      <c r="K423" s="3715"/>
      <c r="L423" s="3716"/>
      <c r="M423" s="3714"/>
      <c r="N423" s="3714"/>
      <c r="O423" s="3714"/>
      <c r="P423" s="3756"/>
      <c r="Q423" s="3714"/>
      <c r="R423" s="3714"/>
      <c r="S423" s="3714"/>
      <c r="T423" s="3714"/>
      <c r="U423" s="3714"/>
      <c r="V423" s="3714"/>
      <c r="W423" s="3714"/>
      <c r="X423" s="3714"/>
      <c r="Y423" s="3714"/>
      <c r="Z423" s="3714"/>
      <c r="AA423" s="3714"/>
      <c r="AB423" s="3714"/>
      <c r="AC423" s="3714"/>
    </row>
    <row r="424" spans="1:29">
      <c r="A424" s="3714"/>
      <c r="B424" s="3714"/>
      <c r="C424" s="3714"/>
      <c r="D424" s="3714"/>
      <c r="E424" s="3714"/>
      <c r="F424" s="3714"/>
      <c r="G424" s="3714"/>
      <c r="H424" s="3714"/>
      <c r="I424" s="3714"/>
      <c r="J424" s="3714"/>
      <c r="K424" s="3715"/>
      <c r="L424" s="3716"/>
      <c r="M424" s="3714"/>
      <c r="N424" s="3714"/>
      <c r="O424" s="3714"/>
      <c r="P424" s="3756"/>
      <c r="Q424" s="3714"/>
      <c r="R424" s="3714"/>
      <c r="S424" s="3714"/>
      <c r="T424" s="3714"/>
      <c r="U424" s="3714"/>
      <c r="V424" s="3714"/>
      <c r="W424" s="3714"/>
      <c r="X424" s="3714"/>
      <c r="Y424" s="3714"/>
      <c r="Z424" s="3714"/>
      <c r="AA424" s="3714"/>
      <c r="AB424" s="3714"/>
      <c r="AC424" s="3714"/>
    </row>
    <row r="425" spans="1:29">
      <c r="A425" s="3714"/>
      <c r="B425" s="3714"/>
      <c r="C425" s="3714"/>
      <c r="D425" s="3714"/>
      <c r="E425" s="3714"/>
      <c r="F425" s="3714"/>
      <c r="G425" s="3714"/>
      <c r="H425" s="3714"/>
      <c r="I425" s="3714"/>
      <c r="J425" s="3714"/>
      <c r="K425" s="3715"/>
      <c r="L425" s="3716"/>
      <c r="M425" s="3714"/>
      <c r="N425" s="3714"/>
      <c r="O425" s="3714"/>
      <c r="P425" s="3756"/>
      <c r="Q425" s="3714"/>
      <c r="R425" s="3714"/>
      <c r="S425" s="3714"/>
      <c r="T425" s="3714"/>
      <c r="U425" s="3714"/>
      <c r="V425" s="3714"/>
      <c r="W425" s="3714"/>
      <c r="X425" s="3714"/>
      <c r="Y425" s="3714"/>
      <c r="Z425" s="3714"/>
      <c r="AA425" s="3714"/>
      <c r="AB425" s="3714"/>
      <c r="AC425" s="3714"/>
    </row>
    <row r="426" spans="1:29">
      <c r="A426" s="3714"/>
      <c r="B426" s="3714"/>
      <c r="C426" s="3714"/>
      <c r="D426" s="3714"/>
      <c r="E426" s="3714"/>
      <c r="F426" s="3714"/>
      <c r="G426" s="3714"/>
      <c r="H426" s="3714"/>
      <c r="I426" s="3714"/>
      <c r="J426" s="3714"/>
      <c r="K426" s="3715"/>
      <c r="L426" s="3716"/>
      <c r="M426" s="3714"/>
      <c r="N426" s="3714"/>
      <c r="O426" s="3714"/>
      <c r="P426" s="3756"/>
      <c r="Q426" s="3714"/>
      <c r="R426" s="3714"/>
      <c r="S426" s="3714"/>
      <c r="T426" s="3714"/>
      <c r="U426" s="3714"/>
      <c r="V426" s="3714"/>
      <c r="W426" s="3714"/>
      <c r="X426" s="3714"/>
      <c r="Y426" s="3714"/>
      <c r="Z426" s="3714"/>
      <c r="AA426" s="3714"/>
      <c r="AB426" s="3714"/>
      <c r="AC426" s="3714"/>
    </row>
    <row r="427" spans="1:29">
      <c r="A427" s="3714"/>
      <c r="B427" s="3714"/>
      <c r="C427" s="3714"/>
      <c r="D427" s="3714"/>
      <c r="E427" s="3714"/>
      <c r="F427" s="3714"/>
      <c r="G427" s="3714"/>
      <c r="H427" s="3714"/>
      <c r="I427" s="3714"/>
      <c r="J427" s="3714"/>
      <c r="K427" s="3715"/>
      <c r="L427" s="3716"/>
      <c r="M427" s="3714"/>
      <c r="N427" s="3714"/>
      <c r="O427" s="3714"/>
      <c r="P427" s="3756"/>
      <c r="Q427" s="3714"/>
      <c r="R427" s="3714"/>
      <c r="S427" s="3714"/>
      <c r="T427" s="3714"/>
      <c r="U427" s="3714"/>
      <c r="V427" s="3714"/>
      <c r="W427" s="3714"/>
      <c r="X427" s="3714"/>
      <c r="Y427" s="3714"/>
      <c r="Z427" s="3714"/>
      <c r="AA427" s="3714"/>
      <c r="AB427" s="3714"/>
      <c r="AC427" s="3714"/>
    </row>
    <row r="428" spans="1:29">
      <c r="A428" s="3714"/>
      <c r="B428" s="3714"/>
      <c r="C428" s="3714"/>
      <c r="D428" s="3714"/>
      <c r="E428" s="3714"/>
      <c r="F428" s="3714"/>
      <c r="G428" s="3714"/>
      <c r="H428" s="3714"/>
      <c r="I428" s="3714"/>
      <c r="J428" s="3714"/>
      <c r="K428" s="3715"/>
      <c r="L428" s="3716"/>
      <c r="M428" s="3714"/>
      <c r="N428" s="3714"/>
      <c r="O428" s="3714"/>
      <c r="P428" s="3756"/>
      <c r="Q428" s="3714"/>
      <c r="R428" s="3714"/>
      <c r="S428" s="3714"/>
      <c r="T428" s="3714"/>
      <c r="U428" s="3714"/>
      <c r="V428" s="3714"/>
      <c r="W428" s="3714"/>
      <c r="X428" s="3714"/>
      <c r="Y428" s="3714"/>
      <c r="Z428" s="3714"/>
      <c r="AA428" s="3714"/>
      <c r="AB428" s="3714"/>
      <c r="AC428" s="3714"/>
    </row>
    <row r="429" spans="1:29">
      <c r="A429" s="3714"/>
      <c r="B429" s="3714"/>
      <c r="C429" s="3714"/>
      <c r="D429" s="3714"/>
      <c r="E429" s="3714"/>
      <c r="F429" s="3714"/>
      <c r="G429" s="3714"/>
      <c r="H429" s="3714"/>
      <c r="I429" s="3714"/>
      <c r="J429" s="3714"/>
      <c r="K429" s="3715"/>
      <c r="L429" s="3716"/>
      <c r="M429" s="3714"/>
      <c r="N429" s="3714"/>
      <c r="O429" s="3714"/>
      <c r="P429" s="3756"/>
      <c r="Q429" s="3714"/>
      <c r="R429" s="3714"/>
      <c r="S429" s="3714"/>
      <c r="T429" s="3714"/>
      <c r="U429" s="3714"/>
      <c r="V429" s="3714"/>
      <c r="W429" s="3714"/>
      <c r="X429" s="3714"/>
      <c r="Y429" s="3714"/>
      <c r="Z429" s="3714"/>
      <c r="AA429" s="3714"/>
      <c r="AB429" s="3714"/>
      <c r="AC429" s="3714"/>
    </row>
    <row r="430" spans="1:29">
      <c r="A430" s="3714"/>
      <c r="B430" s="3714"/>
      <c r="C430" s="3714"/>
      <c r="D430" s="3714"/>
      <c r="E430" s="3714"/>
      <c r="F430" s="3714"/>
      <c r="G430" s="3714"/>
      <c r="H430" s="3714"/>
      <c r="I430" s="3714"/>
      <c r="J430" s="3714"/>
      <c r="K430" s="3715"/>
      <c r="L430" s="3716"/>
      <c r="M430" s="3714"/>
      <c r="N430" s="3714"/>
      <c r="O430" s="3714"/>
      <c r="P430" s="3756"/>
      <c r="Q430" s="3714"/>
      <c r="R430" s="3714"/>
      <c r="S430" s="3714"/>
      <c r="T430" s="3714"/>
      <c r="U430" s="3714"/>
      <c r="V430" s="3714"/>
      <c r="W430" s="3714"/>
      <c r="X430" s="3714"/>
      <c r="Y430" s="3714"/>
      <c r="Z430" s="3714"/>
      <c r="AA430" s="3714"/>
      <c r="AB430" s="3714"/>
      <c r="AC430" s="3714"/>
    </row>
    <row r="431" spans="1:29">
      <c r="A431" s="3714"/>
      <c r="B431" s="3714"/>
      <c r="C431" s="3714"/>
      <c r="D431" s="3714"/>
      <c r="E431" s="3714"/>
      <c r="F431" s="3714"/>
      <c r="G431" s="3714"/>
      <c r="H431" s="3714"/>
      <c r="I431" s="3714"/>
      <c r="J431" s="3714"/>
      <c r="K431" s="3715"/>
      <c r="L431" s="3716"/>
      <c r="M431" s="3714"/>
      <c r="N431" s="3714"/>
      <c r="O431" s="3714"/>
      <c r="P431" s="3756"/>
      <c r="Q431" s="3714"/>
      <c r="R431" s="3714"/>
      <c r="S431" s="3714"/>
      <c r="T431" s="3714"/>
      <c r="U431" s="3714"/>
      <c r="V431" s="3714"/>
      <c r="W431" s="3714"/>
      <c r="X431" s="3714"/>
      <c r="Y431" s="3714"/>
      <c r="Z431" s="3714"/>
      <c r="AA431" s="3714"/>
      <c r="AB431" s="3714"/>
      <c r="AC431" s="3714"/>
    </row>
    <row r="432" spans="1:29">
      <c r="A432" s="3714"/>
      <c r="B432" s="3714"/>
      <c r="C432" s="3714"/>
      <c r="D432" s="3714"/>
      <c r="E432" s="3714"/>
      <c r="F432" s="3714"/>
      <c r="G432" s="3714"/>
      <c r="H432" s="3714"/>
      <c r="I432" s="3714"/>
      <c r="J432" s="3714"/>
      <c r="K432" s="3715"/>
      <c r="L432" s="3716"/>
      <c r="M432" s="3714"/>
      <c r="N432" s="3714"/>
      <c r="O432" s="3714"/>
      <c r="P432" s="3756"/>
      <c r="Q432" s="3714"/>
      <c r="R432" s="3714"/>
      <c r="S432" s="3714"/>
      <c r="T432" s="3714"/>
      <c r="U432" s="3714"/>
      <c r="V432" s="3714"/>
      <c r="W432" s="3714"/>
      <c r="X432" s="3714"/>
      <c r="Y432" s="3714"/>
      <c r="Z432" s="3714"/>
      <c r="AA432" s="3714"/>
      <c r="AB432" s="3714"/>
      <c r="AC432" s="3714"/>
    </row>
    <row r="433" spans="1:29">
      <c r="A433" s="3714"/>
      <c r="B433" s="3714"/>
      <c r="C433" s="3714"/>
      <c r="D433" s="3714"/>
      <c r="E433" s="3714"/>
      <c r="F433" s="3714"/>
      <c r="G433" s="3714"/>
      <c r="H433" s="3714"/>
      <c r="I433" s="3714"/>
      <c r="J433" s="3714"/>
      <c r="K433" s="3715"/>
      <c r="L433" s="3716"/>
      <c r="M433" s="3714"/>
      <c r="N433" s="3714"/>
      <c r="O433" s="3714"/>
      <c r="P433" s="3756"/>
      <c r="Q433" s="3714"/>
      <c r="R433" s="3714"/>
      <c r="S433" s="3714"/>
      <c r="T433" s="3714"/>
      <c r="U433" s="3714"/>
      <c r="V433" s="3714"/>
      <c r="W433" s="3714"/>
      <c r="X433" s="3714"/>
      <c r="Y433" s="3714"/>
      <c r="Z433" s="3714"/>
      <c r="AA433" s="3714"/>
      <c r="AB433" s="3714"/>
      <c r="AC433" s="3714"/>
    </row>
    <row r="434" spans="1:29">
      <c r="A434" s="3714"/>
      <c r="B434" s="3714"/>
      <c r="C434" s="3714"/>
      <c r="D434" s="3714"/>
      <c r="E434" s="3714"/>
      <c r="F434" s="3714"/>
      <c r="G434" s="3714"/>
      <c r="H434" s="3714"/>
      <c r="I434" s="3714"/>
      <c r="J434" s="3714"/>
      <c r="K434" s="3715"/>
      <c r="L434" s="3716"/>
      <c r="M434" s="3714"/>
      <c r="N434" s="3714"/>
      <c r="O434" s="3714"/>
      <c r="P434" s="3756"/>
      <c r="Q434" s="3714"/>
      <c r="R434" s="3714"/>
      <c r="S434" s="3714"/>
      <c r="T434" s="3714"/>
      <c r="U434" s="3714"/>
      <c r="V434" s="3714"/>
      <c r="W434" s="3714"/>
      <c r="X434" s="3714"/>
      <c r="Y434" s="3714"/>
      <c r="Z434" s="3714"/>
      <c r="AA434" s="3714"/>
      <c r="AB434" s="3714"/>
      <c r="AC434" s="3714"/>
    </row>
    <row r="435" spans="1:29">
      <c r="A435" s="3714"/>
      <c r="B435" s="3714"/>
      <c r="C435" s="3714"/>
      <c r="D435" s="3714"/>
      <c r="E435" s="3714"/>
      <c r="F435" s="3714"/>
      <c r="G435" s="3714"/>
      <c r="H435" s="3714"/>
      <c r="I435" s="3714"/>
      <c r="J435" s="3714"/>
      <c r="K435" s="3715"/>
      <c r="L435" s="3716"/>
      <c r="M435" s="3714"/>
      <c r="N435" s="3714"/>
      <c r="O435" s="3714"/>
      <c r="P435" s="3756"/>
      <c r="Q435" s="3714"/>
      <c r="R435" s="3714"/>
      <c r="S435" s="3714"/>
      <c r="T435" s="3714"/>
      <c r="U435" s="3714"/>
      <c r="V435" s="3714"/>
      <c r="W435" s="3714"/>
      <c r="X435" s="3714"/>
      <c r="Y435" s="3714"/>
      <c r="Z435" s="3714"/>
      <c r="AA435" s="3714"/>
      <c r="AB435" s="3714"/>
      <c r="AC435" s="3714"/>
    </row>
    <row r="436" spans="1:29">
      <c r="A436" s="3714"/>
      <c r="B436" s="3714"/>
      <c r="C436" s="3714"/>
      <c r="D436" s="3714"/>
      <c r="E436" s="3714"/>
      <c r="F436" s="3714"/>
      <c r="G436" s="3714"/>
      <c r="H436" s="3714"/>
      <c r="I436" s="3714"/>
      <c r="J436" s="3714"/>
      <c r="K436" s="3715"/>
      <c r="L436" s="3716"/>
      <c r="M436" s="3714"/>
      <c r="N436" s="3714"/>
      <c r="O436" s="3714"/>
      <c r="P436" s="3756"/>
      <c r="Q436" s="3714"/>
      <c r="R436" s="3714"/>
      <c r="S436" s="3714"/>
      <c r="T436" s="3714"/>
      <c r="U436" s="3714"/>
      <c r="V436" s="3714"/>
      <c r="W436" s="3714"/>
      <c r="X436" s="3714"/>
      <c r="Y436" s="3714"/>
      <c r="Z436" s="3714"/>
      <c r="AA436" s="3714"/>
      <c r="AB436" s="3714"/>
      <c r="AC436" s="3714"/>
    </row>
    <row r="437" spans="1:29">
      <c r="A437" s="3714"/>
      <c r="B437" s="3714"/>
      <c r="C437" s="3714"/>
      <c r="D437" s="3714"/>
      <c r="E437" s="3714"/>
      <c r="F437" s="3714"/>
      <c r="G437" s="3714"/>
      <c r="H437" s="3714"/>
      <c r="I437" s="3714"/>
      <c r="J437" s="3714"/>
      <c r="K437" s="3715"/>
      <c r="L437" s="3716"/>
      <c r="M437" s="3714"/>
      <c r="N437" s="3714"/>
      <c r="O437" s="3714"/>
      <c r="P437" s="3756"/>
      <c r="Q437" s="3714"/>
      <c r="R437" s="3714"/>
      <c r="S437" s="3714"/>
      <c r="T437" s="3714"/>
      <c r="U437" s="3714"/>
      <c r="V437" s="3714"/>
      <c r="W437" s="3714"/>
      <c r="X437" s="3714"/>
      <c r="Y437" s="3714"/>
      <c r="Z437" s="3714"/>
      <c r="AA437" s="3714"/>
      <c r="AB437" s="3714"/>
      <c r="AC437" s="3714"/>
    </row>
    <row r="438" spans="1:29">
      <c r="A438" s="3714"/>
      <c r="B438" s="3714"/>
      <c r="C438" s="3714"/>
      <c r="D438" s="3714"/>
      <c r="E438" s="3714"/>
      <c r="F438" s="3714"/>
      <c r="G438" s="3714"/>
      <c r="H438" s="3714"/>
      <c r="I438" s="3714"/>
      <c r="J438" s="3714"/>
      <c r="K438" s="3715"/>
      <c r="L438" s="3716"/>
      <c r="M438" s="3714"/>
      <c r="N438" s="3714"/>
      <c r="O438" s="3714"/>
      <c r="P438" s="3756"/>
      <c r="Q438" s="3714"/>
      <c r="R438" s="3714"/>
      <c r="S438" s="3714"/>
      <c r="T438" s="3714"/>
      <c r="U438" s="3714"/>
      <c r="V438" s="3714"/>
      <c r="W438" s="3714"/>
      <c r="X438" s="3714"/>
      <c r="Y438" s="3714"/>
      <c r="Z438" s="3714"/>
      <c r="AA438" s="3714"/>
      <c r="AB438" s="3714"/>
      <c r="AC438" s="3714"/>
    </row>
    <row r="439" spans="1:29">
      <c r="A439" s="3714"/>
      <c r="B439" s="3714"/>
      <c r="C439" s="3714"/>
      <c r="D439" s="3714"/>
      <c r="E439" s="3714"/>
      <c r="F439" s="3714"/>
      <c r="G439" s="3714"/>
      <c r="H439" s="3714"/>
      <c r="I439" s="3714"/>
      <c r="J439" s="3714"/>
      <c r="K439" s="3715"/>
      <c r="L439" s="3716"/>
      <c r="M439" s="3714"/>
      <c r="N439" s="3714"/>
      <c r="O439" s="3714"/>
      <c r="P439" s="3756"/>
      <c r="Q439" s="3714"/>
      <c r="R439" s="3714"/>
      <c r="S439" s="3714"/>
      <c r="T439" s="3714"/>
      <c r="U439" s="3714"/>
      <c r="V439" s="3714"/>
      <c r="W439" s="3714"/>
      <c r="X439" s="3714"/>
      <c r="Y439" s="3714"/>
      <c r="Z439" s="3714"/>
      <c r="AA439" s="3714"/>
      <c r="AB439" s="3714"/>
      <c r="AC439" s="3714"/>
    </row>
    <row r="440" spans="1:29">
      <c r="A440" s="3714"/>
      <c r="B440" s="3714"/>
      <c r="C440" s="3714"/>
      <c r="D440" s="3714"/>
      <c r="E440" s="3714"/>
      <c r="F440" s="3714"/>
      <c r="G440" s="3714"/>
      <c r="H440" s="3714"/>
      <c r="I440" s="3714"/>
      <c r="J440" s="3714"/>
      <c r="K440" s="3715"/>
      <c r="L440" s="3716"/>
      <c r="M440" s="3714"/>
      <c r="N440" s="3714"/>
      <c r="O440" s="3714"/>
      <c r="P440" s="3756"/>
      <c r="Q440" s="3714"/>
      <c r="R440" s="3714"/>
      <c r="S440" s="3714"/>
      <c r="T440" s="3714"/>
      <c r="U440" s="3714"/>
      <c r="V440" s="3714"/>
      <c r="W440" s="3714"/>
      <c r="X440" s="3714"/>
      <c r="Y440" s="3714"/>
      <c r="Z440" s="3714"/>
      <c r="AA440" s="3714"/>
      <c r="AB440" s="3714"/>
      <c r="AC440" s="3714"/>
    </row>
    <row r="441" spans="1:29">
      <c r="A441" s="3714"/>
      <c r="B441" s="3714"/>
      <c r="C441" s="3714"/>
      <c r="D441" s="3714"/>
      <c r="E441" s="3714"/>
      <c r="F441" s="3714"/>
      <c r="G441" s="3714"/>
      <c r="H441" s="3714"/>
      <c r="I441" s="3714"/>
      <c r="J441" s="3714"/>
      <c r="K441" s="3715"/>
      <c r="L441" s="3716"/>
      <c r="M441" s="3714"/>
      <c r="N441" s="3714"/>
      <c r="O441" s="3714"/>
      <c r="P441" s="3756"/>
      <c r="Q441" s="3714"/>
      <c r="R441" s="3714"/>
      <c r="S441" s="3714"/>
      <c r="T441" s="3714"/>
      <c r="U441" s="3714"/>
      <c r="V441" s="3714"/>
      <c r="W441" s="3714"/>
      <c r="X441" s="3714"/>
      <c r="Y441" s="3714"/>
      <c r="Z441" s="3714"/>
      <c r="AA441" s="3714"/>
      <c r="AB441" s="3714"/>
      <c r="AC441" s="3714"/>
    </row>
    <row r="442" spans="1:29">
      <c r="A442" s="3714"/>
      <c r="B442" s="3714"/>
      <c r="C442" s="3714"/>
      <c r="D442" s="3714"/>
      <c r="E442" s="3714"/>
      <c r="F442" s="3714"/>
      <c r="G442" s="3714"/>
      <c r="H442" s="3714"/>
      <c r="I442" s="3714"/>
      <c r="J442" s="3714"/>
      <c r="K442" s="3715"/>
      <c r="L442" s="3716"/>
      <c r="M442" s="3714"/>
      <c r="N442" s="3714"/>
      <c r="O442" s="3714"/>
      <c r="P442" s="3756"/>
      <c r="Q442" s="3714"/>
      <c r="R442" s="3714"/>
      <c r="S442" s="3714"/>
      <c r="T442" s="3714"/>
      <c r="U442" s="3714"/>
      <c r="V442" s="3714"/>
      <c r="W442" s="3714"/>
      <c r="X442" s="3714"/>
      <c r="Y442" s="3714"/>
      <c r="Z442" s="3714"/>
      <c r="AA442" s="3714"/>
      <c r="AB442" s="3714"/>
      <c r="AC442" s="3714"/>
    </row>
    <row r="443" spans="1:29">
      <c r="A443" s="3714"/>
      <c r="B443" s="3714"/>
      <c r="C443" s="3714"/>
      <c r="D443" s="3714"/>
      <c r="E443" s="3714"/>
      <c r="F443" s="3714"/>
      <c r="G443" s="3714"/>
      <c r="H443" s="3714"/>
      <c r="I443" s="3714"/>
      <c r="J443" s="3714"/>
      <c r="K443" s="3715"/>
      <c r="L443" s="3716"/>
      <c r="M443" s="3714"/>
      <c r="N443" s="3714"/>
      <c r="O443" s="3714"/>
      <c r="P443" s="3756"/>
      <c r="Q443" s="3714"/>
      <c r="R443" s="3714"/>
      <c r="S443" s="3714"/>
      <c r="T443" s="3714"/>
      <c r="U443" s="3714"/>
      <c r="V443" s="3714"/>
      <c r="W443" s="3714"/>
      <c r="X443" s="3714"/>
      <c r="Y443" s="3714"/>
      <c r="Z443" s="3714"/>
      <c r="AA443" s="3714"/>
      <c r="AB443" s="3714"/>
      <c r="AC443" s="3714"/>
    </row>
    <row r="444" spans="1:29">
      <c r="A444" s="3714"/>
      <c r="B444" s="3714"/>
      <c r="C444" s="3714"/>
      <c r="D444" s="3714"/>
      <c r="E444" s="3714"/>
      <c r="F444" s="3714"/>
      <c r="G444" s="3714"/>
      <c r="H444" s="3714"/>
      <c r="I444" s="3714"/>
      <c r="J444" s="3714"/>
      <c r="K444" s="3715"/>
      <c r="L444" s="3716"/>
      <c r="M444" s="3714"/>
      <c r="N444" s="3714"/>
      <c r="O444" s="3714"/>
      <c r="P444" s="3756"/>
      <c r="Q444" s="3714"/>
      <c r="R444" s="3714"/>
      <c r="S444" s="3714"/>
      <c r="T444" s="3714"/>
      <c r="U444" s="3714"/>
      <c r="V444" s="3714"/>
      <c r="W444" s="3714"/>
      <c r="X444" s="3714"/>
      <c r="Y444" s="3714"/>
      <c r="Z444" s="3714"/>
      <c r="AA444" s="3714"/>
      <c r="AB444" s="3714"/>
      <c r="AC444" s="3714"/>
    </row>
    <row r="445" spans="1:29">
      <c r="A445" s="3714"/>
      <c r="B445" s="3714"/>
      <c r="C445" s="3714"/>
      <c r="D445" s="3714"/>
      <c r="E445" s="3714"/>
      <c r="F445" s="3714"/>
      <c r="G445" s="3714"/>
      <c r="H445" s="3714"/>
      <c r="I445" s="3714"/>
      <c r="J445" s="3714"/>
      <c r="K445" s="3715"/>
      <c r="L445" s="3716"/>
      <c r="M445" s="3714"/>
      <c r="N445" s="3714"/>
      <c r="O445" s="3714"/>
      <c r="P445" s="3756"/>
      <c r="Q445" s="3714"/>
      <c r="R445" s="3714"/>
      <c r="S445" s="3714"/>
      <c r="T445" s="3714"/>
      <c r="U445" s="3714"/>
      <c r="V445" s="3714"/>
      <c r="W445" s="3714"/>
      <c r="X445" s="3714"/>
      <c r="Y445" s="3714"/>
      <c r="Z445" s="3714"/>
      <c r="AA445" s="3714"/>
      <c r="AB445" s="3714"/>
      <c r="AC445" s="3714"/>
    </row>
    <row r="446" spans="1:29">
      <c r="A446" s="3714"/>
      <c r="B446" s="3714"/>
      <c r="C446" s="3714"/>
      <c r="D446" s="3714"/>
      <c r="E446" s="3714"/>
      <c r="F446" s="3714"/>
      <c r="G446" s="3714"/>
      <c r="H446" s="3714"/>
      <c r="I446" s="3714"/>
      <c r="J446" s="3714"/>
      <c r="K446" s="3715"/>
      <c r="L446" s="3716"/>
      <c r="M446" s="3714"/>
      <c r="N446" s="3714"/>
      <c r="O446" s="3714"/>
      <c r="P446" s="3756"/>
      <c r="Q446" s="3714"/>
      <c r="R446" s="3714"/>
      <c r="S446" s="3714"/>
      <c r="T446" s="3714"/>
      <c r="U446" s="3714"/>
      <c r="V446" s="3714"/>
      <c r="W446" s="3714"/>
      <c r="X446" s="3714"/>
      <c r="Y446" s="3714"/>
      <c r="Z446" s="3714"/>
      <c r="AA446" s="3714"/>
      <c r="AB446" s="3714"/>
      <c r="AC446" s="3714"/>
    </row>
    <row r="447" spans="1:29">
      <c r="A447" s="3714"/>
      <c r="B447" s="3714"/>
      <c r="C447" s="3714"/>
      <c r="D447" s="3714"/>
      <c r="E447" s="3714"/>
      <c r="F447" s="3714"/>
      <c r="G447" s="3714"/>
      <c r="H447" s="3714"/>
      <c r="I447" s="3714"/>
      <c r="J447" s="3714"/>
      <c r="K447" s="3715"/>
      <c r="L447" s="3716"/>
      <c r="M447" s="3714"/>
      <c r="N447" s="3714"/>
      <c r="O447" s="3714"/>
      <c r="P447" s="3756"/>
      <c r="Q447" s="3714"/>
      <c r="R447" s="3714"/>
      <c r="S447" s="3714"/>
      <c r="T447" s="3714"/>
      <c r="U447" s="3714"/>
      <c r="V447" s="3714"/>
      <c r="W447" s="3714"/>
      <c r="X447" s="3714"/>
      <c r="Y447" s="3714"/>
      <c r="Z447" s="3714"/>
      <c r="AA447" s="3714"/>
      <c r="AB447" s="3714"/>
      <c r="AC447" s="3714"/>
    </row>
    <row r="448" spans="1:29">
      <c r="A448" s="3714"/>
      <c r="B448" s="3714"/>
      <c r="C448" s="3714"/>
      <c r="D448" s="3714"/>
      <c r="E448" s="3714"/>
      <c r="F448" s="3714"/>
      <c r="G448" s="3714"/>
      <c r="H448" s="3714"/>
      <c r="I448" s="3714"/>
      <c r="J448" s="3714"/>
      <c r="K448" s="3715"/>
      <c r="L448" s="3716"/>
      <c r="M448" s="3714"/>
      <c r="N448" s="3714"/>
      <c r="O448" s="3714"/>
      <c r="P448" s="3756"/>
      <c r="Q448" s="3714"/>
      <c r="R448" s="3714"/>
      <c r="S448" s="3714"/>
      <c r="T448" s="3714"/>
      <c r="U448" s="3714"/>
      <c r="V448" s="3714"/>
      <c r="W448" s="3714"/>
      <c r="X448" s="3714"/>
      <c r="Y448" s="3714"/>
      <c r="Z448" s="3714"/>
      <c r="AA448" s="3714"/>
      <c r="AB448" s="3714"/>
      <c r="AC448" s="3714"/>
    </row>
    <row r="449" spans="1:29">
      <c r="A449" s="3714"/>
      <c r="B449" s="3714"/>
      <c r="C449" s="3714"/>
      <c r="D449" s="3714"/>
      <c r="E449" s="3714"/>
      <c r="F449" s="3714"/>
      <c r="G449" s="3714"/>
      <c r="H449" s="3714"/>
      <c r="I449" s="3714"/>
      <c r="J449" s="3714"/>
      <c r="K449" s="3715"/>
      <c r="L449" s="3716"/>
      <c r="M449" s="3714"/>
      <c r="N449" s="3714"/>
      <c r="O449" s="3714"/>
      <c r="P449" s="3756"/>
      <c r="Q449" s="3714"/>
      <c r="R449" s="3714"/>
      <c r="S449" s="3714"/>
      <c r="T449" s="3714"/>
      <c r="U449" s="3714"/>
      <c r="V449" s="3714"/>
      <c r="W449" s="3714"/>
      <c r="X449" s="3714"/>
      <c r="Y449" s="3714"/>
      <c r="Z449" s="3714"/>
      <c r="AA449" s="3714"/>
      <c r="AB449" s="3714"/>
      <c r="AC449" s="3714"/>
    </row>
    <row r="450" spans="1:29">
      <c r="A450" s="3714"/>
      <c r="B450" s="3714"/>
      <c r="C450" s="3714"/>
      <c r="D450" s="3714"/>
      <c r="E450" s="3714"/>
      <c r="F450" s="3714"/>
      <c r="G450" s="3714"/>
      <c r="H450" s="3714"/>
      <c r="I450" s="3714"/>
      <c r="J450" s="3714"/>
      <c r="K450" s="3715"/>
      <c r="L450" s="3716"/>
      <c r="M450" s="3714"/>
      <c r="N450" s="3714"/>
      <c r="O450" s="3714"/>
      <c r="P450" s="3756"/>
      <c r="Q450" s="3714"/>
      <c r="R450" s="3714"/>
      <c r="S450" s="3714"/>
      <c r="T450" s="3714"/>
      <c r="U450" s="3714"/>
      <c r="V450" s="3714"/>
      <c r="W450" s="3714"/>
      <c r="X450" s="3714"/>
      <c r="Y450" s="3714"/>
      <c r="Z450" s="3714"/>
      <c r="AA450" s="3714"/>
      <c r="AB450" s="3714"/>
      <c r="AC450" s="3714"/>
    </row>
    <row r="451" spans="1:29">
      <c r="A451" s="3714"/>
      <c r="B451" s="3714"/>
      <c r="C451" s="3714"/>
      <c r="D451" s="3714"/>
      <c r="E451" s="3714"/>
      <c r="F451" s="3714"/>
      <c r="G451" s="3714"/>
      <c r="H451" s="3714"/>
      <c r="I451" s="3714"/>
      <c r="J451" s="3714"/>
      <c r="K451" s="3715"/>
      <c r="L451" s="3716"/>
      <c r="M451" s="3714"/>
      <c r="N451" s="3714"/>
      <c r="O451" s="3714"/>
      <c r="P451" s="3756"/>
      <c r="Q451" s="3714"/>
      <c r="R451" s="3714"/>
      <c r="S451" s="3714"/>
      <c r="T451" s="3714"/>
      <c r="U451" s="3714"/>
      <c r="V451" s="3714"/>
      <c r="W451" s="3714"/>
      <c r="X451" s="3714"/>
      <c r="Y451" s="3714"/>
      <c r="Z451" s="3714"/>
      <c r="AA451" s="3714"/>
      <c r="AB451" s="3714"/>
      <c r="AC451" s="3714"/>
    </row>
    <row r="452" spans="1:29">
      <c r="A452" s="3714"/>
      <c r="B452" s="3714"/>
      <c r="C452" s="3714"/>
      <c r="D452" s="3714"/>
      <c r="E452" s="3714"/>
      <c r="F452" s="3714"/>
      <c r="G452" s="3714"/>
      <c r="H452" s="3714"/>
      <c r="I452" s="3714"/>
      <c r="J452" s="3714"/>
      <c r="K452" s="3715"/>
      <c r="L452" s="3716"/>
      <c r="M452" s="3714"/>
      <c r="N452" s="3714"/>
      <c r="O452" s="3714"/>
      <c r="P452" s="3756"/>
      <c r="Q452" s="3714"/>
      <c r="R452" s="3714"/>
      <c r="S452" s="3714"/>
      <c r="T452" s="3714"/>
      <c r="U452" s="3714"/>
      <c r="V452" s="3714"/>
      <c r="W452" s="3714"/>
      <c r="X452" s="3714"/>
      <c r="Y452" s="3714"/>
      <c r="Z452" s="3714"/>
      <c r="AA452" s="3714"/>
      <c r="AB452" s="3714"/>
      <c r="AC452" s="3714"/>
    </row>
    <row r="453" spans="1:29">
      <c r="A453" s="3714"/>
      <c r="B453" s="3714"/>
      <c r="C453" s="3714"/>
      <c r="D453" s="3714"/>
      <c r="E453" s="3714"/>
      <c r="F453" s="3714"/>
      <c r="G453" s="3714"/>
      <c r="H453" s="3714"/>
      <c r="I453" s="3714"/>
      <c r="J453" s="3714"/>
      <c r="K453" s="3715"/>
      <c r="L453" s="3716"/>
      <c r="M453" s="3714"/>
      <c r="N453" s="3714"/>
      <c r="O453" s="3714"/>
      <c r="P453" s="3756"/>
      <c r="Q453" s="3714"/>
      <c r="R453" s="3714"/>
      <c r="S453" s="3714"/>
      <c r="T453" s="3714"/>
      <c r="U453" s="3714"/>
      <c r="V453" s="3714"/>
      <c r="W453" s="3714"/>
      <c r="X453" s="3714"/>
      <c r="Y453" s="3714"/>
      <c r="Z453" s="3714"/>
      <c r="AA453" s="3714"/>
      <c r="AB453" s="3714"/>
      <c r="AC453" s="3714"/>
    </row>
    <row r="454" spans="1:29">
      <c r="A454" s="3714"/>
      <c r="B454" s="3714"/>
      <c r="C454" s="3714"/>
      <c r="D454" s="3714"/>
      <c r="E454" s="3714"/>
      <c r="F454" s="3714"/>
      <c r="G454" s="3714"/>
      <c r="H454" s="3714"/>
      <c r="I454" s="3714"/>
      <c r="J454" s="3714"/>
      <c r="K454" s="3715"/>
      <c r="L454" s="3716"/>
      <c r="M454" s="3714"/>
      <c r="N454" s="3714"/>
      <c r="O454" s="3714"/>
      <c r="P454" s="3756"/>
      <c r="Q454" s="3714"/>
      <c r="R454" s="3714"/>
      <c r="S454" s="3714"/>
      <c r="T454" s="3714"/>
      <c r="U454" s="3714"/>
      <c r="V454" s="3714"/>
      <c r="W454" s="3714"/>
      <c r="X454" s="3714"/>
      <c r="Y454" s="3714"/>
      <c r="Z454" s="3714"/>
      <c r="AA454" s="3714"/>
      <c r="AB454" s="3714"/>
      <c r="AC454" s="3714"/>
    </row>
    <row r="455" spans="1:29">
      <c r="A455" s="3714"/>
      <c r="B455" s="3714"/>
      <c r="C455" s="3714"/>
      <c r="D455" s="3714"/>
      <c r="E455" s="3714"/>
      <c r="F455" s="3714"/>
      <c r="G455" s="3714"/>
      <c r="H455" s="3714"/>
      <c r="I455" s="3714"/>
      <c r="J455" s="3714"/>
      <c r="K455" s="3715"/>
      <c r="L455" s="3716"/>
      <c r="M455" s="3714"/>
      <c r="N455" s="3714"/>
      <c r="O455" s="3714"/>
      <c r="P455" s="3756"/>
      <c r="Q455" s="3714"/>
      <c r="R455" s="3714"/>
      <c r="S455" s="3714"/>
      <c r="T455" s="3714"/>
      <c r="U455" s="3714"/>
      <c r="V455" s="3714"/>
      <c r="W455" s="3714"/>
      <c r="X455" s="3714"/>
      <c r="Y455" s="3714"/>
      <c r="Z455" s="3714"/>
      <c r="AA455" s="3714"/>
      <c r="AB455" s="3714"/>
      <c r="AC455" s="3714"/>
    </row>
    <row r="456" spans="1:29">
      <c r="A456" s="3714"/>
      <c r="B456" s="3714"/>
      <c r="C456" s="3714"/>
      <c r="D456" s="3714"/>
      <c r="E456" s="3714"/>
      <c r="F456" s="3714"/>
      <c r="G456" s="3714"/>
      <c r="H456" s="3714"/>
      <c r="I456" s="3714"/>
      <c r="J456" s="3714"/>
      <c r="K456" s="3715"/>
      <c r="L456" s="3716"/>
      <c r="M456" s="3714"/>
      <c r="N456" s="3714"/>
      <c r="O456" s="3714"/>
      <c r="P456" s="3756"/>
      <c r="Q456" s="3714"/>
      <c r="R456" s="3714"/>
      <c r="S456" s="3714"/>
      <c r="T456" s="3714"/>
      <c r="U456" s="3714"/>
      <c r="V456" s="3714"/>
      <c r="W456" s="3714"/>
      <c r="X456" s="3714"/>
      <c r="Y456" s="3714"/>
      <c r="Z456" s="3714"/>
      <c r="AA456" s="3714"/>
      <c r="AB456" s="3714"/>
      <c r="AC456" s="3714"/>
    </row>
    <row r="457" spans="1:29">
      <c r="A457" s="3714"/>
      <c r="B457" s="3714"/>
      <c r="C457" s="3714"/>
      <c r="D457" s="3714"/>
      <c r="E457" s="3714"/>
      <c r="F457" s="3714"/>
      <c r="G457" s="3714"/>
      <c r="H457" s="3714"/>
      <c r="I457" s="3714"/>
      <c r="J457" s="3714"/>
      <c r="K457" s="3715"/>
      <c r="L457" s="3716"/>
      <c r="M457" s="3714"/>
      <c r="N457" s="3714"/>
      <c r="O457" s="3714"/>
      <c r="P457" s="3756"/>
      <c r="Q457" s="3714"/>
      <c r="R457" s="3714"/>
      <c r="S457" s="3714"/>
      <c r="T457" s="3714"/>
      <c r="U457" s="3714"/>
      <c r="V457" s="3714"/>
      <c r="W457" s="3714"/>
      <c r="X457" s="3714"/>
      <c r="Y457" s="3714"/>
      <c r="Z457" s="3714"/>
      <c r="AA457" s="3714"/>
      <c r="AB457" s="3714"/>
      <c r="AC457" s="3714"/>
    </row>
    <row r="458" spans="1:29">
      <c r="A458" s="3714"/>
      <c r="B458" s="3714"/>
      <c r="C458" s="3714"/>
      <c r="D458" s="3714"/>
      <c r="E458" s="3714"/>
      <c r="F458" s="3714"/>
      <c r="G458" s="3714"/>
      <c r="H458" s="3714"/>
      <c r="I458" s="3714"/>
      <c r="J458" s="3714"/>
      <c r="K458" s="3715"/>
      <c r="L458" s="3716"/>
      <c r="M458" s="3714"/>
      <c r="N458" s="3714"/>
      <c r="O458" s="3714"/>
      <c r="P458" s="3756"/>
      <c r="Q458" s="3714"/>
      <c r="R458" s="3714"/>
      <c r="S458" s="3714"/>
      <c r="T458" s="3714"/>
      <c r="U458" s="3714"/>
      <c r="V458" s="3714"/>
      <c r="W458" s="3714"/>
      <c r="X458" s="3714"/>
      <c r="Y458" s="3714"/>
      <c r="Z458" s="3714"/>
      <c r="AA458" s="3714"/>
      <c r="AB458" s="3714"/>
      <c r="AC458" s="3714"/>
    </row>
    <row r="459" spans="1:29">
      <c r="A459" s="3714"/>
      <c r="B459" s="3714"/>
      <c r="C459" s="3714"/>
      <c r="D459" s="3714"/>
      <c r="E459" s="3714"/>
      <c r="F459" s="3714"/>
      <c r="G459" s="3714"/>
      <c r="H459" s="3714"/>
      <c r="I459" s="3714"/>
      <c r="J459" s="3714"/>
      <c r="K459" s="3715"/>
      <c r="L459" s="3716"/>
      <c r="M459" s="3714"/>
      <c r="N459" s="3714"/>
      <c r="O459" s="3714"/>
      <c r="P459" s="3756"/>
      <c r="Q459" s="3714"/>
      <c r="R459" s="3714"/>
      <c r="S459" s="3714"/>
      <c r="T459" s="3714"/>
      <c r="U459" s="3714"/>
      <c r="V459" s="3714"/>
      <c r="W459" s="3714"/>
      <c r="X459" s="3714"/>
      <c r="Y459" s="3714"/>
      <c r="Z459" s="3714"/>
      <c r="AA459" s="3714"/>
      <c r="AB459" s="3714"/>
      <c r="AC459" s="3714"/>
    </row>
    <row r="460" spans="1:29">
      <c r="A460" s="3714"/>
      <c r="B460" s="3714"/>
      <c r="C460" s="3714"/>
      <c r="D460" s="3714"/>
      <c r="E460" s="3714"/>
      <c r="F460" s="3714"/>
      <c r="G460" s="3714"/>
      <c r="H460" s="3714"/>
      <c r="I460" s="3714"/>
      <c r="J460" s="3714"/>
      <c r="K460" s="3715"/>
      <c r="L460" s="3716"/>
      <c r="M460" s="3714"/>
      <c r="N460" s="3714"/>
      <c r="O460" s="3714"/>
      <c r="P460" s="3756"/>
      <c r="Q460" s="3714"/>
      <c r="R460" s="3714"/>
      <c r="S460" s="3714"/>
      <c r="T460" s="3714"/>
      <c r="U460" s="3714"/>
      <c r="V460" s="3714"/>
      <c r="W460" s="3714"/>
      <c r="X460" s="3714"/>
      <c r="Y460" s="3714"/>
      <c r="Z460" s="3714"/>
      <c r="AA460" s="3714"/>
      <c r="AB460" s="3714"/>
      <c r="AC460" s="3714"/>
    </row>
    <row r="461" spans="1:29">
      <c r="A461" s="3714"/>
      <c r="B461" s="3714"/>
      <c r="C461" s="3714"/>
      <c r="D461" s="3714"/>
      <c r="E461" s="3714"/>
      <c r="F461" s="3714"/>
      <c r="G461" s="3714"/>
      <c r="H461" s="3714"/>
      <c r="I461" s="3714"/>
      <c r="J461" s="3714"/>
      <c r="K461" s="3715"/>
      <c r="L461" s="3716"/>
      <c r="M461" s="3714"/>
      <c r="N461" s="3714"/>
      <c r="O461" s="3714"/>
      <c r="P461" s="3756"/>
      <c r="Q461" s="3714"/>
      <c r="R461" s="3714"/>
      <c r="S461" s="3714"/>
      <c r="T461" s="3714"/>
      <c r="U461" s="3714"/>
      <c r="V461" s="3714"/>
      <c r="W461" s="3714"/>
      <c r="X461" s="3714"/>
      <c r="Y461" s="3714"/>
      <c r="Z461" s="3714"/>
      <c r="AA461" s="3714"/>
      <c r="AB461" s="3714"/>
      <c r="AC461" s="3714"/>
    </row>
    <row r="462" spans="1:29">
      <c r="A462" s="3714"/>
      <c r="B462" s="3714"/>
      <c r="C462" s="3714"/>
      <c r="D462" s="3714"/>
      <c r="E462" s="3714"/>
      <c r="F462" s="3714"/>
      <c r="G462" s="3714"/>
      <c r="H462" s="3714"/>
      <c r="I462" s="3714"/>
      <c r="J462" s="3714"/>
      <c r="K462" s="3715"/>
      <c r="L462" s="3716"/>
      <c r="M462" s="3714"/>
      <c r="N462" s="3714"/>
      <c r="O462" s="3714"/>
      <c r="P462" s="3756"/>
      <c r="Q462" s="3714"/>
      <c r="R462" s="3714"/>
      <c r="S462" s="3714"/>
      <c r="T462" s="3714"/>
      <c r="U462" s="3714"/>
      <c r="V462" s="3714"/>
      <c r="W462" s="3714"/>
      <c r="X462" s="3714"/>
      <c r="Y462" s="3714"/>
      <c r="Z462" s="3714"/>
      <c r="AA462" s="3714"/>
      <c r="AB462" s="3714"/>
      <c r="AC462" s="3714"/>
    </row>
    <row r="463" spans="1:29">
      <c r="A463" s="3714"/>
      <c r="B463" s="3714"/>
      <c r="C463" s="3714"/>
      <c r="D463" s="3714"/>
      <c r="E463" s="3714"/>
      <c r="F463" s="3714"/>
      <c r="G463" s="3714"/>
      <c r="H463" s="3714"/>
      <c r="I463" s="3714"/>
      <c r="J463" s="3714"/>
      <c r="K463" s="3715"/>
      <c r="L463" s="3716"/>
      <c r="M463" s="3714"/>
      <c r="N463" s="3714"/>
      <c r="O463" s="3714"/>
      <c r="P463" s="3756"/>
      <c r="Q463" s="3714"/>
      <c r="R463" s="3714"/>
      <c r="S463" s="3714"/>
      <c r="T463" s="3714"/>
      <c r="U463" s="3714"/>
      <c r="V463" s="3714"/>
      <c r="W463" s="3714"/>
      <c r="X463" s="3714"/>
      <c r="Y463" s="3714"/>
      <c r="Z463" s="3714"/>
      <c r="AA463" s="3714"/>
      <c r="AB463" s="3714"/>
      <c r="AC463" s="3714"/>
    </row>
    <row r="464" spans="1:29">
      <c r="A464" s="3714"/>
      <c r="B464" s="3714"/>
      <c r="C464" s="3714"/>
      <c r="D464" s="3714"/>
      <c r="E464" s="3714"/>
      <c r="F464" s="3714"/>
      <c r="G464" s="3714"/>
      <c r="H464" s="3714"/>
      <c r="I464" s="3714"/>
      <c r="J464" s="3714"/>
      <c r="K464" s="3715"/>
      <c r="L464" s="3716"/>
      <c r="M464" s="3714"/>
      <c r="N464" s="3714"/>
      <c r="O464" s="3714"/>
      <c r="P464" s="3756"/>
      <c r="Q464" s="3714"/>
      <c r="R464" s="3714"/>
      <c r="S464" s="3714"/>
      <c r="T464" s="3714"/>
      <c r="U464" s="3714"/>
      <c r="V464" s="3714"/>
      <c r="W464" s="3714"/>
      <c r="X464" s="3714"/>
      <c r="Y464" s="3714"/>
      <c r="Z464" s="3714"/>
      <c r="AA464" s="3714"/>
      <c r="AB464" s="3714"/>
      <c r="AC464" s="3714"/>
    </row>
    <row r="465" spans="1:29">
      <c r="A465" s="3714"/>
      <c r="B465" s="3714"/>
      <c r="C465" s="3714"/>
      <c r="D465" s="3714"/>
      <c r="E465" s="3714"/>
      <c r="F465" s="3714"/>
      <c r="G465" s="3714"/>
      <c r="H465" s="3714"/>
      <c r="I465" s="3714"/>
      <c r="J465" s="3714"/>
      <c r="K465" s="3715"/>
      <c r="L465" s="3716"/>
      <c r="M465" s="3714"/>
      <c r="N465" s="3714"/>
      <c r="O465" s="3714"/>
      <c r="P465" s="3756"/>
      <c r="Q465" s="3714"/>
      <c r="R465" s="3714"/>
      <c r="S465" s="3714"/>
      <c r="T465" s="3714"/>
      <c r="U465" s="3714"/>
      <c r="V465" s="3714"/>
      <c r="W465" s="3714"/>
      <c r="X465" s="3714"/>
      <c r="Y465" s="3714"/>
      <c r="Z465" s="3714"/>
      <c r="AA465" s="3714"/>
      <c r="AB465" s="3714"/>
      <c r="AC465" s="3714"/>
    </row>
    <row r="466" spans="1:29">
      <c r="A466" s="3714"/>
      <c r="B466" s="3714"/>
      <c r="C466" s="3714"/>
      <c r="D466" s="3714"/>
      <c r="E466" s="3714"/>
      <c r="F466" s="3714"/>
      <c r="G466" s="3714"/>
      <c r="H466" s="3714"/>
      <c r="I466" s="3714"/>
      <c r="J466" s="3714"/>
      <c r="K466" s="3715"/>
      <c r="L466" s="3716"/>
      <c r="M466" s="3714"/>
      <c r="N466" s="3714"/>
      <c r="O466" s="3714"/>
      <c r="P466" s="3756"/>
      <c r="Q466" s="3714"/>
      <c r="R466" s="3714"/>
      <c r="S466" s="3714"/>
      <c r="T466" s="3714"/>
      <c r="U466" s="3714"/>
      <c r="V466" s="3714"/>
      <c r="W466" s="3714"/>
      <c r="X466" s="3714"/>
      <c r="Y466" s="3714"/>
      <c r="Z466" s="3714"/>
      <c r="AA466" s="3714"/>
      <c r="AB466" s="3714"/>
      <c r="AC466" s="3714"/>
    </row>
    <row r="467" spans="1:29">
      <c r="A467" s="3714"/>
      <c r="B467" s="3714"/>
      <c r="C467" s="3714"/>
      <c r="D467" s="3714"/>
      <c r="E467" s="3714"/>
      <c r="F467" s="3714"/>
      <c r="G467" s="3714"/>
      <c r="H467" s="3714"/>
      <c r="I467" s="3714"/>
      <c r="J467" s="3714"/>
      <c r="K467" s="3715"/>
      <c r="L467" s="3716"/>
      <c r="M467" s="3714"/>
      <c r="N467" s="3714"/>
      <c r="O467" s="3714"/>
      <c r="P467" s="3756"/>
      <c r="Q467" s="3714"/>
      <c r="R467" s="3714"/>
      <c r="S467" s="3714"/>
      <c r="T467" s="3714"/>
      <c r="U467" s="3714"/>
      <c r="V467" s="3714"/>
      <c r="W467" s="3714"/>
      <c r="X467" s="3714"/>
      <c r="Y467" s="3714"/>
      <c r="Z467" s="3714"/>
      <c r="AA467" s="3714"/>
      <c r="AB467" s="3714"/>
      <c r="AC467" s="3714"/>
    </row>
    <row r="468" spans="1:29">
      <c r="A468" s="3714"/>
      <c r="B468" s="3714"/>
      <c r="C468" s="3714"/>
      <c r="D468" s="3714"/>
      <c r="E468" s="3714"/>
      <c r="F468" s="3714"/>
      <c r="G468" s="3714"/>
      <c r="H468" s="3714"/>
      <c r="I468" s="3714"/>
      <c r="J468" s="3714"/>
      <c r="K468" s="3715"/>
      <c r="L468" s="3716"/>
      <c r="M468" s="3714"/>
      <c r="N468" s="3714"/>
      <c r="O468" s="3714"/>
      <c r="P468" s="3756"/>
      <c r="Q468" s="3714"/>
      <c r="R468" s="3714"/>
      <c r="S468" s="3714"/>
      <c r="T468" s="3714"/>
      <c r="U468" s="3714"/>
      <c r="V468" s="3714"/>
      <c r="W468" s="3714"/>
      <c r="X468" s="3714"/>
      <c r="Y468" s="3714"/>
      <c r="Z468" s="3714"/>
      <c r="AA468" s="3714"/>
      <c r="AB468" s="3714"/>
      <c r="AC468" s="3714"/>
    </row>
    <row r="469" spans="1:29">
      <c r="A469" s="3714"/>
      <c r="B469" s="3714"/>
      <c r="C469" s="3714"/>
      <c r="D469" s="3714"/>
      <c r="E469" s="3714"/>
      <c r="F469" s="3714"/>
      <c r="G469" s="3714"/>
      <c r="H469" s="3714"/>
      <c r="I469" s="3714"/>
      <c r="J469" s="3714"/>
      <c r="K469" s="3715"/>
      <c r="L469" s="3716"/>
      <c r="M469" s="3714"/>
      <c r="N469" s="3714"/>
      <c r="O469" s="3714"/>
      <c r="P469" s="3756"/>
      <c r="Q469" s="3714"/>
      <c r="R469" s="3714"/>
      <c r="S469" s="3714"/>
      <c r="T469" s="3714"/>
      <c r="U469" s="3714"/>
      <c r="V469" s="3714"/>
      <c r="W469" s="3714"/>
      <c r="X469" s="3714"/>
      <c r="Y469" s="3714"/>
      <c r="Z469" s="3714"/>
      <c r="AA469" s="3714"/>
      <c r="AB469" s="3714"/>
      <c r="AC469" s="3714"/>
    </row>
    <row r="470" spans="1:29">
      <c r="A470" s="3714"/>
      <c r="B470" s="3714"/>
      <c r="C470" s="3714"/>
      <c r="D470" s="3714"/>
      <c r="E470" s="3714"/>
      <c r="F470" s="3714"/>
      <c r="G470" s="3714"/>
      <c r="H470" s="3714"/>
      <c r="I470" s="3714"/>
      <c r="J470" s="3714"/>
      <c r="K470" s="3715"/>
      <c r="L470" s="3716"/>
      <c r="M470" s="3714"/>
      <c r="N470" s="3714"/>
      <c r="O470" s="3714"/>
      <c r="P470" s="3756"/>
      <c r="Q470" s="3714"/>
      <c r="R470" s="3714"/>
      <c r="S470" s="3714"/>
      <c r="T470" s="3714"/>
      <c r="U470" s="3714"/>
      <c r="V470" s="3714"/>
      <c r="W470" s="3714"/>
      <c r="X470" s="3714"/>
      <c r="Y470" s="3714"/>
      <c r="Z470" s="3714"/>
      <c r="AA470" s="3714"/>
      <c r="AB470" s="3714"/>
      <c r="AC470" s="3714"/>
    </row>
    <row r="471" spans="1:29">
      <c r="A471" s="3714"/>
      <c r="B471" s="3714"/>
      <c r="C471" s="3714"/>
      <c r="D471" s="3714"/>
      <c r="E471" s="3714"/>
      <c r="F471" s="3714"/>
      <c r="G471" s="3714"/>
      <c r="H471" s="3714"/>
      <c r="I471" s="3714"/>
      <c r="J471" s="3714"/>
      <c r="K471" s="3715"/>
      <c r="L471" s="3716"/>
      <c r="M471" s="3714"/>
      <c r="N471" s="3714"/>
      <c r="O471" s="3714"/>
      <c r="P471" s="3756"/>
      <c r="Q471" s="3714"/>
      <c r="R471" s="3714"/>
      <c r="S471" s="3714"/>
      <c r="T471" s="3714"/>
      <c r="U471" s="3714"/>
      <c r="V471" s="3714"/>
      <c r="W471" s="3714"/>
      <c r="X471" s="3714"/>
      <c r="Y471" s="3714"/>
      <c r="Z471" s="3714"/>
      <c r="AA471" s="3714"/>
      <c r="AB471" s="3714"/>
      <c r="AC471" s="3714"/>
    </row>
    <row r="472" spans="1:29">
      <c r="A472" s="3714"/>
      <c r="B472" s="3714"/>
      <c r="C472" s="3714"/>
      <c r="D472" s="3714"/>
      <c r="E472" s="3714"/>
      <c r="F472" s="3714"/>
      <c r="G472" s="3714"/>
      <c r="H472" s="3714"/>
      <c r="I472" s="3714"/>
      <c r="J472" s="3714"/>
      <c r="K472" s="3715"/>
      <c r="L472" s="3716"/>
      <c r="M472" s="3714"/>
      <c r="N472" s="3714"/>
      <c r="O472" s="3714"/>
      <c r="P472" s="3756"/>
      <c r="Q472" s="3714"/>
      <c r="R472" s="3714"/>
      <c r="S472" s="3714"/>
      <c r="T472" s="3714"/>
      <c r="U472" s="3714"/>
      <c r="V472" s="3714"/>
      <c r="W472" s="3714"/>
      <c r="X472" s="3714"/>
      <c r="Y472" s="3714"/>
      <c r="Z472" s="3714"/>
      <c r="AA472" s="3714"/>
      <c r="AB472" s="3714"/>
      <c r="AC472" s="3714"/>
    </row>
    <row r="473" spans="1:29">
      <c r="A473" s="3714"/>
      <c r="B473" s="3714"/>
      <c r="C473" s="3714"/>
      <c r="D473" s="3714"/>
      <c r="E473" s="3714"/>
      <c r="F473" s="3714"/>
      <c r="G473" s="3714"/>
      <c r="H473" s="3714"/>
      <c r="I473" s="3714"/>
      <c r="J473" s="3714"/>
      <c r="K473" s="3715"/>
      <c r="L473" s="3716"/>
      <c r="M473" s="3714"/>
      <c r="N473" s="3714"/>
      <c r="O473" s="3714"/>
      <c r="P473" s="3756"/>
      <c r="Q473" s="3714"/>
      <c r="R473" s="3714"/>
      <c r="S473" s="3714"/>
      <c r="T473" s="3714"/>
      <c r="U473" s="3714"/>
      <c r="V473" s="3714"/>
      <c r="W473" s="3714"/>
      <c r="X473" s="3714"/>
      <c r="Y473" s="3714"/>
      <c r="Z473" s="3714"/>
      <c r="AA473" s="3714"/>
      <c r="AB473" s="3714"/>
      <c r="AC473" s="3714"/>
    </row>
    <row r="474" spans="1:29">
      <c r="A474" s="3714"/>
      <c r="B474" s="3714"/>
      <c r="C474" s="3714"/>
      <c r="D474" s="3714"/>
      <c r="E474" s="3714"/>
      <c r="F474" s="3714"/>
      <c r="G474" s="3714"/>
      <c r="H474" s="3714"/>
      <c r="I474" s="3714"/>
      <c r="J474" s="3714"/>
      <c r="K474" s="3715"/>
      <c r="L474" s="3716"/>
      <c r="M474" s="3714"/>
      <c r="N474" s="3714"/>
      <c r="O474" s="3714"/>
      <c r="P474" s="3756"/>
      <c r="Q474" s="3714"/>
      <c r="R474" s="3714"/>
      <c r="S474" s="3714"/>
      <c r="T474" s="3714"/>
      <c r="U474" s="3714"/>
      <c r="V474" s="3714"/>
      <c r="W474" s="3714"/>
      <c r="X474" s="3714"/>
      <c r="Y474" s="3714"/>
      <c r="Z474" s="3714"/>
      <c r="AA474" s="3714"/>
      <c r="AB474" s="3714"/>
      <c r="AC474" s="3714"/>
    </row>
    <row r="475" spans="1:29">
      <c r="A475" s="3714"/>
      <c r="B475" s="3714"/>
      <c r="C475" s="3714"/>
      <c r="D475" s="3714"/>
      <c r="E475" s="3714"/>
      <c r="F475" s="3714"/>
      <c r="G475" s="3714"/>
      <c r="H475" s="3714"/>
      <c r="I475" s="3714"/>
      <c r="J475" s="3714"/>
      <c r="K475" s="3715"/>
      <c r="L475" s="3716"/>
      <c r="M475" s="3714"/>
      <c r="N475" s="3714"/>
      <c r="O475" s="3714"/>
      <c r="P475" s="3756"/>
      <c r="Q475" s="3714"/>
      <c r="R475" s="3714"/>
      <c r="S475" s="3714"/>
      <c r="T475" s="3714"/>
      <c r="U475" s="3714"/>
      <c r="V475" s="3714"/>
      <c r="W475" s="3714"/>
      <c r="X475" s="3714"/>
      <c r="Y475" s="3714"/>
      <c r="Z475" s="3714"/>
      <c r="AA475" s="3714"/>
      <c r="AB475" s="3714"/>
      <c r="AC475" s="3714"/>
    </row>
    <row r="476" spans="1:29">
      <c r="A476" s="3714"/>
      <c r="B476" s="3714"/>
      <c r="C476" s="3714"/>
      <c r="D476" s="3714"/>
      <c r="E476" s="3714"/>
      <c r="F476" s="3714"/>
      <c r="G476" s="3714"/>
      <c r="H476" s="3714"/>
      <c r="I476" s="3714"/>
      <c r="J476" s="3714"/>
      <c r="K476" s="3715"/>
      <c r="L476" s="3716"/>
      <c r="M476" s="3714"/>
      <c r="N476" s="3714"/>
      <c r="O476" s="3714"/>
      <c r="P476" s="3756"/>
      <c r="Q476" s="3714"/>
      <c r="R476" s="3714"/>
      <c r="S476" s="3714"/>
      <c r="T476" s="3714"/>
      <c r="U476" s="3714"/>
      <c r="V476" s="3714"/>
      <c r="W476" s="3714"/>
      <c r="X476" s="3714"/>
      <c r="Y476" s="3714"/>
      <c r="Z476" s="3714"/>
      <c r="AA476" s="3714"/>
      <c r="AB476" s="3714"/>
      <c r="AC476" s="3714"/>
    </row>
    <row r="477" spans="1:29">
      <c r="A477" s="3714"/>
      <c r="B477" s="3714"/>
      <c r="C477" s="3714"/>
      <c r="D477" s="3714"/>
      <c r="E477" s="3714"/>
      <c r="F477" s="3714"/>
      <c r="G477" s="3714"/>
      <c r="H477" s="3714"/>
      <c r="I477" s="3714"/>
      <c r="J477" s="3714"/>
      <c r="K477" s="3715"/>
      <c r="L477" s="3716"/>
      <c r="M477" s="3714"/>
      <c r="N477" s="3714"/>
      <c r="O477" s="3714"/>
      <c r="P477" s="3756"/>
      <c r="Q477" s="3714"/>
      <c r="R477" s="3714"/>
      <c r="S477" s="3714"/>
      <c r="T477" s="3714"/>
      <c r="U477" s="3714"/>
      <c r="V477" s="3714"/>
      <c r="W477" s="3714"/>
      <c r="X477" s="3714"/>
      <c r="Y477" s="3714"/>
      <c r="Z477" s="3714"/>
      <c r="AA477" s="3714"/>
      <c r="AB477" s="3714"/>
      <c r="AC477" s="3714"/>
    </row>
    <row r="478" spans="1:29">
      <c r="A478" s="3714"/>
      <c r="B478" s="3714"/>
      <c r="C478" s="3714"/>
      <c r="D478" s="3714"/>
      <c r="E478" s="3714"/>
      <c r="F478" s="3714"/>
      <c r="G478" s="3714"/>
      <c r="H478" s="3714"/>
      <c r="I478" s="3714"/>
      <c r="J478" s="3714"/>
      <c r="K478" s="3715"/>
      <c r="L478" s="3716"/>
      <c r="M478" s="3714"/>
      <c r="N478" s="3714"/>
      <c r="O478" s="3714"/>
      <c r="P478" s="3756"/>
      <c r="Q478" s="3714"/>
      <c r="R478" s="3714"/>
      <c r="S478" s="3714"/>
      <c r="T478" s="3714"/>
      <c r="U478" s="3714"/>
      <c r="V478" s="3714"/>
      <c r="W478" s="3714"/>
      <c r="X478" s="3714"/>
      <c r="Y478" s="3714"/>
      <c r="Z478" s="3714"/>
      <c r="AA478" s="3714"/>
      <c r="AB478" s="3714"/>
      <c r="AC478" s="3714"/>
    </row>
    <row r="479" spans="1:29">
      <c r="A479" s="3714"/>
      <c r="B479" s="3714"/>
      <c r="C479" s="3714"/>
      <c r="D479" s="3714"/>
      <c r="E479" s="3714"/>
      <c r="F479" s="3714"/>
      <c r="G479" s="3714"/>
      <c r="H479" s="3714"/>
      <c r="I479" s="3714"/>
      <c r="J479" s="3714"/>
      <c r="K479" s="3715"/>
      <c r="L479" s="3716"/>
      <c r="M479" s="3714"/>
      <c r="N479" s="3714"/>
      <c r="O479" s="3714"/>
      <c r="P479" s="3756"/>
      <c r="Q479" s="3714"/>
      <c r="R479" s="3714"/>
      <c r="S479" s="3714"/>
      <c r="T479" s="3714"/>
      <c r="U479" s="3714"/>
      <c r="V479" s="3714"/>
      <c r="W479" s="3714"/>
      <c r="X479" s="3714"/>
      <c r="Y479" s="3714"/>
      <c r="Z479" s="3714"/>
      <c r="AA479" s="3714"/>
      <c r="AB479" s="3714"/>
      <c r="AC479" s="3714"/>
    </row>
    <row r="480" spans="1:29">
      <c r="A480" s="3714"/>
      <c r="B480" s="3714"/>
      <c r="C480" s="3714"/>
      <c r="D480" s="3714"/>
      <c r="E480" s="3714"/>
      <c r="F480" s="3714"/>
      <c r="G480" s="3714"/>
      <c r="H480" s="3714"/>
      <c r="I480" s="3714"/>
      <c r="J480" s="3714"/>
      <c r="K480" s="3715"/>
      <c r="L480" s="3716"/>
      <c r="M480" s="3714"/>
      <c r="N480" s="3714"/>
      <c r="O480" s="3714"/>
      <c r="P480" s="3756"/>
      <c r="Q480" s="3714"/>
      <c r="R480" s="3714"/>
      <c r="S480" s="3714"/>
      <c r="T480" s="3714"/>
      <c r="U480" s="3714"/>
      <c r="V480" s="3714"/>
      <c r="W480" s="3714"/>
      <c r="X480" s="3714"/>
      <c r="Y480" s="3714"/>
      <c r="Z480" s="3714"/>
      <c r="AA480" s="3714"/>
      <c r="AB480" s="3714"/>
      <c r="AC480" s="3714"/>
    </row>
    <row r="481" spans="1:29">
      <c r="A481" s="3714"/>
      <c r="B481" s="3714"/>
      <c r="C481" s="3714"/>
      <c r="D481" s="3714"/>
      <c r="E481" s="3714"/>
      <c r="F481" s="3714"/>
      <c r="G481" s="3714"/>
      <c r="H481" s="3714"/>
      <c r="I481" s="3714"/>
      <c r="J481" s="3714"/>
      <c r="K481" s="3715"/>
      <c r="L481" s="3716"/>
      <c r="M481" s="3714"/>
      <c r="N481" s="3714"/>
      <c r="O481" s="3714"/>
      <c r="P481" s="3756"/>
      <c r="Q481" s="3714"/>
      <c r="R481" s="3714"/>
      <c r="S481" s="3714"/>
      <c r="T481" s="3714"/>
      <c r="U481" s="3714"/>
      <c r="V481" s="3714"/>
      <c r="W481" s="3714"/>
      <c r="X481" s="3714"/>
      <c r="Y481" s="3714"/>
      <c r="Z481" s="3714"/>
      <c r="AA481" s="3714"/>
      <c r="AB481" s="3714"/>
      <c r="AC481" s="3714"/>
    </row>
    <row r="482" spans="1:29">
      <c r="A482" s="3714"/>
      <c r="B482" s="3714"/>
      <c r="C482" s="3714"/>
      <c r="D482" s="3714"/>
      <c r="E482" s="3714"/>
      <c r="F482" s="3714"/>
      <c r="G482" s="3714"/>
      <c r="H482" s="3714"/>
      <c r="I482" s="3714"/>
      <c r="J482" s="3714"/>
      <c r="K482" s="3715"/>
      <c r="L482" s="3716"/>
      <c r="M482" s="3714"/>
      <c r="N482" s="3714"/>
      <c r="O482" s="3714"/>
      <c r="P482" s="3756"/>
      <c r="Q482" s="3714"/>
      <c r="R482" s="3714"/>
      <c r="S482" s="3714"/>
      <c r="T482" s="3714"/>
      <c r="U482" s="3714"/>
      <c r="V482" s="3714"/>
      <c r="W482" s="3714"/>
      <c r="X482" s="3714"/>
      <c r="Y482" s="3714"/>
      <c r="Z482" s="3714"/>
      <c r="AA482" s="3714"/>
      <c r="AB482" s="3714"/>
      <c r="AC482" s="3714"/>
    </row>
    <row r="483" spans="1:29">
      <c r="A483" s="3714"/>
      <c r="B483" s="3714"/>
      <c r="C483" s="3714"/>
      <c r="D483" s="3714"/>
      <c r="E483" s="3714"/>
      <c r="F483" s="3714"/>
      <c r="G483" s="3714"/>
      <c r="H483" s="3714"/>
      <c r="I483" s="3714"/>
      <c r="J483" s="3714"/>
      <c r="K483" s="3715"/>
      <c r="L483" s="3716"/>
      <c r="M483" s="3714"/>
      <c r="N483" s="3714"/>
      <c r="O483" s="3714"/>
      <c r="P483" s="3756"/>
      <c r="Q483" s="3714"/>
      <c r="R483" s="3714"/>
      <c r="S483" s="3714"/>
      <c r="T483" s="3714"/>
      <c r="U483" s="3714"/>
      <c r="V483" s="3714"/>
      <c r="W483" s="3714"/>
      <c r="X483" s="3714"/>
      <c r="Y483" s="3714"/>
      <c r="Z483" s="3714"/>
      <c r="AA483" s="3714"/>
      <c r="AB483" s="3714"/>
      <c r="AC483" s="3714"/>
    </row>
    <row r="484" spans="1:29">
      <c r="A484" s="3714"/>
      <c r="B484" s="3714"/>
      <c r="C484" s="3714"/>
      <c r="D484" s="3714"/>
      <c r="E484" s="3714"/>
      <c r="F484" s="3714"/>
      <c r="G484" s="3714"/>
      <c r="H484" s="3714"/>
      <c r="I484" s="3714"/>
      <c r="J484" s="3714"/>
      <c r="K484" s="3715"/>
      <c r="L484" s="3716"/>
      <c r="M484" s="3714"/>
      <c r="N484" s="3714"/>
      <c r="O484" s="3714"/>
      <c r="P484" s="3756"/>
      <c r="Q484" s="3714"/>
      <c r="R484" s="3714"/>
      <c r="S484" s="3714"/>
      <c r="T484" s="3714"/>
      <c r="U484" s="3714"/>
      <c r="V484" s="3714"/>
      <c r="W484" s="3714"/>
      <c r="X484" s="3714"/>
      <c r="Y484" s="3714"/>
      <c r="Z484" s="3714"/>
      <c r="AA484" s="3714"/>
      <c r="AB484" s="3714"/>
      <c r="AC484" s="3714"/>
    </row>
    <row r="485" spans="1:29">
      <c r="A485" s="3714"/>
      <c r="B485" s="3714"/>
      <c r="C485" s="3714"/>
      <c r="D485" s="3714"/>
      <c r="E485" s="3714"/>
      <c r="F485" s="3714"/>
      <c r="G485" s="3714"/>
      <c r="H485" s="3714"/>
      <c r="I485" s="3714"/>
      <c r="J485" s="3714"/>
      <c r="K485" s="3715"/>
      <c r="L485" s="3716"/>
      <c r="M485" s="3714"/>
      <c r="N485" s="3714"/>
      <c r="O485" s="3714"/>
      <c r="P485" s="3756"/>
      <c r="Q485" s="3714"/>
      <c r="R485" s="3714"/>
      <c r="S485" s="3714"/>
      <c r="T485" s="3714"/>
      <c r="U485" s="3714"/>
      <c r="V485" s="3714"/>
      <c r="W485" s="3714"/>
      <c r="X485" s="3714"/>
      <c r="Y485" s="3714"/>
      <c r="Z485" s="3714"/>
      <c r="AA485" s="3714"/>
      <c r="AB485" s="3714"/>
      <c r="AC485" s="3714"/>
    </row>
    <row r="486" spans="1:29">
      <c r="A486" s="3714"/>
      <c r="B486" s="3714"/>
      <c r="C486" s="3714"/>
      <c r="D486" s="3714"/>
      <c r="E486" s="3714"/>
      <c r="F486" s="3714"/>
      <c r="G486" s="3714"/>
      <c r="H486" s="3714"/>
      <c r="I486" s="3714"/>
      <c r="J486" s="3714"/>
      <c r="K486" s="3715"/>
      <c r="L486" s="3716"/>
      <c r="M486" s="3714"/>
      <c r="N486" s="3714"/>
      <c r="O486" s="3714"/>
      <c r="P486" s="3756"/>
      <c r="Q486" s="3714"/>
      <c r="R486" s="3714"/>
      <c r="S486" s="3714"/>
      <c r="T486" s="3714"/>
      <c r="U486" s="3714"/>
      <c r="V486" s="3714"/>
      <c r="W486" s="3714"/>
      <c r="X486" s="3714"/>
      <c r="Y486" s="3714"/>
      <c r="Z486" s="3714"/>
      <c r="AA486" s="3714"/>
      <c r="AB486" s="3714"/>
      <c r="AC486" s="3714"/>
    </row>
    <row r="487" spans="1:29">
      <c r="A487" s="3714"/>
      <c r="B487" s="3714"/>
      <c r="C487" s="3714"/>
      <c r="D487" s="3714"/>
      <c r="E487" s="3714"/>
      <c r="F487" s="3714"/>
      <c r="G487" s="3714"/>
      <c r="H487" s="3714"/>
      <c r="I487" s="3714"/>
      <c r="J487" s="3714"/>
      <c r="K487" s="3715"/>
      <c r="L487" s="3716"/>
      <c r="M487" s="3714"/>
      <c r="N487" s="3714"/>
      <c r="O487" s="3714"/>
      <c r="P487" s="3756"/>
      <c r="Q487" s="3714"/>
      <c r="R487" s="3714"/>
      <c r="S487" s="3714"/>
      <c r="T487" s="3714"/>
      <c r="U487" s="3714"/>
      <c r="V487" s="3714"/>
      <c r="W487" s="3714"/>
      <c r="X487" s="3714"/>
      <c r="Y487" s="3714"/>
      <c r="Z487" s="3714"/>
      <c r="AA487" s="3714"/>
      <c r="AB487" s="3714"/>
      <c r="AC487" s="3714"/>
    </row>
    <row r="488" spans="1:29">
      <c r="A488" s="3714"/>
      <c r="B488" s="3714"/>
      <c r="C488" s="3714"/>
      <c r="D488" s="3714"/>
      <c r="E488" s="3714"/>
      <c r="F488" s="3714"/>
      <c r="G488" s="3714"/>
      <c r="H488" s="3714"/>
      <c r="I488" s="3714"/>
      <c r="J488" s="3714"/>
      <c r="K488" s="3715"/>
      <c r="L488" s="3716"/>
      <c r="M488" s="3714"/>
      <c r="N488" s="3714"/>
      <c r="O488" s="3714"/>
      <c r="P488" s="3756"/>
      <c r="Q488" s="3714"/>
      <c r="R488" s="3714"/>
      <c r="S488" s="3714"/>
      <c r="T488" s="3714"/>
      <c r="U488" s="3714"/>
      <c r="V488" s="3714"/>
      <c r="W488" s="3714"/>
      <c r="X488" s="3714"/>
      <c r="Y488" s="3714"/>
      <c r="Z488" s="3714"/>
      <c r="AA488" s="3714"/>
      <c r="AB488" s="3714"/>
      <c r="AC488" s="3714"/>
    </row>
    <row r="489" spans="1:29">
      <c r="A489" s="3714"/>
      <c r="B489" s="3714"/>
      <c r="C489" s="3714"/>
      <c r="D489" s="3714"/>
      <c r="E489" s="3714"/>
      <c r="F489" s="3714"/>
      <c r="G489" s="3714"/>
      <c r="H489" s="3714"/>
      <c r="I489" s="3714"/>
      <c r="J489" s="3714"/>
      <c r="K489" s="3715"/>
      <c r="L489" s="3716"/>
      <c r="M489" s="3714"/>
      <c r="N489" s="3714"/>
      <c r="O489" s="3714"/>
      <c r="P489" s="3756"/>
      <c r="Q489" s="3714"/>
      <c r="R489" s="3714"/>
      <c r="S489" s="3714"/>
      <c r="T489" s="3714"/>
      <c r="U489" s="3714"/>
      <c r="V489" s="3714"/>
      <c r="W489" s="3714"/>
      <c r="X489" s="3714"/>
      <c r="Y489" s="3714"/>
      <c r="Z489" s="3714"/>
      <c r="AA489" s="3714"/>
      <c r="AB489" s="3714"/>
      <c r="AC489" s="3714"/>
    </row>
    <row r="490" spans="1:29">
      <c r="A490" s="3714"/>
      <c r="B490" s="3714"/>
      <c r="C490" s="3714"/>
      <c r="D490" s="3714"/>
      <c r="E490" s="3714"/>
      <c r="F490" s="3714"/>
      <c r="G490" s="3714"/>
      <c r="H490" s="3714"/>
      <c r="I490" s="3714"/>
      <c r="J490" s="3714"/>
      <c r="K490" s="3715"/>
      <c r="L490" s="3716"/>
      <c r="M490" s="3714"/>
      <c r="N490" s="3714"/>
      <c r="O490" s="3714"/>
      <c r="P490" s="3756"/>
      <c r="Q490" s="3714"/>
      <c r="R490" s="3714"/>
      <c r="S490" s="3714"/>
      <c r="T490" s="3714"/>
      <c r="U490" s="3714"/>
      <c r="V490" s="3714"/>
      <c r="W490" s="3714"/>
      <c r="X490" s="3714"/>
      <c r="Y490" s="3714"/>
      <c r="Z490" s="3714"/>
      <c r="AA490" s="3714"/>
      <c r="AB490" s="3714"/>
      <c r="AC490" s="3714"/>
    </row>
    <row r="491" spans="1:29">
      <c r="A491" s="3714"/>
      <c r="B491" s="3714"/>
      <c r="C491" s="3714"/>
      <c r="D491" s="3714"/>
      <c r="E491" s="3714"/>
      <c r="F491" s="3714"/>
      <c r="G491" s="3714"/>
      <c r="H491" s="3714"/>
      <c r="I491" s="3714"/>
      <c r="J491" s="3714"/>
      <c r="K491" s="3715"/>
      <c r="L491" s="3716"/>
      <c r="M491" s="3714"/>
      <c r="N491" s="3714"/>
      <c r="O491" s="3714"/>
      <c r="P491" s="3756"/>
      <c r="Q491" s="3714"/>
      <c r="R491" s="3714"/>
      <c r="S491" s="3714"/>
      <c r="T491" s="3714"/>
      <c r="U491" s="3714"/>
      <c r="V491" s="3714"/>
      <c r="W491" s="3714"/>
      <c r="X491" s="3714"/>
      <c r="Y491" s="3714"/>
      <c r="Z491" s="3714"/>
      <c r="AA491" s="3714"/>
      <c r="AB491" s="3714"/>
      <c r="AC491" s="3714"/>
    </row>
    <row r="492" spans="1:29">
      <c r="A492" s="3714"/>
      <c r="B492" s="3714"/>
      <c r="C492" s="3714"/>
      <c r="D492" s="3714"/>
      <c r="E492" s="3714"/>
      <c r="F492" s="3714"/>
      <c r="G492" s="3714"/>
      <c r="H492" s="3714"/>
      <c r="I492" s="3714"/>
      <c r="J492" s="3714"/>
      <c r="K492" s="3715"/>
      <c r="L492" s="3716"/>
      <c r="M492" s="3714"/>
      <c r="N492" s="3714"/>
      <c r="O492" s="3714"/>
      <c r="P492" s="3756"/>
      <c r="Q492" s="3714"/>
      <c r="R492" s="3714"/>
      <c r="S492" s="3714"/>
      <c r="T492" s="3714"/>
      <c r="U492" s="3714"/>
      <c r="V492" s="3714"/>
      <c r="W492" s="3714"/>
      <c r="X492" s="3714"/>
      <c r="Y492" s="3714"/>
      <c r="Z492" s="3714"/>
      <c r="AA492" s="3714"/>
      <c r="AB492" s="3714"/>
      <c r="AC492" s="3714"/>
    </row>
    <row r="493" spans="1:29">
      <c r="A493" s="3714"/>
      <c r="B493" s="3714"/>
      <c r="C493" s="3714"/>
      <c r="D493" s="3714"/>
      <c r="E493" s="3714"/>
      <c r="F493" s="3714"/>
      <c r="G493" s="3714"/>
      <c r="H493" s="3714"/>
      <c r="I493" s="3714"/>
      <c r="J493" s="3714"/>
      <c r="K493" s="3715"/>
      <c r="L493" s="3716"/>
      <c r="M493" s="3714"/>
      <c r="N493" s="3714"/>
      <c r="O493" s="3714"/>
      <c r="P493" s="3756"/>
      <c r="Q493" s="3714"/>
      <c r="R493" s="3714"/>
      <c r="S493" s="3714"/>
      <c r="T493" s="3714"/>
      <c r="U493" s="3714"/>
      <c r="V493" s="3714"/>
      <c r="W493" s="3714"/>
      <c r="X493" s="3714"/>
      <c r="Y493" s="3714"/>
      <c r="Z493" s="3714"/>
      <c r="AA493" s="3714"/>
      <c r="AB493" s="3714"/>
      <c r="AC493" s="3714"/>
    </row>
    <row r="494" spans="1:29">
      <c r="A494" s="3714"/>
      <c r="B494" s="3714"/>
      <c r="C494" s="3714"/>
      <c r="D494" s="3714"/>
      <c r="E494" s="3714"/>
      <c r="F494" s="3714"/>
      <c r="G494" s="3714"/>
      <c r="H494" s="3714"/>
      <c r="I494" s="3714"/>
      <c r="J494" s="3714"/>
      <c r="K494" s="3715"/>
      <c r="L494" s="3716"/>
      <c r="M494" s="3714"/>
      <c r="N494" s="3714"/>
      <c r="O494" s="3714"/>
      <c r="P494" s="3756"/>
      <c r="Q494" s="3714"/>
      <c r="R494" s="3714"/>
      <c r="S494" s="3714"/>
      <c r="T494" s="3714"/>
      <c r="U494" s="3714"/>
      <c r="V494" s="3714"/>
      <c r="W494" s="3714"/>
      <c r="X494" s="3714"/>
      <c r="Y494" s="3714"/>
      <c r="Z494" s="3714"/>
      <c r="AA494" s="3714"/>
      <c r="AB494" s="3714"/>
      <c r="AC494" s="3714"/>
    </row>
    <row r="495" spans="1:29">
      <c r="A495" s="3714"/>
      <c r="B495" s="3714"/>
      <c r="C495" s="3714"/>
      <c r="D495" s="3714"/>
      <c r="E495" s="3714"/>
      <c r="F495" s="3714"/>
      <c r="G495" s="3714"/>
      <c r="H495" s="3714"/>
      <c r="I495" s="3714"/>
      <c r="J495" s="3714"/>
      <c r="K495" s="3715"/>
      <c r="L495" s="3716"/>
      <c r="M495" s="3714"/>
      <c r="N495" s="3714"/>
      <c r="O495" s="3714"/>
      <c r="P495" s="3756"/>
      <c r="Q495" s="3714"/>
      <c r="R495" s="3714"/>
      <c r="S495" s="3714"/>
      <c r="T495" s="3714"/>
      <c r="U495" s="3714"/>
      <c r="V495" s="3714"/>
      <c r="W495" s="3714"/>
      <c r="X495" s="3714"/>
      <c r="Y495" s="3714"/>
      <c r="Z495" s="3714"/>
      <c r="AA495" s="3714"/>
      <c r="AB495" s="3714"/>
      <c r="AC495" s="3714"/>
    </row>
    <row r="496" spans="1:29">
      <c r="A496" s="3714"/>
      <c r="B496" s="3714"/>
      <c r="C496" s="3714"/>
      <c r="D496" s="3714"/>
      <c r="E496" s="3714"/>
      <c r="F496" s="3714"/>
      <c r="G496" s="3714"/>
      <c r="H496" s="3714"/>
      <c r="I496" s="3714"/>
      <c r="J496" s="3714"/>
      <c r="K496" s="3715"/>
      <c r="L496" s="3716"/>
      <c r="M496" s="3714"/>
      <c r="N496" s="3714"/>
      <c r="O496" s="3714"/>
      <c r="P496" s="3756"/>
      <c r="Q496" s="3714"/>
      <c r="R496" s="3714"/>
      <c r="S496" s="3714"/>
      <c r="T496" s="3714"/>
      <c r="U496" s="3714"/>
      <c r="V496" s="3714"/>
      <c r="W496" s="3714"/>
      <c r="X496" s="3714"/>
      <c r="Y496" s="3714"/>
      <c r="Z496" s="3714"/>
      <c r="AA496" s="3714"/>
      <c r="AB496" s="3714"/>
      <c r="AC496" s="3714"/>
    </row>
    <row r="497" spans="1:29">
      <c r="A497" s="3714"/>
      <c r="B497" s="3714"/>
      <c r="C497" s="3714"/>
      <c r="D497" s="3714"/>
      <c r="E497" s="3714"/>
      <c r="F497" s="3714"/>
      <c r="G497" s="3714"/>
      <c r="H497" s="3714"/>
      <c r="I497" s="3714"/>
      <c r="J497" s="3714"/>
      <c r="K497" s="3715"/>
      <c r="L497" s="3716"/>
      <c r="M497" s="3714"/>
      <c r="N497" s="3714"/>
      <c r="O497" s="3714"/>
      <c r="P497" s="3756"/>
      <c r="Q497" s="3714"/>
      <c r="R497" s="3714"/>
      <c r="S497" s="3714"/>
      <c r="T497" s="3714"/>
      <c r="U497" s="3714"/>
      <c r="V497" s="3714"/>
      <c r="W497" s="3714"/>
      <c r="X497" s="3714"/>
      <c r="Y497" s="3714"/>
      <c r="Z497" s="3714"/>
      <c r="AA497" s="3714"/>
      <c r="AB497" s="3714"/>
      <c r="AC497" s="3714"/>
    </row>
    <row r="498" spans="1:29">
      <c r="A498" s="3714"/>
      <c r="B498" s="3714"/>
      <c r="C498" s="3714"/>
      <c r="D498" s="3714"/>
      <c r="E498" s="3714"/>
      <c r="F498" s="3714"/>
      <c r="G498" s="3714"/>
      <c r="H498" s="3714"/>
      <c r="I498" s="3714"/>
      <c r="J498" s="3714"/>
      <c r="K498" s="3715"/>
      <c r="L498" s="3716"/>
      <c r="M498" s="3714"/>
      <c r="N498" s="3714"/>
      <c r="O498" s="3714"/>
      <c r="P498" s="3756"/>
      <c r="Q498" s="3714"/>
      <c r="R498" s="3714"/>
      <c r="S498" s="3714"/>
      <c r="T498" s="3714"/>
      <c r="U498" s="3714"/>
      <c r="V498" s="3714"/>
      <c r="W498" s="3714"/>
      <c r="X498" s="3714"/>
      <c r="Y498" s="3714"/>
      <c r="Z498" s="3714"/>
      <c r="AA498" s="3714"/>
      <c r="AB498" s="3714"/>
      <c r="AC498" s="3714"/>
    </row>
    <row r="499" spans="1:29">
      <c r="A499" s="3714"/>
      <c r="B499" s="3714"/>
      <c r="C499" s="3714"/>
      <c r="D499" s="3714"/>
      <c r="E499" s="3714"/>
      <c r="F499" s="3714"/>
      <c r="G499" s="3714"/>
      <c r="H499" s="3714"/>
      <c r="I499" s="3714"/>
      <c r="J499" s="3714"/>
      <c r="K499" s="3715"/>
      <c r="L499" s="3716"/>
      <c r="M499" s="3714"/>
      <c r="N499" s="3714"/>
      <c r="O499" s="3714"/>
      <c r="P499" s="3756"/>
      <c r="Q499" s="3714"/>
      <c r="R499" s="3714"/>
      <c r="S499" s="3714"/>
      <c r="T499" s="3714"/>
      <c r="U499" s="3714"/>
      <c r="V499" s="3714"/>
      <c r="W499" s="3714"/>
      <c r="X499" s="3714"/>
      <c r="Y499" s="3714"/>
      <c r="Z499" s="3714"/>
      <c r="AA499" s="3714"/>
      <c r="AB499" s="3714"/>
      <c r="AC499" s="3714"/>
    </row>
    <row r="500" spans="1:29">
      <c r="A500" s="3714"/>
      <c r="B500" s="3714"/>
      <c r="C500" s="3714"/>
      <c r="D500" s="3714"/>
      <c r="E500" s="3714"/>
      <c r="F500" s="3714"/>
      <c r="G500" s="3714"/>
      <c r="H500" s="3714"/>
      <c r="I500" s="3714"/>
      <c r="J500" s="3714"/>
      <c r="K500" s="3715"/>
      <c r="L500" s="3716"/>
      <c r="M500" s="3714"/>
      <c r="N500" s="3714"/>
      <c r="O500" s="3714"/>
      <c r="P500" s="3756"/>
      <c r="Q500" s="3714"/>
      <c r="R500" s="3714"/>
      <c r="S500" s="3714"/>
      <c r="T500" s="3714"/>
      <c r="U500" s="3714"/>
      <c r="V500" s="3714"/>
      <c r="W500" s="3714"/>
      <c r="X500" s="3714"/>
      <c r="Y500" s="3714"/>
      <c r="Z500" s="3714"/>
      <c r="AA500" s="3714"/>
      <c r="AB500" s="3714"/>
      <c r="AC500" s="3714"/>
    </row>
    <row r="501" spans="1:29">
      <c r="A501" s="3714"/>
      <c r="B501" s="3714"/>
      <c r="C501" s="3714"/>
      <c r="D501" s="3714"/>
      <c r="E501" s="3714"/>
      <c r="F501" s="3714"/>
      <c r="G501" s="3714"/>
      <c r="H501" s="3714"/>
      <c r="I501" s="3714"/>
      <c r="J501" s="3714"/>
      <c r="K501" s="3715"/>
      <c r="L501" s="3716"/>
      <c r="M501" s="3714"/>
      <c r="N501" s="3714"/>
      <c r="O501" s="3714"/>
      <c r="P501" s="3756"/>
      <c r="Q501" s="3714"/>
      <c r="R501" s="3714"/>
      <c r="S501" s="3714"/>
      <c r="T501" s="3714"/>
      <c r="U501" s="3714"/>
      <c r="V501" s="3714"/>
      <c r="W501" s="3714"/>
      <c r="X501" s="3714"/>
      <c r="Y501" s="3714"/>
      <c r="Z501" s="3714"/>
      <c r="AA501" s="3714"/>
      <c r="AB501" s="3714"/>
      <c r="AC501" s="3714"/>
    </row>
    <row r="502" spans="1:29">
      <c r="A502" s="3714"/>
      <c r="B502" s="3714"/>
      <c r="C502" s="3714"/>
      <c r="D502" s="3714"/>
      <c r="E502" s="3714"/>
      <c r="F502" s="3714"/>
      <c r="G502" s="3714"/>
      <c r="H502" s="3714"/>
      <c r="I502" s="3714"/>
      <c r="J502" s="3714"/>
      <c r="K502" s="3715"/>
      <c r="L502" s="3716"/>
      <c r="M502" s="3714"/>
      <c r="N502" s="3714"/>
      <c r="O502" s="3714"/>
      <c r="P502" s="3756"/>
      <c r="Q502" s="3714"/>
      <c r="R502" s="3714"/>
      <c r="S502" s="3714"/>
      <c r="T502" s="3714"/>
      <c r="U502" s="3714"/>
      <c r="V502" s="3714"/>
      <c r="W502" s="3714"/>
      <c r="X502" s="3714"/>
      <c r="Y502" s="3714"/>
      <c r="Z502" s="3714"/>
      <c r="AA502" s="3714"/>
      <c r="AB502" s="3714"/>
      <c r="AC502" s="3714"/>
    </row>
    <row r="503" spans="1:29">
      <c r="A503" s="3714"/>
      <c r="B503" s="3714"/>
      <c r="C503" s="3714"/>
      <c r="D503" s="3714"/>
      <c r="E503" s="3714"/>
      <c r="F503" s="3714"/>
      <c r="G503" s="3714"/>
      <c r="H503" s="3714"/>
      <c r="I503" s="3714"/>
      <c r="J503" s="3714"/>
      <c r="K503" s="3715"/>
      <c r="L503" s="3716"/>
      <c r="M503" s="3714"/>
      <c r="N503" s="3714"/>
      <c r="O503" s="3714"/>
      <c r="P503" s="3756"/>
      <c r="Q503" s="3714"/>
      <c r="R503" s="3714"/>
      <c r="S503" s="3714"/>
      <c r="T503" s="3714"/>
      <c r="U503" s="3714"/>
      <c r="V503" s="3714"/>
      <c r="W503" s="3714"/>
      <c r="X503" s="3714"/>
      <c r="Y503" s="3714"/>
      <c r="Z503" s="3714"/>
      <c r="AA503" s="3714"/>
      <c r="AB503" s="3714"/>
      <c r="AC503" s="3714"/>
    </row>
    <row r="504" spans="1:29">
      <c r="A504" s="3714"/>
      <c r="B504" s="3714"/>
      <c r="C504" s="3714"/>
      <c r="D504" s="3714"/>
      <c r="E504" s="3714"/>
      <c r="F504" s="3714"/>
      <c r="G504" s="3714"/>
      <c r="H504" s="3714"/>
      <c r="I504" s="3714"/>
      <c r="J504" s="3714"/>
      <c r="K504" s="3715"/>
      <c r="L504" s="3716"/>
      <c r="M504" s="3714"/>
      <c r="N504" s="3714"/>
      <c r="O504" s="3714"/>
      <c r="P504" s="3756"/>
      <c r="Q504" s="3714"/>
      <c r="R504" s="3714"/>
      <c r="S504" s="3714"/>
      <c r="T504" s="3714"/>
      <c r="U504" s="3714"/>
      <c r="V504" s="3714"/>
      <c r="W504" s="3714"/>
      <c r="X504" s="3714"/>
      <c r="Y504" s="3714"/>
      <c r="Z504" s="3714"/>
      <c r="AA504" s="3714"/>
      <c r="AB504" s="3714"/>
      <c r="AC504" s="3714"/>
    </row>
    <row r="505" spans="1:29">
      <c r="A505" s="3714"/>
      <c r="B505" s="3714"/>
      <c r="C505" s="3714"/>
      <c r="D505" s="3714"/>
      <c r="E505" s="3714"/>
      <c r="F505" s="3714"/>
      <c r="G505" s="3714"/>
      <c r="H505" s="3714"/>
      <c r="I505" s="3714"/>
      <c r="J505" s="3714"/>
      <c r="K505" s="3715"/>
      <c r="L505" s="3716"/>
      <c r="M505" s="3714"/>
      <c r="N505" s="3714"/>
      <c r="O505" s="3714"/>
      <c r="P505" s="3756"/>
      <c r="Q505" s="3714"/>
      <c r="R505" s="3714"/>
      <c r="S505" s="3714"/>
      <c r="T505" s="3714"/>
      <c r="U505" s="3714"/>
      <c r="V505" s="3714"/>
      <c r="W505" s="3714"/>
      <c r="X505" s="3714"/>
      <c r="Y505" s="3714"/>
      <c r="Z505" s="3714"/>
      <c r="AA505" s="3714"/>
      <c r="AB505" s="3714"/>
      <c r="AC505" s="3714"/>
    </row>
    <row r="506" spans="1:29">
      <c r="A506" s="3714"/>
      <c r="B506" s="3714"/>
      <c r="C506" s="3714"/>
      <c r="D506" s="3714"/>
      <c r="E506" s="3714"/>
      <c r="F506" s="3714"/>
      <c r="G506" s="3714"/>
      <c r="H506" s="3714"/>
      <c r="I506" s="3714"/>
      <c r="J506" s="3714"/>
      <c r="K506" s="3715"/>
      <c r="L506" s="3716"/>
      <c r="M506" s="3714"/>
      <c r="N506" s="3714"/>
      <c r="O506" s="3714"/>
      <c r="P506" s="3756"/>
      <c r="Q506" s="3714"/>
      <c r="R506" s="3714"/>
      <c r="S506" s="3714"/>
      <c r="T506" s="3714"/>
      <c r="U506" s="3714"/>
      <c r="V506" s="3714"/>
      <c r="W506" s="3714"/>
      <c r="X506" s="3714"/>
      <c r="Y506" s="3714"/>
      <c r="Z506" s="3714"/>
      <c r="AA506" s="3714"/>
      <c r="AB506" s="3714"/>
      <c r="AC506" s="3714"/>
    </row>
    <row r="507" spans="1:29">
      <c r="A507" s="3714"/>
      <c r="B507" s="3714"/>
      <c r="C507" s="3714"/>
      <c r="D507" s="3714"/>
      <c r="E507" s="3714"/>
      <c r="F507" s="3714"/>
      <c r="G507" s="3714"/>
      <c r="H507" s="3714"/>
      <c r="I507" s="3714"/>
      <c r="J507" s="3714"/>
      <c r="K507" s="3715"/>
      <c r="L507" s="3716"/>
      <c r="M507" s="3714"/>
      <c r="N507" s="3714"/>
      <c r="O507" s="3714"/>
      <c r="P507" s="3756"/>
      <c r="Q507" s="3714"/>
      <c r="R507" s="3714"/>
      <c r="S507" s="3714"/>
      <c r="T507" s="3714"/>
      <c r="U507" s="3714"/>
      <c r="V507" s="3714"/>
      <c r="W507" s="3714"/>
      <c r="X507" s="3714"/>
      <c r="Y507" s="3714"/>
      <c r="Z507" s="3714"/>
      <c r="AA507" s="3714"/>
      <c r="AB507" s="3714"/>
      <c r="AC507" s="3714"/>
    </row>
    <row r="508" spans="1:29">
      <c r="A508" s="3714"/>
      <c r="B508" s="3714"/>
      <c r="C508" s="3714"/>
      <c r="D508" s="3714"/>
      <c r="E508" s="3714"/>
      <c r="F508" s="3714"/>
      <c r="G508" s="3714"/>
      <c r="H508" s="3714"/>
      <c r="I508" s="3714"/>
      <c r="J508" s="3714"/>
      <c r="K508" s="3715"/>
      <c r="L508" s="3716"/>
      <c r="M508" s="3714"/>
      <c r="N508" s="3714"/>
      <c r="O508" s="3714"/>
      <c r="P508" s="3756"/>
      <c r="Q508" s="3714"/>
      <c r="R508" s="3714"/>
      <c r="S508" s="3714"/>
      <c r="T508" s="3714"/>
      <c r="U508" s="3714"/>
      <c r="V508" s="3714"/>
      <c r="W508" s="3714"/>
      <c r="X508" s="3714"/>
      <c r="Y508" s="3714"/>
      <c r="Z508" s="3714"/>
      <c r="AA508" s="3714"/>
      <c r="AB508" s="3714"/>
      <c r="AC508" s="3714"/>
    </row>
    <row r="509" spans="1:29">
      <c r="A509" s="3714"/>
      <c r="B509" s="3714"/>
      <c r="C509" s="3714"/>
      <c r="D509" s="3714"/>
      <c r="E509" s="3714"/>
      <c r="F509" s="3714"/>
      <c r="G509" s="3714"/>
      <c r="H509" s="3714"/>
      <c r="I509" s="3714"/>
      <c r="J509" s="3714"/>
      <c r="K509" s="3715"/>
      <c r="L509" s="3716"/>
      <c r="M509" s="3714"/>
      <c r="N509" s="3714"/>
      <c r="O509" s="3714"/>
      <c r="P509" s="3756"/>
      <c r="Q509" s="3714"/>
      <c r="R509" s="3714"/>
      <c r="S509" s="3714"/>
      <c r="T509" s="3714"/>
      <c r="U509" s="3714"/>
      <c r="V509" s="3714"/>
      <c r="W509" s="3714"/>
      <c r="X509" s="3714"/>
      <c r="Y509" s="3714"/>
      <c r="Z509" s="3714"/>
      <c r="AA509" s="3714"/>
      <c r="AB509" s="3714"/>
      <c r="AC509" s="3714"/>
    </row>
    <row r="510" spans="1:29">
      <c r="A510" s="3714"/>
      <c r="B510" s="3714"/>
      <c r="C510" s="3714"/>
      <c r="D510" s="3714"/>
      <c r="E510" s="3714"/>
      <c r="F510" s="3714"/>
      <c r="G510" s="3714"/>
      <c r="H510" s="3714"/>
      <c r="I510" s="3714"/>
      <c r="J510" s="3714"/>
      <c r="K510" s="3715"/>
      <c r="L510" s="3716"/>
      <c r="M510" s="3714"/>
      <c r="N510" s="3714"/>
      <c r="O510" s="3714"/>
      <c r="P510" s="3756"/>
      <c r="Q510" s="3714"/>
      <c r="R510" s="3714"/>
      <c r="S510" s="3714"/>
      <c r="T510" s="3714"/>
      <c r="U510" s="3714"/>
      <c r="V510" s="3714"/>
      <c r="W510" s="3714"/>
      <c r="X510" s="3714"/>
      <c r="Y510" s="3714"/>
      <c r="Z510" s="3714"/>
      <c r="AA510" s="3714"/>
      <c r="AB510" s="3714"/>
      <c r="AC510" s="3714"/>
    </row>
    <row r="511" spans="1:29">
      <c r="A511" s="3714"/>
      <c r="B511" s="3714"/>
      <c r="C511" s="3714"/>
      <c r="D511" s="3714"/>
      <c r="E511" s="3714"/>
      <c r="F511" s="3714"/>
      <c r="G511" s="3714"/>
      <c r="H511" s="3714"/>
      <c r="I511" s="3714"/>
      <c r="J511" s="3714"/>
      <c r="K511" s="3715"/>
      <c r="L511" s="3716"/>
      <c r="M511" s="3714"/>
      <c r="N511" s="3714"/>
      <c r="O511" s="3714"/>
      <c r="P511" s="3756"/>
      <c r="Q511" s="3714"/>
      <c r="R511" s="3714"/>
      <c r="S511" s="3714"/>
      <c r="T511" s="3714"/>
      <c r="U511" s="3714"/>
      <c r="V511" s="3714"/>
      <c r="W511" s="3714"/>
      <c r="X511" s="3714"/>
      <c r="Y511" s="3714"/>
      <c r="Z511" s="3714"/>
      <c r="AA511" s="3714"/>
      <c r="AB511" s="3714"/>
      <c r="AC511" s="3714"/>
    </row>
    <row r="512" spans="1:29">
      <c r="A512" s="3714"/>
      <c r="B512" s="3714"/>
      <c r="C512" s="3714"/>
      <c r="D512" s="3714"/>
      <c r="E512" s="3714"/>
      <c r="F512" s="3714"/>
      <c r="G512" s="3714"/>
      <c r="H512" s="3714"/>
      <c r="I512" s="3714"/>
      <c r="J512" s="3714"/>
      <c r="K512" s="3715"/>
      <c r="L512" s="3716"/>
      <c r="M512" s="3714"/>
      <c r="N512" s="3714"/>
      <c r="O512" s="3714"/>
      <c r="P512" s="3756"/>
      <c r="Q512" s="3714"/>
      <c r="R512" s="3714"/>
      <c r="S512" s="3714"/>
      <c r="T512" s="3714"/>
      <c r="U512" s="3714"/>
      <c r="V512" s="3714"/>
      <c r="W512" s="3714"/>
      <c r="X512" s="3714"/>
      <c r="Y512" s="3714"/>
      <c r="Z512" s="3714"/>
      <c r="AA512" s="3714"/>
      <c r="AB512" s="3714"/>
      <c r="AC512" s="3714"/>
    </row>
    <row r="513" spans="1:29">
      <c r="A513" s="3714"/>
      <c r="B513" s="3714"/>
      <c r="C513" s="3714"/>
      <c r="D513" s="3714"/>
      <c r="E513" s="3714"/>
      <c r="F513" s="3714"/>
      <c r="G513" s="3714"/>
      <c r="H513" s="3714"/>
      <c r="I513" s="3714"/>
      <c r="J513" s="3714"/>
      <c r="K513" s="3715"/>
      <c r="L513" s="3716"/>
      <c r="M513" s="3714"/>
      <c r="N513" s="3714"/>
      <c r="O513" s="3714"/>
      <c r="P513" s="3756"/>
      <c r="Q513" s="3714"/>
      <c r="R513" s="3714"/>
      <c r="S513" s="3714"/>
      <c r="T513" s="3714"/>
      <c r="U513" s="3714"/>
      <c r="V513" s="3714"/>
      <c r="W513" s="3714"/>
      <c r="X513" s="3714"/>
      <c r="Y513" s="3714"/>
      <c r="Z513" s="3714"/>
      <c r="AA513" s="3714"/>
      <c r="AB513" s="3714"/>
      <c r="AC513" s="3714"/>
    </row>
    <row r="514" spans="1:29">
      <c r="A514" s="3714"/>
      <c r="B514" s="3714"/>
      <c r="C514" s="3714"/>
      <c r="D514" s="3714"/>
      <c r="E514" s="3714"/>
      <c r="F514" s="3714"/>
      <c r="G514" s="3714"/>
      <c r="H514" s="3714"/>
      <c r="I514" s="3714"/>
      <c r="J514" s="3714"/>
      <c r="K514" s="3715"/>
      <c r="L514" s="3716"/>
      <c r="M514" s="3714"/>
      <c r="N514" s="3714"/>
      <c r="O514" s="3714"/>
      <c r="P514" s="3756"/>
      <c r="Q514" s="3714"/>
      <c r="R514" s="3714"/>
      <c r="S514" s="3714"/>
      <c r="T514" s="3714"/>
      <c r="U514" s="3714"/>
      <c r="V514" s="3714"/>
      <c r="W514" s="3714"/>
      <c r="X514" s="3714"/>
      <c r="Y514" s="3714"/>
      <c r="Z514" s="3714"/>
      <c r="AA514" s="3714"/>
      <c r="AB514" s="3714"/>
      <c r="AC514" s="3714"/>
    </row>
    <row r="515" spans="1:29">
      <c r="A515" s="3714"/>
      <c r="B515" s="3714"/>
      <c r="C515" s="3714"/>
      <c r="D515" s="3714"/>
      <c r="E515" s="3714"/>
      <c r="F515" s="3714"/>
      <c r="G515" s="3714"/>
      <c r="H515" s="3714"/>
      <c r="I515" s="3714"/>
      <c r="J515" s="3714"/>
      <c r="K515" s="3715"/>
      <c r="L515" s="3716"/>
      <c r="M515" s="3714"/>
      <c r="N515" s="3714"/>
      <c r="O515" s="3714"/>
      <c r="P515" s="3756"/>
      <c r="Q515" s="3714"/>
      <c r="R515" s="3714"/>
      <c r="S515" s="3714"/>
      <c r="T515" s="3714"/>
      <c r="U515" s="3714"/>
      <c r="V515" s="3714"/>
      <c r="W515" s="3714"/>
      <c r="X515" s="3714"/>
      <c r="Y515" s="3714"/>
      <c r="Z515" s="3714"/>
      <c r="AA515" s="3714"/>
      <c r="AB515" s="3714"/>
      <c r="AC515" s="3714"/>
    </row>
    <row r="516" spans="1:29">
      <c r="A516" s="3714"/>
      <c r="B516" s="3714"/>
      <c r="C516" s="3714"/>
      <c r="D516" s="3714"/>
      <c r="E516" s="3714"/>
      <c r="F516" s="3714"/>
      <c r="G516" s="3714"/>
      <c r="H516" s="3714"/>
      <c r="I516" s="3714"/>
      <c r="J516" s="3714"/>
      <c r="K516" s="3715"/>
      <c r="L516" s="3716"/>
      <c r="M516" s="3714"/>
      <c r="N516" s="3714"/>
      <c r="O516" s="3714"/>
      <c r="P516" s="3756"/>
      <c r="Q516" s="3714"/>
      <c r="R516" s="3714"/>
      <c r="S516" s="3714"/>
      <c r="T516" s="3714"/>
      <c r="U516" s="3714"/>
      <c r="V516" s="3714"/>
      <c r="W516" s="3714"/>
      <c r="X516" s="3714"/>
      <c r="Y516" s="3714"/>
      <c r="Z516" s="3714"/>
      <c r="AA516" s="3714"/>
      <c r="AB516" s="3714"/>
      <c r="AC516" s="3714"/>
    </row>
    <row r="517" spans="1:29">
      <c r="A517" s="3714"/>
      <c r="B517" s="3714"/>
      <c r="C517" s="3714"/>
      <c r="D517" s="3714"/>
      <c r="E517" s="3714"/>
      <c r="F517" s="3714"/>
      <c r="G517" s="3714"/>
      <c r="H517" s="3714"/>
      <c r="I517" s="3714"/>
      <c r="J517" s="3714"/>
      <c r="K517" s="3715"/>
      <c r="L517" s="3716"/>
      <c r="M517" s="3714"/>
      <c r="N517" s="3714"/>
      <c r="O517" s="3714"/>
      <c r="P517" s="3756"/>
      <c r="Q517" s="3714"/>
      <c r="R517" s="3714"/>
      <c r="S517" s="3714"/>
      <c r="T517" s="3714"/>
      <c r="U517" s="3714"/>
      <c r="V517" s="3714"/>
      <c r="W517" s="3714"/>
      <c r="X517" s="3714"/>
      <c r="Y517" s="3714"/>
      <c r="Z517" s="3714"/>
      <c r="AA517" s="3714"/>
      <c r="AB517" s="3714"/>
      <c r="AC517" s="3714"/>
    </row>
    <row r="518" spans="1:29">
      <c r="A518" s="3714"/>
      <c r="B518" s="3714"/>
      <c r="C518" s="3714"/>
      <c r="D518" s="3714"/>
      <c r="E518" s="3714"/>
      <c r="F518" s="3714"/>
      <c r="G518" s="3714"/>
      <c r="H518" s="3714"/>
      <c r="I518" s="3714"/>
      <c r="J518" s="3714"/>
      <c r="K518" s="3715"/>
      <c r="L518" s="3716"/>
      <c r="M518" s="3714"/>
      <c r="N518" s="3714"/>
      <c r="O518" s="3714"/>
      <c r="P518" s="3756"/>
      <c r="Q518" s="3714"/>
      <c r="R518" s="3714"/>
      <c r="S518" s="3714"/>
      <c r="T518" s="3714"/>
      <c r="U518" s="3714"/>
      <c r="V518" s="3714"/>
      <c r="W518" s="3714"/>
      <c r="X518" s="3714"/>
      <c r="Y518" s="3714"/>
      <c r="Z518" s="3714"/>
      <c r="AA518" s="3714"/>
      <c r="AB518" s="3714"/>
      <c r="AC518" s="3714"/>
    </row>
    <row r="519" spans="1:29">
      <c r="A519" s="3714"/>
      <c r="B519" s="3714"/>
      <c r="C519" s="3714"/>
      <c r="D519" s="3714"/>
      <c r="E519" s="3714"/>
      <c r="F519" s="3714"/>
      <c r="G519" s="3714"/>
      <c r="H519" s="3714"/>
      <c r="I519" s="3714"/>
      <c r="J519" s="3714"/>
      <c r="K519" s="3715"/>
      <c r="L519" s="3716"/>
      <c r="M519" s="3714"/>
      <c r="N519" s="3714"/>
      <c r="O519" s="3714"/>
      <c r="P519" s="3756"/>
      <c r="Q519" s="3714"/>
      <c r="R519" s="3714"/>
      <c r="S519" s="3714"/>
      <c r="T519" s="3714"/>
      <c r="U519" s="3714"/>
      <c r="V519" s="3714"/>
      <c r="W519" s="3714"/>
      <c r="X519" s="3714"/>
      <c r="Y519" s="3714"/>
      <c r="Z519" s="3714"/>
      <c r="AA519" s="3714"/>
      <c r="AB519" s="3714"/>
      <c r="AC519" s="3714"/>
    </row>
    <row r="520" spans="1:29">
      <c r="A520" s="3714"/>
      <c r="B520" s="3714"/>
      <c r="C520" s="3714"/>
      <c r="D520" s="3714"/>
      <c r="E520" s="3714"/>
      <c r="F520" s="3714"/>
      <c r="G520" s="3714"/>
      <c r="H520" s="3714"/>
      <c r="I520" s="3714"/>
      <c r="J520" s="3714"/>
      <c r="K520" s="3715"/>
      <c r="L520" s="3716"/>
      <c r="M520" s="3714"/>
      <c r="N520" s="3714"/>
      <c r="O520" s="3714"/>
      <c r="P520" s="3756"/>
      <c r="Q520" s="3714"/>
      <c r="R520" s="3714"/>
      <c r="S520" s="3714"/>
      <c r="T520" s="3714"/>
      <c r="U520" s="3714"/>
      <c r="V520" s="3714"/>
      <c r="W520" s="3714"/>
      <c r="X520" s="3714"/>
      <c r="Y520" s="3714"/>
      <c r="Z520" s="3714"/>
      <c r="AA520" s="3714"/>
      <c r="AB520" s="3714"/>
      <c r="AC520" s="3714"/>
    </row>
    <row r="521" spans="1:29">
      <c r="A521" s="3714"/>
      <c r="B521" s="3714"/>
      <c r="C521" s="3714"/>
      <c r="D521" s="3714"/>
      <c r="E521" s="3714"/>
      <c r="F521" s="3714"/>
      <c r="G521" s="3714"/>
      <c r="H521" s="3714"/>
      <c r="I521" s="3714"/>
      <c r="J521" s="3714"/>
      <c r="K521" s="3715"/>
      <c r="L521" s="3716"/>
      <c r="M521" s="3714"/>
      <c r="N521" s="3714"/>
      <c r="O521" s="3714"/>
      <c r="P521" s="3756"/>
      <c r="Q521" s="3714"/>
      <c r="R521" s="3714"/>
      <c r="S521" s="3714"/>
      <c r="T521" s="3714"/>
      <c r="U521" s="3714"/>
      <c r="V521" s="3714"/>
      <c r="W521" s="3714"/>
      <c r="X521" s="3714"/>
      <c r="Y521" s="3714"/>
      <c r="Z521" s="3714"/>
      <c r="AA521" s="3714"/>
      <c r="AB521" s="3714"/>
      <c r="AC521" s="3714"/>
    </row>
    <row r="522" spans="1:29">
      <c r="A522" s="3714"/>
      <c r="B522" s="3714"/>
      <c r="C522" s="3714"/>
      <c r="D522" s="3714"/>
      <c r="E522" s="3714"/>
      <c r="F522" s="3714"/>
      <c r="G522" s="3714"/>
      <c r="H522" s="3714"/>
      <c r="I522" s="3714"/>
      <c r="J522" s="3714"/>
      <c r="K522" s="3715"/>
      <c r="L522" s="3716"/>
      <c r="M522" s="3714"/>
      <c r="N522" s="3714"/>
      <c r="O522" s="3714"/>
      <c r="P522" s="3756"/>
      <c r="Q522" s="3714"/>
      <c r="R522" s="3714"/>
      <c r="S522" s="3714"/>
      <c r="T522" s="3714"/>
      <c r="U522" s="3714"/>
      <c r="V522" s="3714"/>
      <c r="W522" s="3714"/>
      <c r="X522" s="3714"/>
      <c r="Y522" s="3714"/>
      <c r="Z522" s="3714"/>
      <c r="AA522" s="3714"/>
      <c r="AB522" s="3714"/>
      <c r="AC522" s="3714"/>
    </row>
    <row r="523" spans="1:29">
      <c r="A523" s="3714"/>
      <c r="B523" s="3714"/>
      <c r="C523" s="3714"/>
      <c r="D523" s="3714"/>
      <c r="E523" s="3714"/>
      <c r="F523" s="3714"/>
      <c r="G523" s="3714"/>
      <c r="H523" s="3714"/>
      <c r="I523" s="3714"/>
      <c r="J523" s="3714"/>
      <c r="K523" s="3715"/>
      <c r="L523" s="3716"/>
      <c r="M523" s="3714"/>
      <c r="N523" s="3714"/>
      <c r="O523" s="3714"/>
      <c r="P523" s="3756"/>
      <c r="Q523" s="3714"/>
      <c r="R523" s="3714"/>
      <c r="S523" s="3714"/>
      <c r="T523" s="3714"/>
      <c r="U523" s="3714"/>
      <c r="V523" s="3714"/>
      <c r="W523" s="3714"/>
      <c r="X523" s="3714"/>
      <c r="Y523" s="3714"/>
      <c r="Z523" s="3714"/>
      <c r="AA523" s="3714"/>
      <c r="AB523" s="3714"/>
      <c r="AC523" s="3714"/>
    </row>
    <row r="524" spans="1:29">
      <c r="A524" s="3714"/>
      <c r="B524" s="3714"/>
      <c r="C524" s="3714"/>
      <c r="D524" s="3714"/>
      <c r="E524" s="3714"/>
      <c r="F524" s="3714"/>
      <c r="G524" s="3714"/>
      <c r="H524" s="3714"/>
      <c r="I524" s="3714"/>
      <c r="J524" s="3714"/>
      <c r="K524" s="3715"/>
      <c r="L524" s="3716"/>
      <c r="M524" s="3714"/>
      <c r="N524" s="3714"/>
      <c r="O524" s="3714"/>
      <c r="P524" s="3756"/>
      <c r="Q524" s="3714"/>
      <c r="R524" s="3714"/>
      <c r="S524" s="3714"/>
      <c r="T524" s="3714"/>
      <c r="U524" s="3714"/>
      <c r="V524" s="3714"/>
      <c r="W524" s="3714"/>
      <c r="X524" s="3714"/>
      <c r="Y524" s="3714"/>
      <c r="Z524" s="3714"/>
      <c r="AA524" s="3714"/>
      <c r="AB524" s="3714"/>
      <c r="AC524" s="3714"/>
    </row>
    <row r="525" spans="1:29">
      <c r="A525" s="3714"/>
      <c r="B525" s="3714"/>
      <c r="C525" s="3714"/>
      <c r="D525" s="3714"/>
      <c r="E525" s="3714"/>
      <c r="F525" s="3714"/>
      <c r="G525" s="3714"/>
      <c r="H525" s="3714"/>
      <c r="I525" s="3714"/>
      <c r="J525" s="3714"/>
      <c r="K525" s="3715"/>
      <c r="L525" s="3716"/>
      <c r="M525" s="3714"/>
      <c r="N525" s="3714"/>
      <c r="O525" s="3714"/>
      <c r="P525" s="3756"/>
      <c r="Q525" s="3714"/>
      <c r="R525" s="3714"/>
      <c r="S525" s="3714"/>
      <c r="T525" s="3714"/>
      <c r="U525" s="3714"/>
      <c r="V525" s="3714"/>
      <c r="W525" s="3714"/>
      <c r="X525" s="3714"/>
      <c r="Y525" s="3714"/>
      <c r="Z525" s="3714"/>
      <c r="AA525" s="3714"/>
      <c r="AB525" s="3714"/>
      <c r="AC525" s="3714"/>
    </row>
    <row r="526" spans="1:29">
      <c r="A526" s="3714"/>
      <c r="B526" s="3714"/>
      <c r="C526" s="3714"/>
      <c r="D526" s="3714"/>
      <c r="E526" s="3714"/>
      <c r="F526" s="3714"/>
      <c r="G526" s="3714"/>
      <c r="H526" s="3714"/>
      <c r="I526" s="3714"/>
      <c r="J526" s="3714"/>
      <c r="K526" s="3715"/>
      <c r="L526" s="3716"/>
      <c r="M526" s="3714"/>
      <c r="N526" s="3714"/>
      <c r="O526" s="3714"/>
      <c r="P526" s="3756"/>
      <c r="Q526" s="3714"/>
      <c r="R526" s="3714"/>
      <c r="S526" s="3714"/>
      <c r="T526" s="3714"/>
      <c r="U526" s="3714"/>
      <c r="V526" s="3714"/>
      <c r="W526" s="3714"/>
      <c r="X526" s="3714"/>
      <c r="Y526" s="3714"/>
      <c r="Z526" s="3714"/>
      <c r="AA526" s="3714"/>
      <c r="AB526" s="3714"/>
      <c r="AC526" s="3714"/>
    </row>
    <row r="527" spans="1:29">
      <c r="A527" s="3714"/>
      <c r="B527" s="3714"/>
      <c r="C527" s="3714"/>
      <c r="D527" s="3714"/>
      <c r="E527" s="3714"/>
      <c r="F527" s="3714"/>
      <c r="G527" s="3714"/>
      <c r="H527" s="3714"/>
      <c r="I527" s="3714"/>
      <c r="J527" s="3714"/>
      <c r="K527" s="3715"/>
      <c r="L527" s="3716"/>
      <c r="M527" s="3714"/>
      <c r="N527" s="3714"/>
      <c r="O527" s="3714"/>
      <c r="P527" s="3756"/>
      <c r="Q527" s="3714"/>
      <c r="R527" s="3714"/>
      <c r="S527" s="3714"/>
      <c r="T527" s="3714"/>
      <c r="U527" s="3714"/>
      <c r="V527" s="3714"/>
      <c r="W527" s="3714"/>
      <c r="X527" s="3714"/>
      <c r="Y527" s="3714"/>
      <c r="Z527" s="3714"/>
      <c r="AA527" s="3714"/>
      <c r="AB527" s="3714"/>
      <c r="AC527" s="3714"/>
    </row>
    <row r="528" spans="1:29">
      <c r="A528" s="3714"/>
      <c r="B528" s="3714"/>
      <c r="C528" s="3714"/>
      <c r="D528" s="3714"/>
      <c r="E528" s="3714"/>
      <c r="F528" s="3714"/>
      <c r="G528" s="3714"/>
      <c r="H528" s="3714"/>
      <c r="I528" s="3714"/>
      <c r="J528" s="3714"/>
      <c r="K528" s="3715"/>
      <c r="L528" s="3716"/>
      <c r="M528" s="3714"/>
      <c r="N528" s="3714"/>
      <c r="O528" s="3714"/>
      <c r="P528" s="3756"/>
      <c r="Q528" s="3714"/>
      <c r="R528" s="3714"/>
      <c r="S528" s="3714"/>
      <c r="T528" s="3714"/>
      <c r="U528" s="3714"/>
      <c r="V528" s="3714"/>
      <c r="W528" s="3714"/>
      <c r="X528" s="3714"/>
      <c r="Y528" s="3714"/>
      <c r="Z528" s="3714"/>
      <c r="AA528" s="3714"/>
      <c r="AB528" s="3714"/>
      <c r="AC528" s="3714"/>
    </row>
    <row r="529" spans="1:29">
      <c r="A529" s="3714"/>
      <c r="B529" s="3714"/>
      <c r="C529" s="3714"/>
      <c r="D529" s="3714"/>
      <c r="E529" s="3714"/>
      <c r="F529" s="3714"/>
      <c r="G529" s="3714"/>
      <c r="H529" s="3714"/>
      <c r="I529" s="3714"/>
      <c r="J529" s="3714"/>
      <c r="K529" s="3715"/>
      <c r="L529" s="3716"/>
      <c r="M529" s="3714"/>
      <c r="N529" s="3714"/>
      <c r="O529" s="3714"/>
      <c r="P529" s="3756"/>
      <c r="Q529" s="3714"/>
      <c r="R529" s="3714"/>
      <c r="S529" s="3714"/>
      <c r="T529" s="3714"/>
      <c r="U529" s="3714"/>
      <c r="V529" s="3714"/>
      <c r="W529" s="3714"/>
      <c r="X529" s="3714"/>
      <c r="Y529" s="3714"/>
      <c r="Z529" s="3714"/>
      <c r="AA529" s="3714"/>
      <c r="AB529" s="3714"/>
      <c r="AC529" s="3714"/>
    </row>
    <row r="530" spans="1:29">
      <c r="A530" s="3714"/>
      <c r="B530" s="3714"/>
      <c r="C530" s="3714"/>
      <c r="D530" s="3714"/>
      <c r="E530" s="3714"/>
      <c r="F530" s="3714"/>
      <c r="G530" s="3714"/>
      <c r="H530" s="3714"/>
      <c r="I530" s="3714"/>
      <c r="J530" s="3714"/>
      <c r="K530" s="3715"/>
      <c r="L530" s="3716"/>
      <c r="M530" s="3714"/>
      <c r="N530" s="3714"/>
      <c r="O530" s="3714"/>
      <c r="P530" s="3756"/>
      <c r="Q530" s="3714"/>
      <c r="R530" s="3714"/>
      <c r="S530" s="3714"/>
      <c r="T530" s="3714"/>
      <c r="U530" s="3714"/>
      <c r="V530" s="3714"/>
      <c r="W530" s="3714"/>
      <c r="X530" s="3714"/>
      <c r="Y530" s="3714"/>
      <c r="Z530" s="3714"/>
      <c r="AA530" s="3714"/>
      <c r="AB530" s="3714"/>
      <c r="AC530" s="3714"/>
    </row>
    <row r="531" spans="1:29">
      <c r="A531" s="3714"/>
      <c r="B531" s="3714"/>
      <c r="C531" s="3714"/>
      <c r="D531" s="3714"/>
      <c r="E531" s="3714"/>
      <c r="F531" s="3714"/>
      <c r="G531" s="3714"/>
      <c r="H531" s="3714"/>
      <c r="I531" s="3714"/>
      <c r="J531" s="3714"/>
      <c r="K531" s="3715"/>
      <c r="L531" s="3716"/>
      <c r="M531" s="3714"/>
      <c r="N531" s="3714"/>
      <c r="O531" s="3714"/>
      <c r="P531" s="3756"/>
      <c r="Q531" s="3714"/>
      <c r="R531" s="3714"/>
      <c r="S531" s="3714"/>
      <c r="T531" s="3714"/>
      <c r="U531" s="3714"/>
      <c r="V531" s="3714"/>
      <c r="W531" s="3714"/>
      <c r="X531" s="3714"/>
      <c r="Y531" s="3714"/>
      <c r="Z531" s="3714"/>
      <c r="AA531" s="3714"/>
      <c r="AB531" s="3714"/>
      <c r="AC531" s="3714"/>
    </row>
    <row r="532" spans="1:29">
      <c r="A532" s="3714"/>
      <c r="B532" s="3714"/>
      <c r="C532" s="3714"/>
      <c r="D532" s="3714"/>
      <c r="E532" s="3714"/>
      <c r="F532" s="3714"/>
      <c r="G532" s="3714"/>
      <c r="H532" s="3714"/>
      <c r="I532" s="3714"/>
      <c r="J532" s="3714"/>
      <c r="K532" s="3715"/>
      <c r="L532" s="3716"/>
      <c r="M532" s="3714"/>
      <c r="N532" s="3714"/>
      <c r="O532" s="3714"/>
      <c r="P532" s="3756"/>
      <c r="Q532" s="3714"/>
      <c r="R532" s="3714"/>
      <c r="S532" s="3714"/>
      <c r="T532" s="3714"/>
      <c r="U532" s="3714"/>
      <c r="V532" s="3714"/>
      <c r="W532" s="3714"/>
      <c r="X532" s="3714"/>
      <c r="Y532" s="3714"/>
      <c r="Z532" s="3714"/>
      <c r="AA532" s="3714"/>
      <c r="AB532" s="3714"/>
      <c r="AC532" s="3714"/>
    </row>
    <row r="533" spans="1:29">
      <c r="A533" s="3714"/>
      <c r="B533" s="3714"/>
      <c r="C533" s="3714"/>
      <c r="D533" s="3714"/>
      <c r="E533" s="3714"/>
      <c r="F533" s="3714"/>
      <c r="G533" s="3714"/>
      <c r="H533" s="3714"/>
      <c r="I533" s="3714"/>
      <c r="J533" s="3714"/>
      <c r="K533" s="3715"/>
      <c r="L533" s="3716"/>
      <c r="M533" s="3714"/>
      <c r="N533" s="3714"/>
      <c r="O533" s="3714"/>
      <c r="P533" s="3756"/>
      <c r="Q533" s="3714"/>
      <c r="R533" s="3714"/>
      <c r="S533" s="3714"/>
      <c r="T533" s="3714"/>
      <c r="U533" s="3714"/>
      <c r="V533" s="3714"/>
      <c r="W533" s="3714"/>
      <c r="X533" s="3714"/>
      <c r="Y533" s="3714"/>
      <c r="Z533" s="3714"/>
      <c r="AA533" s="3714"/>
      <c r="AB533" s="3714"/>
      <c r="AC533" s="3714"/>
    </row>
    <row r="534" spans="1:29">
      <c r="A534" s="3714"/>
      <c r="B534" s="3714"/>
      <c r="C534" s="3714"/>
      <c r="D534" s="3714"/>
      <c r="E534" s="3714"/>
      <c r="F534" s="3714"/>
      <c r="G534" s="3714"/>
      <c r="H534" s="3714"/>
      <c r="I534" s="3714"/>
      <c r="J534" s="3714"/>
      <c r="K534" s="3715"/>
      <c r="L534" s="3716"/>
      <c r="M534" s="3714"/>
      <c r="N534" s="3714"/>
      <c r="O534" s="3714"/>
      <c r="P534" s="3756"/>
      <c r="Q534" s="3714"/>
      <c r="R534" s="3714"/>
      <c r="S534" s="3714"/>
      <c r="T534" s="3714"/>
      <c r="U534" s="3714"/>
      <c r="V534" s="3714"/>
      <c r="W534" s="3714"/>
      <c r="X534" s="3714"/>
      <c r="Y534" s="3714"/>
      <c r="Z534" s="3714"/>
      <c r="AA534" s="3714"/>
      <c r="AB534" s="3714"/>
      <c r="AC534" s="3714"/>
    </row>
    <row r="535" spans="1:29">
      <c r="A535" s="3714"/>
      <c r="B535" s="3714"/>
      <c r="C535" s="3714"/>
      <c r="D535" s="3714"/>
      <c r="E535" s="3714"/>
      <c r="F535" s="3714"/>
      <c r="G535" s="3714"/>
      <c r="H535" s="3714"/>
      <c r="I535" s="3714"/>
      <c r="J535" s="3714"/>
      <c r="K535" s="3715"/>
      <c r="L535" s="3716"/>
      <c r="M535" s="3714"/>
      <c r="N535" s="3714"/>
      <c r="O535" s="3714"/>
      <c r="P535" s="3756"/>
      <c r="Q535" s="3714"/>
      <c r="R535" s="3714"/>
      <c r="S535" s="3714"/>
      <c r="T535" s="3714"/>
      <c r="U535" s="3714"/>
      <c r="V535" s="3714"/>
      <c r="W535" s="3714"/>
      <c r="X535" s="3714"/>
      <c r="Y535" s="3714"/>
      <c r="Z535" s="3714"/>
      <c r="AA535" s="3714"/>
      <c r="AB535" s="3714"/>
      <c r="AC535" s="3714"/>
    </row>
    <row r="536" spans="1:29">
      <c r="A536" s="3714"/>
      <c r="B536" s="3714"/>
      <c r="C536" s="3714"/>
      <c r="D536" s="3714"/>
      <c r="E536" s="3714"/>
      <c r="F536" s="3714"/>
      <c r="G536" s="3714"/>
      <c r="H536" s="3714"/>
      <c r="I536" s="3714"/>
      <c r="J536" s="3714"/>
      <c r="K536" s="3715"/>
      <c r="L536" s="3716"/>
      <c r="M536" s="3714"/>
      <c r="N536" s="3714"/>
      <c r="O536" s="3714"/>
      <c r="P536" s="3756"/>
      <c r="Q536" s="3714"/>
      <c r="R536" s="3714"/>
      <c r="S536" s="3714"/>
      <c r="T536" s="3714"/>
      <c r="U536" s="3714"/>
      <c r="V536" s="3714"/>
      <c r="W536" s="3714"/>
      <c r="X536" s="3714"/>
      <c r="Y536" s="3714"/>
      <c r="Z536" s="3714"/>
      <c r="AA536" s="3714"/>
      <c r="AB536" s="3714"/>
      <c r="AC536" s="3714"/>
    </row>
    <row r="537" spans="1:29">
      <c r="A537" s="3714"/>
      <c r="B537" s="3714"/>
      <c r="C537" s="3714"/>
      <c r="D537" s="3714"/>
      <c r="E537" s="3714"/>
      <c r="F537" s="3714"/>
      <c r="G537" s="3714"/>
      <c r="H537" s="3714"/>
      <c r="I537" s="3714"/>
      <c r="J537" s="3714"/>
      <c r="K537" s="3715"/>
      <c r="L537" s="3716"/>
      <c r="M537" s="3714"/>
      <c r="N537" s="3714"/>
      <c r="O537" s="3714"/>
      <c r="P537" s="3756"/>
      <c r="Q537" s="3714"/>
      <c r="R537" s="3714"/>
      <c r="S537" s="3714"/>
      <c r="T537" s="3714"/>
      <c r="U537" s="3714"/>
      <c r="V537" s="3714"/>
      <c r="W537" s="3714"/>
      <c r="X537" s="3714"/>
      <c r="Y537" s="3714"/>
      <c r="Z537" s="3714"/>
      <c r="AA537" s="3714"/>
      <c r="AB537" s="3714"/>
      <c r="AC537" s="3714"/>
    </row>
    <row r="538" spans="1:29">
      <c r="A538" s="3714"/>
      <c r="B538" s="3714"/>
      <c r="C538" s="3714"/>
      <c r="D538" s="3714"/>
      <c r="E538" s="3714"/>
      <c r="F538" s="3714"/>
      <c r="G538" s="3714"/>
      <c r="H538" s="3714"/>
      <c r="I538" s="3714"/>
      <c r="J538" s="3714"/>
      <c r="K538" s="3715"/>
      <c r="L538" s="3716"/>
      <c r="M538" s="3714"/>
      <c r="N538" s="3714"/>
      <c r="O538" s="3714"/>
      <c r="P538" s="3756"/>
      <c r="Q538" s="3714"/>
      <c r="R538" s="3714"/>
      <c r="S538" s="3714"/>
      <c r="T538" s="3714"/>
      <c r="U538" s="3714"/>
      <c r="V538" s="3714"/>
      <c r="W538" s="3714"/>
      <c r="X538" s="3714"/>
      <c r="Y538" s="3714"/>
      <c r="Z538" s="3714"/>
      <c r="AA538" s="3714"/>
      <c r="AB538" s="3714"/>
      <c r="AC538" s="3714"/>
    </row>
    <row r="539" spans="1:29">
      <c r="A539" s="3714"/>
      <c r="B539" s="3714"/>
      <c r="C539" s="3714"/>
      <c r="D539" s="3714"/>
      <c r="E539" s="3714"/>
      <c r="F539" s="3714"/>
      <c r="G539" s="3714"/>
      <c r="H539" s="3714"/>
      <c r="I539" s="3714"/>
      <c r="J539" s="3714"/>
      <c r="K539" s="3715"/>
      <c r="L539" s="3716"/>
      <c r="M539" s="3714"/>
      <c r="N539" s="3714"/>
      <c r="O539" s="3714"/>
      <c r="P539" s="3756"/>
      <c r="Q539" s="3714"/>
      <c r="R539" s="3714"/>
      <c r="S539" s="3714"/>
      <c r="T539" s="3714"/>
      <c r="U539" s="3714"/>
      <c r="V539" s="3714"/>
      <c r="W539" s="3714"/>
      <c r="X539" s="3714"/>
      <c r="Y539" s="3714"/>
      <c r="Z539" s="3714"/>
      <c r="AA539" s="3714"/>
      <c r="AB539" s="3714"/>
      <c r="AC539" s="3714"/>
    </row>
    <row r="540" spans="1:29">
      <c r="A540" s="3714"/>
      <c r="B540" s="3714"/>
      <c r="C540" s="3714"/>
      <c r="D540" s="3714"/>
      <c r="E540" s="3714"/>
      <c r="F540" s="3714"/>
      <c r="G540" s="3714"/>
      <c r="H540" s="3714"/>
      <c r="I540" s="3714"/>
      <c r="J540" s="3714"/>
      <c r="K540" s="3715"/>
      <c r="L540" s="3716"/>
      <c r="M540" s="3714"/>
      <c r="N540" s="3714"/>
      <c r="O540" s="3714"/>
      <c r="P540" s="3756"/>
      <c r="Q540" s="3714"/>
      <c r="R540" s="3714"/>
      <c r="S540" s="3714"/>
      <c r="T540" s="3714"/>
      <c r="U540" s="3714"/>
      <c r="V540" s="3714"/>
      <c r="W540" s="3714"/>
      <c r="X540" s="3714"/>
      <c r="Y540" s="3714"/>
      <c r="Z540" s="3714"/>
      <c r="AA540" s="3714"/>
      <c r="AB540" s="3714"/>
      <c r="AC540" s="3714"/>
    </row>
    <row r="541" spans="1:29">
      <c r="A541" s="3714"/>
      <c r="B541" s="3714"/>
      <c r="C541" s="3714"/>
      <c r="D541" s="3714"/>
      <c r="E541" s="3714"/>
      <c r="F541" s="3714"/>
      <c r="G541" s="3714"/>
      <c r="H541" s="3714"/>
      <c r="I541" s="3714"/>
      <c r="J541" s="3714"/>
      <c r="K541" s="3715"/>
      <c r="L541" s="3716"/>
      <c r="M541" s="3714"/>
      <c r="N541" s="3714"/>
      <c r="O541" s="3714"/>
      <c r="P541" s="3756"/>
      <c r="Q541" s="3714"/>
      <c r="R541" s="3714"/>
      <c r="S541" s="3714"/>
      <c r="T541" s="3714"/>
      <c r="U541" s="3714"/>
      <c r="V541" s="3714"/>
      <c r="W541" s="3714"/>
      <c r="X541" s="3714"/>
      <c r="Y541" s="3714"/>
      <c r="Z541" s="3714"/>
      <c r="AA541" s="3714"/>
      <c r="AB541" s="3714"/>
      <c r="AC541" s="3714"/>
    </row>
    <row r="542" spans="1:29">
      <c r="A542" s="3714"/>
      <c r="B542" s="3714"/>
      <c r="C542" s="3714"/>
      <c r="D542" s="3714"/>
      <c r="E542" s="3714"/>
      <c r="F542" s="3714"/>
      <c r="G542" s="3714"/>
      <c r="H542" s="3714"/>
      <c r="I542" s="3714"/>
      <c r="J542" s="3714"/>
      <c r="K542" s="3715"/>
      <c r="L542" s="3716"/>
      <c r="M542" s="3714"/>
      <c r="N542" s="3714"/>
      <c r="O542" s="3714"/>
      <c r="P542" s="3756"/>
      <c r="Q542" s="3714"/>
      <c r="R542" s="3714"/>
      <c r="S542" s="3714"/>
      <c r="T542" s="3714"/>
      <c r="U542" s="3714"/>
      <c r="V542" s="3714"/>
      <c r="W542" s="3714"/>
      <c r="X542" s="3714"/>
      <c r="Y542" s="3714"/>
      <c r="Z542" s="3714"/>
      <c r="AA542" s="3714"/>
      <c r="AB542" s="3714"/>
      <c r="AC542" s="3714"/>
    </row>
    <row r="543" spans="1:29">
      <c r="A543" s="3714"/>
      <c r="B543" s="3714"/>
      <c r="C543" s="3714"/>
      <c r="D543" s="3714"/>
      <c r="E543" s="3714"/>
      <c r="F543" s="3714"/>
      <c r="G543" s="3714"/>
      <c r="H543" s="3714"/>
      <c r="I543" s="3714"/>
      <c r="J543" s="3714"/>
      <c r="K543" s="3715"/>
      <c r="L543" s="3716"/>
      <c r="M543" s="3714"/>
      <c r="N543" s="3714"/>
      <c r="O543" s="3714"/>
      <c r="P543" s="3756"/>
      <c r="Q543" s="3714"/>
      <c r="R543" s="3714"/>
      <c r="S543" s="3714"/>
      <c r="T543" s="3714"/>
      <c r="U543" s="3714"/>
      <c r="V543" s="3714"/>
      <c r="W543" s="3714"/>
      <c r="X543" s="3714"/>
      <c r="Y543" s="3714"/>
      <c r="Z543" s="3714"/>
      <c r="AA543" s="3714"/>
      <c r="AB543" s="3714"/>
      <c r="AC543" s="3714"/>
    </row>
    <row r="544" spans="1:29">
      <c r="A544" s="3714"/>
      <c r="B544" s="3714"/>
      <c r="C544" s="3714"/>
      <c r="D544" s="3714"/>
      <c r="E544" s="3714"/>
      <c r="F544" s="3714"/>
      <c r="G544" s="3714"/>
      <c r="H544" s="3714"/>
      <c r="I544" s="3714"/>
      <c r="J544" s="3714"/>
      <c r="K544" s="3715"/>
      <c r="L544" s="3716"/>
      <c r="M544" s="3714"/>
      <c r="N544" s="3714"/>
      <c r="O544" s="3714"/>
      <c r="P544" s="3756"/>
      <c r="Q544" s="3714"/>
      <c r="R544" s="3714"/>
      <c r="S544" s="3714"/>
      <c r="T544" s="3714"/>
      <c r="U544" s="3714"/>
      <c r="V544" s="3714"/>
      <c r="W544" s="3714"/>
      <c r="X544" s="3714"/>
      <c r="Y544" s="3714"/>
      <c r="Z544" s="3714"/>
      <c r="AA544" s="3714"/>
      <c r="AB544" s="3714"/>
      <c r="AC544" s="3714"/>
    </row>
    <row r="545" spans="1:29">
      <c r="A545" s="3714"/>
      <c r="B545" s="3714"/>
      <c r="C545" s="3714"/>
      <c r="D545" s="3714"/>
      <c r="E545" s="3714"/>
      <c r="F545" s="3714"/>
      <c r="G545" s="3714"/>
      <c r="H545" s="3714"/>
      <c r="I545" s="3714"/>
      <c r="J545" s="3714"/>
      <c r="K545" s="3715"/>
      <c r="L545" s="3716"/>
      <c r="M545" s="3714"/>
      <c r="N545" s="3714"/>
      <c r="O545" s="3714"/>
      <c r="P545" s="3756"/>
      <c r="Q545" s="3714"/>
      <c r="R545" s="3714"/>
      <c r="S545" s="3714"/>
      <c r="T545" s="3714"/>
      <c r="U545" s="3714"/>
      <c r="V545" s="3714"/>
      <c r="W545" s="3714"/>
      <c r="X545" s="3714"/>
      <c r="Y545" s="3714"/>
      <c r="Z545" s="3714"/>
      <c r="AA545" s="3714"/>
      <c r="AB545" s="3714"/>
      <c r="AC545" s="3714"/>
    </row>
    <row r="546" spans="1:29">
      <c r="A546" s="3714"/>
      <c r="B546" s="3714"/>
      <c r="C546" s="3714"/>
      <c r="D546" s="3714"/>
      <c r="E546" s="3714"/>
      <c r="F546" s="3714"/>
      <c r="G546" s="3714"/>
      <c r="H546" s="3714"/>
      <c r="I546" s="3714"/>
      <c r="J546" s="3714"/>
      <c r="K546" s="3715"/>
      <c r="L546" s="3716"/>
      <c r="M546" s="3714"/>
      <c r="N546" s="3714"/>
      <c r="O546" s="3714"/>
      <c r="P546" s="3756"/>
      <c r="Q546" s="3714"/>
      <c r="R546" s="3714"/>
      <c r="S546" s="3714"/>
      <c r="T546" s="3714"/>
      <c r="U546" s="3714"/>
      <c r="V546" s="3714"/>
      <c r="W546" s="3714"/>
      <c r="X546" s="3714"/>
      <c r="Y546" s="3714"/>
      <c r="Z546" s="3714"/>
      <c r="AA546" s="3714"/>
      <c r="AB546" s="3714"/>
      <c r="AC546" s="3714"/>
    </row>
    <row r="547" spans="1:29">
      <c r="A547" s="3714"/>
      <c r="B547" s="3714"/>
      <c r="C547" s="3714"/>
      <c r="D547" s="3714"/>
      <c r="E547" s="3714"/>
      <c r="F547" s="3714"/>
      <c r="G547" s="3714"/>
      <c r="H547" s="3714"/>
      <c r="I547" s="3714"/>
      <c r="J547" s="3714"/>
      <c r="K547" s="3715"/>
      <c r="L547" s="3716"/>
      <c r="M547" s="3714"/>
      <c r="N547" s="3714"/>
      <c r="O547" s="3714"/>
      <c r="P547" s="3756"/>
      <c r="Q547" s="3714"/>
      <c r="R547" s="3714"/>
      <c r="S547" s="3714"/>
      <c r="T547" s="3714"/>
      <c r="U547" s="3714"/>
      <c r="V547" s="3714"/>
      <c r="W547" s="3714"/>
      <c r="X547" s="3714"/>
      <c r="Y547" s="3714"/>
      <c r="Z547" s="3714"/>
      <c r="AA547" s="3714"/>
      <c r="AB547" s="3714"/>
      <c r="AC547" s="3714"/>
    </row>
    <row r="548" spans="1:29">
      <c r="A548" s="3714"/>
      <c r="B548" s="3714"/>
      <c r="C548" s="3714"/>
      <c r="D548" s="3714"/>
      <c r="E548" s="3714"/>
      <c r="F548" s="3714"/>
      <c r="G548" s="3714"/>
      <c r="H548" s="3714"/>
      <c r="I548" s="3714"/>
      <c r="J548" s="3714"/>
      <c r="K548" s="3715"/>
      <c r="L548" s="3716"/>
      <c r="M548" s="3714"/>
      <c r="N548" s="3714"/>
      <c r="O548" s="3714"/>
      <c r="P548" s="3756"/>
      <c r="Q548" s="3714"/>
      <c r="R548" s="3714"/>
      <c r="S548" s="3714"/>
      <c r="T548" s="3714"/>
      <c r="U548" s="3714"/>
      <c r="V548" s="3714"/>
      <c r="W548" s="3714"/>
      <c r="X548" s="3714"/>
      <c r="Y548" s="3714"/>
      <c r="Z548" s="3714"/>
      <c r="AA548" s="3714"/>
      <c r="AB548" s="3714"/>
      <c r="AC548" s="3714"/>
    </row>
    <row r="549" spans="1:29">
      <c r="A549" s="3714"/>
      <c r="B549" s="3714"/>
      <c r="C549" s="3714"/>
      <c r="D549" s="3714"/>
      <c r="E549" s="3714"/>
      <c r="F549" s="3714"/>
      <c r="G549" s="3714"/>
      <c r="H549" s="3714"/>
      <c r="I549" s="3714"/>
      <c r="J549" s="3714"/>
      <c r="K549" s="3715"/>
      <c r="L549" s="3716"/>
      <c r="M549" s="3714"/>
      <c r="N549" s="3714"/>
      <c r="O549" s="3714"/>
      <c r="P549" s="3756"/>
      <c r="Q549" s="3714"/>
      <c r="R549" s="3714"/>
      <c r="S549" s="3714"/>
      <c r="T549" s="3714"/>
      <c r="U549" s="3714"/>
      <c r="V549" s="3714"/>
      <c r="W549" s="3714"/>
      <c r="X549" s="3714"/>
      <c r="Y549" s="3714"/>
      <c r="Z549" s="3714"/>
      <c r="AA549" s="3714"/>
      <c r="AB549" s="3714"/>
      <c r="AC549" s="3714"/>
    </row>
    <row r="550" spans="1:29">
      <c r="A550" s="3714"/>
      <c r="B550" s="3714"/>
      <c r="C550" s="3714"/>
      <c r="D550" s="3714"/>
      <c r="E550" s="3714"/>
      <c r="F550" s="3714"/>
      <c r="G550" s="3714"/>
      <c r="H550" s="3714"/>
      <c r="I550" s="3714"/>
      <c r="J550" s="3714"/>
      <c r="K550" s="3715"/>
      <c r="L550" s="3716"/>
      <c r="M550" s="3714"/>
      <c r="N550" s="3714"/>
      <c r="O550" s="3714"/>
      <c r="P550" s="3756"/>
      <c r="Q550" s="3714"/>
      <c r="R550" s="3714"/>
      <c r="S550" s="3714"/>
      <c r="T550" s="3714"/>
      <c r="U550" s="3714"/>
      <c r="V550" s="3714"/>
      <c r="W550" s="3714"/>
      <c r="X550" s="3714"/>
      <c r="Y550" s="3714"/>
      <c r="Z550" s="3714"/>
      <c r="AA550" s="3714"/>
      <c r="AB550" s="3714"/>
      <c r="AC550" s="3714"/>
    </row>
    <row r="551" spans="1:29">
      <c r="A551" s="3714"/>
      <c r="B551" s="3714"/>
      <c r="C551" s="3714"/>
      <c r="D551" s="3714"/>
      <c r="E551" s="3714"/>
      <c r="F551" s="3714"/>
      <c r="G551" s="3714"/>
      <c r="H551" s="3714"/>
      <c r="I551" s="3714"/>
      <c r="J551" s="3714"/>
      <c r="K551" s="3715"/>
      <c r="L551" s="3716"/>
      <c r="M551" s="3714"/>
      <c r="N551" s="3714"/>
      <c r="O551" s="3714"/>
      <c r="P551" s="3756"/>
      <c r="Q551" s="3714"/>
      <c r="R551" s="3714"/>
      <c r="S551" s="3714"/>
      <c r="T551" s="3714"/>
      <c r="U551" s="3714"/>
      <c r="V551" s="3714"/>
      <c r="W551" s="3714"/>
      <c r="X551" s="3714"/>
      <c r="Y551" s="3714"/>
      <c r="Z551" s="3714"/>
      <c r="AA551" s="3714"/>
      <c r="AB551" s="3714"/>
      <c r="AC551" s="3714"/>
    </row>
    <row r="552" spans="1:29">
      <c r="A552" s="3714"/>
      <c r="B552" s="3714"/>
      <c r="C552" s="3714"/>
      <c r="D552" s="3714"/>
      <c r="E552" s="3714"/>
      <c r="F552" s="3714"/>
      <c r="G552" s="3714"/>
      <c r="H552" s="3714"/>
      <c r="I552" s="3714"/>
      <c r="J552" s="3714"/>
      <c r="K552" s="3715"/>
      <c r="L552" s="3716"/>
      <c r="M552" s="3714"/>
      <c r="N552" s="3714"/>
      <c r="O552" s="3714"/>
      <c r="P552" s="3756"/>
      <c r="Q552" s="3714"/>
      <c r="R552" s="3714"/>
      <c r="S552" s="3714"/>
      <c r="T552" s="3714"/>
      <c r="U552" s="3714"/>
      <c r="V552" s="3714"/>
      <c r="W552" s="3714"/>
      <c r="X552" s="3714"/>
      <c r="Y552" s="3714"/>
      <c r="Z552" s="3714"/>
      <c r="AA552" s="3714"/>
      <c r="AB552" s="3714"/>
      <c r="AC552" s="3714"/>
    </row>
    <row r="553" spans="1:29">
      <c r="A553" s="3714"/>
      <c r="B553" s="3714"/>
      <c r="C553" s="3714"/>
      <c r="D553" s="3714"/>
      <c r="E553" s="3714"/>
      <c r="F553" s="3714"/>
      <c r="G553" s="3714"/>
      <c r="H553" s="3714"/>
      <c r="I553" s="3714"/>
      <c r="J553" s="3714"/>
      <c r="K553" s="3715"/>
      <c r="L553" s="3716"/>
      <c r="M553" s="3714"/>
      <c r="N553" s="3714"/>
      <c r="O553" s="3714"/>
      <c r="P553" s="3756"/>
      <c r="Q553" s="3714"/>
      <c r="R553" s="3714"/>
      <c r="S553" s="3714"/>
      <c r="T553" s="3714"/>
      <c r="U553" s="3714"/>
      <c r="V553" s="3714"/>
      <c r="W553" s="3714"/>
      <c r="X553" s="3714"/>
      <c r="Y553" s="3714"/>
      <c r="Z553" s="3714"/>
      <c r="AA553" s="3714"/>
      <c r="AB553" s="3714"/>
      <c r="AC553" s="3714"/>
    </row>
    <row r="554" spans="1:29">
      <c r="A554" s="3714"/>
      <c r="B554" s="3714"/>
      <c r="C554" s="3714"/>
      <c r="D554" s="3714"/>
      <c r="E554" s="3714"/>
      <c r="F554" s="3714"/>
      <c r="G554" s="3714"/>
      <c r="H554" s="3714"/>
      <c r="I554" s="3714"/>
      <c r="J554" s="3714"/>
      <c r="K554" s="3715"/>
      <c r="L554" s="3716"/>
      <c r="M554" s="3714"/>
      <c r="N554" s="3714"/>
      <c r="O554" s="3714"/>
      <c r="P554" s="3756"/>
      <c r="Q554" s="3714"/>
      <c r="R554" s="3714"/>
      <c r="S554" s="3714"/>
      <c r="T554" s="3714"/>
      <c r="U554" s="3714"/>
      <c r="V554" s="3714"/>
      <c r="W554" s="3714"/>
      <c r="X554" s="3714"/>
      <c r="Y554" s="3714"/>
      <c r="Z554" s="3714"/>
      <c r="AA554" s="3714"/>
      <c r="AB554" s="3714"/>
      <c r="AC554" s="3714"/>
    </row>
    <row r="555" spans="1:29">
      <c r="A555" s="3714"/>
      <c r="B555" s="3714"/>
      <c r="C555" s="3714"/>
      <c r="D555" s="3714"/>
      <c r="E555" s="3714"/>
      <c r="F555" s="3714"/>
      <c r="G555" s="3714"/>
      <c r="H555" s="3714"/>
      <c r="I555" s="3714"/>
      <c r="J555" s="3714"/>
      <c r="K555" s="3715"/>
      <c r="L555" s="3716"/>
      <c r="M555" s="3714"/>
      <c r="N555" s="3714"/>
      <c r="O555" s="3714"/>
      <c r="P555" s="3756"/>
      <c r="Q555" s="3714"/>
      <c r="R555" s="3714"/>
      <c r="S555" s="3714"/>
      <c r="T555" s="3714"/>
      <c r="U555" s="3714"/>
      <c r="V555" s="3714"/>
      <c r="W555" s="3714"/>
      <c r="X555" s="3714"/>
      <c r="Y555" s="3714"/>
      <c r="Z555" s="3714"/>
      <c r="AA555" s="3714"/>
      <c r="AB555" s="3714"/>
      <c r="AC555" s="3714"/>
    </row>
    <row r="556" spans="1:29">
      <c r="A556" s="3714"/>
      <c r="B556" s="3714"/>
      <c r="C556" s="3714"/>
      <c r="D556" s="3714"/>
      <c r="E556" s="3714"/>
      <c r="F556" s="3714"/>
      <c r="G556" s="3714"/>
      <c r="H556" s="3714"/>
      <c r="I556" s="3714"/>
      <c r="J556" s="3714"/>
      <c r="K556" s="3715"/>
      <c r="L556" s="3716"/>
      <c r="M556" s="3714"/>
      <c r="N556" s="3714"/>
      <c r="O556" s="3714"/>
      <c r="P556" s="3756"/>
      <c r="Q556" s="3714"/>
      <c r="R556" s="3714"/>
      <c r="S556" s="3714"/>
      <c r="T556" s="3714"/>
      <c r="U556" s="3714"/>
      <c r="V556" s="3714"/>
      <c r="W556" s="3714"/>
      <c r="X556" s="3714"/>
      <c r="Y556" s="3714"/>
      <c r="Z556" s="3714"/>
      <c r="AA556" s="3714"/>
      <c r="AB556" s="3714"/>
      <c r="AC556" s="3714"/>
    </row>
    <row r="557" spans="1:29">
      <c r="A557" s="3714"/>
      <c r="B557" s="3714"/>
      <c r="C557" s="3714"/>
      <c r="D557" s="3714"/>
      <c r="E557" s="3714"/>
      <c r="F557" s="3714"/>
      <c r="G557" s="3714"/>
      <c r="H557" s="3714"/>
      <c r="I557" s="3714"/>
      <c r="J557" s="3714"/>
      <c r="K557" s="3715"/>
      <c r="L557" s="3716"/>
      <c r="M557" s="3714"/>
      <c r="N557" s="3714"/>
      <c r="O557" s="3714"/>
      <c r="P557" s="3756"/>
      <c r="Q557" s="3714"/>
      <c r="R557" s="3714"/>
      <c r="S557" s="3714"/>
      <c r="T557" s="3714"/>
      <c r="U557" s="3714"/>
      <c r="V557" s="3714"/>
      <c r="W557" s="3714"/>
      <c r="X557" s="3714"/>
      <c r="Y557" s="3714"/>
      <c r="Z557" s="3714"/>
      <c r="AA557" s="3714"/>
      <c r="AB557" s="3714"/>
      <c r="AC557" s="3714"/>
    </row>
    <row r="558" spans="1:29">
      <c r="A558" s="3714"/>
      <c r="B558" s="3714"/>
      <c r="C558" s="3714"/>
      <c r="D558" s="3714"/>
      <c r="E558" s="3714"/>
      <c r="F558" s="3714"/>
      <c r="G558" s="3714"/>
      <c r="H558" s="3714"/>
      <c r="I558" s="3714"/>
      <c r="J558" s="3714"/>
      <c r="K558" s="3715"/>
      <c r="L558" s="3716"/>
      <c r="M558" s="3714"/>
      <c r="N558" s="3714"/>
      <c r="O558" s="3714"/>
      <c r="P558" s="3756"/>
      <c r="Q558" s="3714"/>
      <c r="R558" s="3714"/>
      <c r="S558" s="3714"/>
      <c r="T558" s="3714"/>
      <c r="U558" s="3714"/>
      <c r="V558" s="3714"/>
      <c r="W558" s="3714"/>
      <c r="X558" s="3714"/>
      <c r="Y558" s="3714"/>
      <c r="Z558" s="3714"/>
      <c r="AA558" s="3714"/>
      <c r="AB558" s="3714"/>
      <c r="AC558" s="3714"/>
    </row>
    <row r="559" spans="1:29">
      <c r="A559" s="3714"/>
      <c r="B559" s="3714"/>
      <c r="C559" s="3714"/>
      <c r="D559" s="3714"/>
      <c r="E559" s="3714"/>
      <c r="F559" s="3714"/>
      <c r="G559" s="3714"/>
      <c r="H559" s="3714"/>
      <c r="I559" s="3714"/>
      <c r="J559" s="3714"/>
      <c r="K559" s="3715"/>
      <c r="L559" s="3716"/>
      <c r="M559" s="3714"/>
      <c r="N559" s="3714"/>
      <c r="O559" s="3714"/>
      <c r="P559" s="3756"/>
      <c r="Q559" s="3714"/>
      <c r="R559" s="3714"/>
      <c r="S559" s="3714"/>
      <c r="T559" s="3714"/>
      <c r="U559" s="3714"/>
      <c r="V559" s="3714"/>
      <c r="W559" s="3714"/>
      <c r="X559" s="3714"/>
      <c r="Y559" s="3714"/>
      <c r="Z559" s="3714"/>
      <c r="AA559" s="3714"/>
      <c r="AB559" s="3714"/>
      <c r="AC559" s="3714"/>
    </row>
    <row r="560" spans="1:29">
      <c r="A560" s="3714"/>
      <c r="B560" s="3714"/>
      <c r="C560" s="3714"/>
      <c r="D560" s="3714"/>
      <c r="E560" s="3714"/>
      <c r="F560" s="3714"/>
      <c r="G560" s="3714"/>
      <c r="H560" s="3714"/>
      <c r="I560" s="3714"/>
      <c r="J560" s="3714"/>
      <c r="K560" s="3715"/>
      <c r="L560" s="3716"/>
      <c r="M560" s="3714"/>
      <c r="N560" s="3714"/>
      <c r="O560" s="3714"/>
      <c r="P560" s="3756"/>
      <c r="Q560" s="3714"/>
      <c r="R560" s="3714"/>
      <c r="S560" s="3714"/>
      <c r="T560" s="3714"/>
      <c r="U560" s="3714"/>
      <c r="V560" s="3714"/>
      <c r="W560" s="3714"/>
      <c r="X560" s="3714"/>
      <c r="Y560" s="3714"/>
      <c r="Z560" s="3714"/>
      <c r="AA560" s="3714"/>
      <c r="AB560" s="3714"/>
      <c r="AC560" s="3714"/>
    </row>
    <row r="561" spans="1:29">
      <c r="A561" s="3714"/>
      <c r="B561" s="3714"/>
      <c r="C561" s="3714"/>
      <c r="D561" s="3714"/>
      <c r="E561" s="3714"/>
      <c r="F561" s="3714"/>
      <c r="G561" s="3714"/>
      <c r="H561" s="3714"/>
      <c r="I561" s="3714"/>
      <c r="J561" s="3714"/>
      <c r="K561" s="3715"/>
      <c r="L561" s="3716"/>
      <c r="M561" s="3714"/>
      <c r="N561" s="3714"/>
      <c r="O561" s="3714"/>
      <c r="P561" s="3756"/>
      <c r="Q561" s="3714"/>
      <c r="R561" s="3714"/>
      <c r="S561" s="3714"/>
      <c r="T561" s="3714"/>
      <c r="U561" s="3714"/>
      <c r="V561" s="3714"/>
      <c r="W561" s="3714"/>
      <c r="X561" s="3714"/>
      <c r="Y561" s="3714"/>
      <c r="Z561" s="3714"/>
      <c r="AA561" s="3714"/>
      <c r="AB561" s="3714"/>
      <c r="AC561" s="3714"/>
    </row>
    <row r="562" spans="1:29">
      <c r="A562" s="3714"/>
      <c r="B562" s="3714"/>
      <c r="C562" s="3714"/>
      <c r="D562" s="3714"/>
      <c r="E562" s="3714"/>
      <c r="F562" s="3714"/>
      <c r="G562" s="3714"/>
      <c r="H562" s="3714"/>
      <c r="I562" s="3714"/>
      <c r="J562" s="3714"/>
      <c r="K562" s="3715"/>
      <c r="L562" s="3716"/>
      <c r="M562" s="3714"/>
      <c r="N562" s="3714"/>
      <c r="O562" s="3714"/>
      <c r="P562" s="3756"/>
      <c r="Q562" s="3714"/>
      <c r="R562" s="3714"/>
      <c r="S562" s="3714"/>
      <c r="T562" s="3714"/>
      <c r="U562" s="3714"/>
      <c r="V562" s="3714"/>
      <c r="W562" s="3714"/>
      <c r="X562" s="3714"/>
      <c r="Y562" s="3714"/>
      <c r="Z562" s="3714"/>
      <c r="AA562" s="3714"/>
      <c r="AB562" s="3714"/>
      <c r="AC562" s="3714"/>
    </row>
    <row r="563" spans="1:29">
      <c r="A563" s="3714"/>
      <c r="B563" s="3714"/>
      <c r="C563" s="3714"/>
      <c r="D563" s="3714"/>
      <c r="E563" s="3714"/>
      <c r="F563" s="3714"/>
      <c r="G563" s="3714"/>
      <c r="H563" s="3714"/>
      <c r="I563" s="3714"/>
      <c r="J563" s="3714"/>
      <c r="K563" s="3715"/>
      <c r="L563" s="3716"/>
      <c r="M563" s="3714"/>
      <c r="N563" s="3714"/>
      <c r="O563" s="3714"/>
      <c r="P563" s="3756"/>
      <c r="Q563" s="3714"/>
      <c r="R563" s="3714"/>
      <c r="S563" s="3714"/>
      <c r="T563" s="3714"/>
      <c r="U563" s="3714"/>
      <c r="V563" s="3714"/>
      <c r="W563" s="3714"/>
      <c r="X563" s="3714"/>
      <c r="Y563" s="3714"/>
      <c r="Z563" s="3714"/>
      <c r="AA563" s="3714"/>
      <c r="AB563" s="3714"/>
      <c r="AC563" s="3714"/>
    </row>
    <row r="564" spans="1:29">
      <c r="A564" s="3714"/>
      <c r="B564" s="3714"/>
      <c r="C564" s="3714"/>
      <c r="D564" s="3714"/>
      <c r="E564" s="3714"/>
      <c r="F564" s="3714"/>
      <c r="G564" s="3714"/>
      <c r="H564" s="3714"/>
      <c r="I564" s="3714"/>
      <c r="J564" s="3714"/>
      <c r="K564" s="3715"/>
      <c r="L564" s="3716"/>
      <c r="M564" s="3714"/>
      <c r="N564" s="3714"/>
      <c r="O564" s="3714"/>
      <c r="P564" s="3756"/>
      <c r="Q564" s="3714"/>
      <c r="R564" s="3714"/>
      <c r="S564" s="3714"/>
      <c r="T564" s="3714"/>
      <c r="U564" s="3714"/>
      <c r="V564" s="3714"/>
      <c r="W564" s="3714"/>
      <c r="X564" s="3714"/>
      <c r="Y564" s="3714"/>
      <c r="Z564" s="3714"/>
      <c r="AA564" s="3714"/>
      <c r="AB564" s="3714"/>
      <c r="AC564" s="3714"/>
    </row>
    <row r="565" spans="1:29">
      <c r="A565" s="3714"/>
      <c r="B565" s="3714"/>
      <c r="C565" s="3714"/>
      <c r="D565" s="3714"/>
      <c r="E565" s="3714"/>
      <c r="F565" s="3714"/>
      <c r="G565" s="3714"/>
      <c r="H565" s="3714"/>
      <c r="I565" s="3714"/>
      <c r="J565" s="3714"/>
      <c r="K565" s="3715"/>
      <c r="L565" s="3716"/>
      <c r="M565" s="3714"/>
      <c r="N565" s="3714"/>
      <c r="O565" s="3714"/>
      <c r="P565" s="3756"/>
      <c r="Q565" s="3714"/>
      <c r="R565" s="3714"/>
      <c r="S565" s="3714"/>
      <c r="T565" s="3714"/>
      <c r="U565" s="3714"/>
      <c r="V565" s="3714"/>
      <c r="W565" s="3714"/>
      <c r="X565" s="3714"/>
      <c r="Y565" s="3714"/>
      <c r="Z565" s="3714"/>
      <c r="AA565" s="3714"/>
      <c r="AB565" s="3714"/>
      <c r="AC565" s="3714"/>
    </row>
    <row r="566" spans="1:29">
      <c r="A566" s="3714"/>
      <c r="B566" s="3714"/>
      <c r="C566" s="3714"/>
      <c r="D566" s="3714"/>
      <c r="E566" s="3714"/>
      <c r="F566" s="3714"/>
      <c r="G566" s="3714"/>
      <c r="H566" s="3714"/>
      <c r="I566" s="3714"/>
      <c r="J566" s="3714"/>
      <c r="K566" s="3715"/>
      <c r="L566" s="3716"/>
      <c r="M566" s="3714"/>
      <c r="N566" s="3714"/>
      <c r="O566" s="3714"/>
      <c r="P566" s="3756"/>
      <c r="Q566" s="3714"/>
      <c r="R566" s="3714"/>
      <c r="S566" s="3714"/>
      <c r="T566" s="3714"/>
      <c r="U566" s="3714"/>
      <c r="V566" s="3714"/>
      <c r="W566" s="3714"/>
      <c r="X566" s="3714"/>
      <c r="Y566" s="3714"/>
      <c r="Z566" s="3714"/>
      <c r="AA566" s="3714"/>
      <c r="AB566" s="3714"/>
      <c r="AC566" s="3714"/>
    </row>
    <row r="567" spans="1:29">
      <c r="A567" s="3714"/>
      <c r="B567" s="3714"/>
      <c r="C567" s="3714"/>
      <c r="D567" s="3714"/>
      <c r="E567" s="3714"/>
      <c r="F567" s="3714"/>
      <c r="G567" s="3714"/>
      <c r="H567" s="3714"/>
      <c r="I567" s="3714"/>
      <c r="J567" s="3714"/>
      <c r="K567" s="3715"/>
      <c r="L567" s="3716"/>
      <c r="M567" s="3714"/>
      <c r="N567" s="3714"/>
      <c r="O567" s="3714"/>
      <c r="P567" s="3756"/>
      <c r="Q567" s="3714"/>
      <c r="R567" s="3714"/>
      <c r="S567" s="3714"/>
      <c r="T567" s="3714"/>
      <c r="U567" s="3714"/>
      <c r="V567" s="3714"/>
      <c r="W567" s="3714"/>
      <c r="X567" s="3714"/>
      <c r="Y567" s="3714"/>
      <c r="Z567" s="3714"/>
      <c r="AA567" s="3714"/>
      <c r="AB567" s="3714"/>
      <c r="AC567" s="3714"/>
    </row>
    <row r="568" spans="1:29">
      <c r="A568" s="3714"/>
      <c r="B568" s="3714"/>
      <c r="C568" s="3714"/>
      <c r="D568" s="3714"/>
      <c r="E568" s="3714"/>
      <c r="F568" s="3714"/>
      <c r="G568" s="3714"/>
      <c r="H568" s="3714"/>
      <c r="I568" s="3714"/>
      <c r="J568" s="3714"/>
      <c r="K568" s="3715"/>
      <c r="L568" s="3716"/>
      <c r="M568" s="3714"/>
      <c r="N568" s="3714"/>
      <c r="O568" s="3714"/>
      <c r="P568" s="3756"/>
      <c r="Q568" s="3714"/>
      <c r="R568" s="3714"/>
      <c r="S568" s="3714"/>
      <c r="T568" s="3714"/>
      <c r="U568" s="3714"/>
      <c r="V568" s="3714"/>
      <c r="W568" s="3714"/>
      <c r="X568" s="3714"/>
      <c r="Y568" s="3714"/>
      <c r="Z568" s="3714"/>
      <c r="AA568" s="3714"/>
      <c r="AB568" s="3714"/>
      <c r="AC568" s="3714"/>
    </row>
    <row r="569" spans="1:29">
      <c r="A569" s="3714"/>
      <c r="B569" s="3714"/>
      <c r="C569" s="3714"/>
      <c r="D569" s="3714"/>
      <c r="E569" s="3714"/>
      <c r="F569" s="3714"/>
      <c r="G569" s="3714"/>
      <c r="H569" s="3714"/>
      <c r="I569" s="3714"/>
      <c r="J569" s="3714"/>
      <c r="K569" s="3715"/>
      <c r="L569" s="3716"/>
      <c r="M569" s="3714"/>
      <c r="N569" s="3714"/>
      <c r="O569" s="3714"/>
      <c r="P569" s="3756"/>
      <c r="Q569" s="3714"/>
      <c r="R569" s="3714"/>
      <c r="S569" s="3714"/>
      <c r="T569" s="3714"/>
      <c r="U569" s="3714"/>
      <c r="V569" s="3714"/>
      <c r="W569" s="3714"/>
      <c r="X569" s="3714"/>
      <c r="Y569" s="3714"/>
      <c r="Z569" s="3714"/>
      <c r="AA569" s="3714"/>
      <c r="AB569" s="3714"/>
      <c r="AC569" s="3714"/>
    </row>
    <row r="570" spans="1:29">
      <c r="A570" s="3714"/>
      <c r="B570" s="3714"/>
      <c r="C570" s="3714"/>
      <c r="D570" s="3714"/>
      <c r="E570" s="3714"/>
      <c r="F570" s="3714"/>
      <c r="G570" s="3714"/>
      <c r="H570" s="3714"/>
      <c r="I570" s="3714"/>
      <c r="J570" s="3714"/>
      <c r="K570" s="3715"/>
      <c r="L570" s="3716"/>
      <c r="M570" s="3714"/>
      <c r="N570" s="3714"/>
      <c r="O570" s="3714"/>
      <c r="P570" s="3756"/>
      <c r="Q570" s="3714"/>
      <c r="R570" s="3714"/>
      <c r="S570" s="3714"/>
      <c r="T570" s="3714"/>
      <c r="U570" s="3714"/>
      <c r="V570" s="3714"/>
      <c r="W570" s="3714"/>
      <c r="X570" s="3714"/>
      <c r="Y570" s="3714"/>
      <c r="Z570" s="3714"/>
      <c r="AA570" s="3714"/>
      <c r="AB570" s="3714"/>
      <c r="AC570" s="3714"/>
    </row>
    <row r="571" spans="1:29">
      <c r="A571" s="3714"/>
      <c r="B571" s="3714"/>
      <c r="C571" s="3714"/>
      <c r="D571" s="3714"/>
      <c r="E571" s="3714"/>
      <c r="F571" s="3714"/>
      <c r="G571" s="3714"/>
      <c r="H571" s="3714"/>
      <c r="I571" s="3714"/>
      <c r="J571" s="3714"/>
      <c r="K571" s="3715"/>
      <c r="L571" s="3716"/>
      <c r="M571" s="3714"/>
      <c r="N571" s="3714"/>
      <c r="O571" s="3714"/>
      <c r="P571" s="3756"/>
      <c r="Q571" s="3714"/>
      <c r="R571" s="3714"/>
      <c r="S571" s="3714"/>
      <c r="T571" s="3714"/>
      <c r="U571" s="3714"/>
      <c r="V571" s="3714"/>
      <c r="W571" s="3714"/>
      <c r="X571" s="3714"/>
      <c r="Y571" s="3714"/>
      <c r="Z571" s="3714"/>
      <c r="AA571" s="3714"/>
      <c r="AB571" s="3714"/>
      <c r="AC571" s="3714"/>
    </row>
    <row r="572" spans="1:29">
      <c r="A572" s="3714"/>
      <c r="B572" s="3714"/>
      <c r="C572" s="3714"/>
      <c r="D572" s="3714"/>
      <c r="E572" s="3714"/>
      <c r="F572" s="3714"/>
      <c r="G572" s="3714"/>
      <c r="H572" s="3714"/>
      <c r="I572" s="3714"/>
      <c r="J572" s="3714"/>
      <c r="K572" s="3715"/>
      <c r="L572" s="3716"/>
      <c r="M572" s="3714"/>
      <c r="N572" s="3714"/>
      <c r="O572" s="3714"/>
      <c r="P572" s="3756"/>
      <c r="Q572" s="3714"/>
      <c r="R572" s="3714"/>
      <c r="S572" s="3714"/>
      <c r="T572" s="3714"/>
      <c r="U572" s="3714"/>
      <c r="V572" s="3714"/>
      <c r="W572" s="3714"/>
      <c r="X572" s="3714"/>
      <c r="Y572" s="3714"/>
      <c r="Z572" s="3714"/>
      <c r="AA572" s="3714"/>
      <c r="AB572" s="3714"/>
      <c r="AC572" s="3714"/>
    </row>
    <row r="573" spans="1:29">
      <c r="A573" s="3714"/>
      <c r="B573" s="3714"/>
      <c r="C573" s="3714"/>
      <c r="D573" s="3714"/>
      <c r="E573" s="3714"/>
      <c r="F573" s="3714"/>
      <c r="G573" s="3714"/>
      <c r="H573" s="3714"/>
      <c r="I573" s="3714"/>
      <c r="J573" s="3714"/>
      <c r="K573" s="3715"/>
      <c r="L573" s="3716"/>
      <c r="M573" s="3714"/>
      <c r="N573" s="3714"/>
      <c r="O573" s="3714"/>
      <c r="P573" s="3756"/>
      <c r="Q573" s="3714"/>
      <c r="R573" s="3714"/>
      <c r="S573" s="3714"/>
      <c r="T573" s="3714"/>
      <c r="U573" s="3714"/>
      <c r="V573" s="3714"/>
      <c r="W573" s="3714"/>
      <c r="X573" s="3714"/>
      <c r="Y573" s="3714"/>
      <c r="Z573" s="3714"/>
      <c r="AA573" s="3714"/>
      <c r="AB573" s="3714"/>
      <c r="AC573" s="3714"/>
    </row>
    <row r="574" spans="1:29">
      <c r="A574" s="3714"/>
      <c r="B574" s="3714"/>
      <c r="C574" s="3714"/>
      <c r="D574" s="3714"/>
      <c r="E574" s="3714"/>
      <c r="F574" s="3714"/>
      <c r="G574" s="3714"/>
      <c r="H574" s="3714"/>
      <c r="I574" s="3714"/>
      <c r="J574" s="3714"/>
      <c r="K574" s="3715"/>
      <c r="L574" s="3716"/>
      <c r="M574" s="3714"/>
      <c r="N574" s="3714"/>
      <c r="O574" s="3714"/>
      <c r="P574" s="3756"/>
      <c r="Q574" s="3714"/>
      <c r="R574" s="3714"/>
      <c r="S574" s="3714"/>
      <c r="T574" s="3714"/>
      <c r="U574" s="3714"/>
      <c r="V574" s="3714"/>
      <c r="W574" s="3714"/>
      <c r="X574" s="3714"/>
      <c r="Y574" s="3714"/>
      <c r="Z574" s="3714"/>
      <c r="AA574" s="3714"/>
      <c r="AB574" s="3714"/>
      <c r="AC574" s="3714"/>
    </row>
    <row r="575" spans="1:29">
      <c r="A575" s="3714"/>
      <c r="B575" s="3714"/>
      <c r="C575" s="3714"/>
      <c r="D575" s="3714"/>
      <c r="E575" s="3714"/>
      <c r="F575" s="3714"/>
      <c r="G575" s="3714"/>
      <c r="H575" s="3714"/>
      <c r="I575" s="3714"/>
      <c r="J575" s="3714"/>
      <c r="K575" s="3715"/>
      <c r="L575" s="3716"/>
      <c r="M575" s="3714"/>
      <c r="N575" s="3714"/>
      <c r="O575" s="3714"/>
      <c r="P575" s="3756"/>
      <c r="Q575" s="3714"/>
      <c r="R575" s="3714"/>
      <c r="S575" s="3714"/>
      <c r="T575" s="3714"/>
      <c r="U575" s="3714"/>
      <c r="V575" s="3714"/>
      <c r="W575" s="3714"/>
      <c r="X575" s="3714"/>
      <c r="Y575" s="3714"/>
      <c r="Z575" s="3714"/>
      <c r="AA575" s="3714"/>
      <c r="AB575" s="3714"/>
      <c r="AC575" s="3714"/>
    </row>
    <row r="576" spans="1:29">
      <c r="A576" s="3714"/>
      <c r="B576" s="3714"/>
      <c r="C576" s="3714"/>
      <c r="D576" s="3714"/>
      <c r="E576" s="3714"/>
      <c r="F576" s="3714"/>
      <c r="G576" s="3714"/>
      <c r="H576" s="3714"/>
      <c r="I576" s="3714"/>
      <c r="J576" s="3714"/>
      <c r="K576" s="3715"/>
      <c r="L576" s="3716"/>
      <c r="M576" s="3714"/>
      <c r="N576" s="3714"/>
      <c r="O576" s="3714"/>
      <c r="P576" s="3756"/>
      <c r="Q576" s="3714"/>
      <c r="R576" s="3714"/>
      <c r="S576" s="3714"/>
      <c r="T576" s="3714"/>
      <c r="U576" s="3714"/>
      <c r="V576" s="3714"/>
      <c r="W576" s="3714"/>
      <c r="X576" s="3714"/>
      <c r="Y576" s="3714"/>
      <c r="Z576" s="3714"/>
      <c r="AA576" s="3714"/>
      <c r="AB576" s="3714"/>
      <c r="AC576" s="3714"/>
    </row>
    <row r="577" spans="1:29">
      <c r="A577" s="3714"/>
      <c r="B577" s="3714"/>
      <c r="C577" s="3714"/>
      <c r="D577" s="3714"/>
      <c r="E577" s="3714"/>
      <c r="F577" s="3714"/>
      <c r="G577" s="3714"/>
      <c r="H577" s="3714"/>
      <c r="I577" s="3714"/>
      <c r="J577" s="3714"/>
      <c r="K577" s="3715"/>
      <c r="L577" s="3716"/>
      <c r="M577" s="3714"/>
      <c r="N577" s="3714"/>
      <c r="O577" s="3714"/>
      <c r="P577" s="3756"/>
      <c r="Q577" s="3714"/>
      <c r="R577" s="3714"/>
      <c r="S577" s="3714"/>
      <c r="T577" s="3714"/>
      <c r="U577" s="3714"/>
      <c r="V577" s="3714"/>
      <c r="W577" s="3714"/>
      <c r="X577" s="3714"/>
      <c r="Y577" s="3714"/>
      <c r="Z577" s="3714"/>
      <c r="AA577" s="3714"/>
      <c r="AB577" s="3714"/>
      <c r="AC577" s="3714"/>
    </row>
    <row r="578" spans="1:29">
      <c r="A578" s="3714"/>
      <c r="B578" s="3714"/>
      <c r="C578" s="3714"/>
      <c r="D578" s="3714"/>
      <c r="E578" s="3714"/>
      <c r="F578" s="3714"/>
      <c r="G578" s="3714"/>
      <c r="H578" s="3714"/>
      <c r="I578" s="3714"/>
      <c r="J578" s="3714"/>
      <c r="K578" s="3715"/>
      <c r="L578" s="3716"/>
      <c r="M578" s="3714"/>
      <c r="N578" s="3714"/>
      <c r="O578" s="3714"/>
      <c r="P578" s="3756"/>
      <c r="Q578" s="3714"/>
      <c r="R578" s="3714"/>
      <c r="S578" s="3714"/>
      <c r="T578" s="3714"/>
      <c r="U578" s="3714"/>
      <c r="V578" s="3714"/>
      <c r="W578" s="3714"/>
      <c r="X578" s="3714"/>
      <c r="Y578" s="3714"/>
      <c r="Z578" s="3714"/>
      <c r="AA578" s="3714"/>
      <c r="AB578" s="3714"/>
      <c r="AC578" s="3714"/>
    </row>
    <row r="579" spans="1:29">
      <c r="A579" s="3714"/>
      <c r="B579" s="3714"/>
      <c r="C579" s="3714"/>
      <c r="D579" s="3714"/>
      <c r="E579" s="3714"/>
      <c r="F579" s="3714"/>
      <c r="G579" s="3714"/>
      <c r="H579" s="3714"/>
      <c r="I579" s="3714"/>
      <c r="J579" s="3714"/>
      <c r="K579" s="3715"/>
      <c r="L579" s="3716"/>
      <c r="M579" s="3714"/>
      <c r="N579" s="3714"/>
      <c r="O579" s="3714"/>
      <c r="P579" s="3756"/>
      <c r="Q579" s="3714"/>
      <c r="R579" s="3714"/>
      <c r="S579" s="3714"/>
      <c r="T579" s="3714"/>
      <c r="U579" s="3714"/>
      <c r="V579" s="3714"/>
      <c r="W579" s="3714"/>
      <c r="X579" s="3714"/>
      <c r="Y579" s="3714"/>
      <c r="Z579" s="3714"/>
      <c r="AA579" s="3714"/>
      <c r="AB579" s="3714"/>
      <c r="AC579" s="3714"/>
    </row>
    <row r="580" spans="1:29">
      <c r="A580" s="3714"/>
      <c r="B580" s="3714"/>
      <c r="C580" s="3714"/>
      <c r="D580" s="3714"/>
      <c r="E580" s="3714"/>
      <c r="F580" s="3714"/>
      <c r="G580" s="3714"/>
      <c r="H580" s="3714"/>
      <c r="I580" s="3714"/>
      <c r="J580" s="3714"/>
      <c r="K580" s="3715"/>
      <c r="L580" s="3716"/>
      <c r="M580" s="3714"/>
      <c r="N580" s="3714"/>
      <c r="O580" s="3714"/>
      <c r="P580" s="3756"/>
      <c r="Q580" s="3714"/>
      <c r="R580" s="3714"/>
      <c r="S580" s="3714"/>
      <c r="T580" s="3714"/>
      <c r="U580" s="3714"/>
      <c r="V580" s="3714"/>
      <c r="W580" s="3714"/>
      <c r="X580" s="3714"/>
      <c r="Y580" s="3714"/>
      <c r="Z580" s="3714"/>
      <c r="AA580" s="3714"/>
      <c r="AB580" s="3714"/>
      <c r="AC580" s="3714"/>
    </row>
    <row r="581" spans="1:29">
      <c r="A581" s="3714"/>
      <c r="B581" s="3714"/>
      <c r="C581" s="3714"/>
      <c r="D581" s="3714"/>
      <c r="E581" s="3714"/>
      <c r="F581" s="3714"/>
      <c r="G581" s="3714"/>
      <c r="H581" s="3714"/>
      <c r="I581" s="3714"/>
      <c r="J581" s="3714"/>
      <c r="K581" s="3715"/>
      <c r="L581" s="3716"/>
      <c r="M581" s="3714"/>
      <c r="N581" s="3714"/>
      <c r="O581" s="3714"/>
      <c r="P581" s="3756"/>
      <c r="Q581" s="3714"/>
      <c r="R581" s="3714"/>
      <c r="S581" s="3714"/>
      <c r="T581" s="3714"/>
      <c r="U581" s="3714"/>
      <c r="V581" s="3714"/>
      <c r="W581" s="3714"/>
      <c r="X581" s="3714"/>
      <c r="Y581" s="3714"/>
      <c r="Z581" s="3714"/>
      <c r="AA581" s="3714"/>
      <c r="AB581" s="3714"/>
      <c r="AC581" s="3714"/>
    </row>
    <row r="582" spans="1:29">
      <c r="A582" s="3714"/>
      <c r="B582" s="3714"/>
      <c r="C582" s="3714"/>
      <c r="D582" s="3714"/>
      <c r="E582" s="3714"/>
      <c r="F582" s="3714"/>
      <c r="G582" s="3714"/>
      <c r="H582" s="3714"/>
      <c r="I582" s="3714"/>
      <c r="J582" s="3714"/>
      <c r="K582" s="3715"/>
      <c r="L582" s="3716"/>
      <c r="M582" s="3714"/>
      <c r="N582" s="3714"/>
      <c r="O582" s="3714"/>
      <c r="P582" s="3756"/>
      <c r="Q582" s="3714"/>
      <c r="R582" s="3714"/>
      <c r="S582" s="3714"/>
      <c r="T582" s="3714"/>
      <c r="U582" s="3714"/>
      <c r="V582" s="3714"/>
      <c r="W582" s="3714"/>
      <c r="X582" s="3714"/>
      <c r="Y582" s="3714"/>
      <c r="Z582" s="3714"/>
      <c r="AA582" s="3714"/>
      <c r="AB582" s="3714"/>
      <c r="AC582" s="3714"/>
    </row>
    <row r="583" spans="1:29">
      <c r="A583" s="3714"/>
      <c r="B583" s="3714"/>
      <c r="C583" s="3714"/>
      <c r="D583" s="3714"/>
      <c r="E583" s="3714"/>
      <c r="F583" s="3714"/>
      <c r="G583" s="3714"/>
      <c r="H583" s="3714"/>
      <c r="I583" s="3714"/>
      <c r="J583" s="3714"/>
      <c r="K583" s="3715"/>
      <c r="L583" s="3716"/>
      <c r="M583" s="3714"/>
      <c r="N583" s="3714"/>
      <c r="O583" s="3714"/>
      <c r="P583" s="3756"/>
      <c r="Q583" s="3714"/>
      <c r="R583" s="3714"/>
      <c r="S583" s="3714"/>
      <c r="T583" s="3714"/>
      <c r="U583" s="3714"/>
      <c r="V583" s="3714"/>
      <c r="W583" s="3714"/>
      <c r="X583" s="3714"/>
      <c r="Y583" s="3714"/>
      <c r="Z583" s="3714"/>
      <c r="AA583" s="3714"/>
      <c r="AB583" s="3714"/>
      <c r="AC583" s="3714"/>
    </row>
    <row r="584" spans="1:29">
      <c r="A584" s="3714"/>
      <c r="B584" s="3714"/>
      <c r="C584" s="3714"/>
      <c r="D584" s="3714"/>
      <c r="E584" s="3714"/>
      <c r="F584" s="3714"/>
      <c r="G584" s="3714"/>
      <c r="H584" s="3714"/>
      <c r="I584" s="3714"/>
      <c r="J584" s="3714"/>
      <c r="K584" s="3715"/>
      <c r="L584" s="3716"/>
      <c r="M584" s="3714"/>
      <c r="N584" s="3714"/>
      <c r="O584" s="3714"/>
      <c r="P584" s="3756"/>
      <c r="Q584" s="3714"/>
      <c r="R584" s="3714"/>
      <c r="S584" s="3714"/>
      <c r="T584" s="3714"/>
      <c r="U584" s="3714"/>
      <c r="V584" s="3714"/>
      <c r="W584" s="3714"/>
      <c r="X584" s="3714"/>
      <c r="Y584" s="3714"/>
      <c r="Z584" s="3714"/>
      <c r="AA584" s="3714"/>
      <c r="AB584" s="3714"/>
      <c r="AC584" s="3714"/>
    </row>
    <row r="585" spans="1:29">
      <c r="A585" s="3714"/>
      <c r="B585" s="3714"/>
      <c r="C585" s="3714"/>
      <c r="D585" s="3714"/>
      <c r="E585" s="3714"/>
      <c r="F585" s="3714"/>
      <c r="G585" s="3714"/>
      <c r="H585" s="3714"/>
      <c r="I585" s="3714"/>
      <c r="J585" s="3714"/>
      <c r="K585" s="3715"/>
      <c r="L585" s="3716"/>
      <c r="M585" s="3714"/>
      <c r="N585" s="3714"/>
      <c r="O585" s="3714"/>
      <c r="P585" s="3756"/>
      <c r="Q585" s="3714"/>
      <c r="R585" s="3714"/>
      <c r="S585" s="3714"/>
      <c r="T585" s="3714"/>
      <c r="U585" s="3714"/>
      <c r="V585" s="3714"/>
      <c r="W585" s="3714"/>
      <c r="X585" s="3714"/>
      <c r="Y585" s="3714"/>
      <c r="Z585" s="3714"/>
      <c r="AA585" s="3714"/>
      <c r="AB585" s="3714"/>
      <c r="AC585" s="3714"/>
    </row>
    <row r="586" spans="1:29">
      <c r="A586" s="3714"/>
      <c r="B586" s="3714"/>
      <c r="C586" s="3714"/>
      <c r="D586" s="3714"/>
      <c r="E586" s="3714"/>
      <c r="F586" s="3714"/>
      <c r="G586" s="3714"/>
      <c r="H586" s="3714"/>
      <c r="I586" s="3714"/>
      <c r="J586" s="3714"/>
      <c r="K586" s="3715"/>
      <c r="L586" s="3716"/>
      <c r="M586" s="3714"/>
      <c r="N586" s="3714"/>
      <c r="O586" s="3714"/>
      <c r="P586" s="3756"/>
      <c r="Q586" s="3714"/>
      <c r="R586" s="3714"/>
      <c r="S586" s="3714"/>
      <c r="T586" s="3714"/>
      <c r="U586" s="3714"/>
      <c r="V586" s="3714"/>
      <c r="W586" s="3714"/>
      <c r="X586" s="3714"/>
      <c r="Y586" s="3714"/>
      <c r="Z586" s="3714"/>
      <c r="AA586" s="3714"/>
      <c r="AB586" s="3714"/>
      <c r="AC586" s="3714"/>
    </row>
    <row r="587" spans="1:29">
      <c r="A587" s="3714"/>
      <c r="B587" s="3714"/>
      <c r="C587" s="3714"/>
      <c r="D587" s="3714"/>
      <c r="E587" s="3714"/>
      <c r="F587" s="3714"/>
      <c r="G587" s="3714"/>
      <c r="H587" s="3714"/>
      <c r="I587" s="3714"/>
      <c r="J587" s="3714"/>
      <c r="K587" s="3715"/>
      <c r="L587" s="3716"/>
      <c r="M587" s="3714"/>
      <c r="N587" s="3714"/>
      <c r="O587" s="3714"/>
      <c r="P587" s="3756"/>
      <c r="Q587" s="3714"/>
      <c r="R587" s="3714"/>
      <c r="S587" s="3714"/>
      <c r="T587" s="3714"/>
      <c r="U587" s="3714"/>
      <c r="V587" s="3714"/>
      <c r="W587" s="3714"/>
      <c r="X587" s="3714"/>
      <c r="Y587" s="3714"/>
      <c r="Z587" s="3714"/>
      <c r="AA587" s="3714"/>
      <c r="AB587" s="3714"/>
      <c r="AC587" s="3714"/>
    </row>
    <row r="588" spans="1:29">
      <c r="A588" s="3714"/>
      <c r="B588" s="3714"/>
      <c r="C588" s="3714"/>
      <c r="D588" s="3714"/>
      <c r="E588" s="3714"/>
      <c r="F588" s="3714"/>
      <c r="G588" s="3714"/>
      <c r="H588" s="3714"/>
      <c r="I588" s="3714"/>
      <c r="J588" s="3714"/>
      <c r="K588" s="3715"/>
      <c r="L588" s="3716"/>
      <c r="M588" s="3714"/>
      <c r="N588" s="3714"/>
      <c r="O588" s="3714"/>
      <c r="P588" s="3756"/>
      <c r="Q588" s="3714"/>
      <c r="R588" s="3714"/>
      <c r="S588" s="3714"/>
      <c r="T588" s="3714"/>
      <c r="U588" s="3714"/>
      <c r="V588" s="3714"/>
      <c r="W588" s="3714"/>
      <c r="X588" s="3714"/>
      <c r="Y588" s="3714"/>
      <c r="Z588" s="3714"/>
      <c r="AA588" s="3714"/>
      <c r="AB588" s="3714"/>
      <c r="AC588" s="3714"/>
    </row>
    <row r="589" spans="1:29">
      <c r="A589" s="3714"/>
      <c r="B589" s="3714"/>
      <c r="C589" s="3714"/>
      <c r="D589" s="3714"/>
      <c r="E589" s="3714"/>
      <c r="F589" s="3714"/>
      <c r="G589" s="3714"/>
      <c r="H589" s="3714"/>
      <c r="I589" s="3714"/>
      <c r="J589" s="3714"/>
      <c r="K589" s="3715"/>
      <c r="L589" s="3716"/>
      <c r="M589" s="3714"/>
      <c r="N589" s="3714"/>
      <c r="O589" s="3714"/>
      <c r="P589" s="3756"/>
      <c r="Q589" s="3714"/>
      <c r="R589" s="3714"/>
      <c r="S589" s="3714"/>
      <c r="T589" s="3714"/>
      <c r="U589" s="3714"/>
      <c r="V589" s="3714"/>
      <c r="W589" s="3714"/>
      <c r="X589" s="3714"/>
      <c r="Y589" s="3714"/>
      <c r="Z589" s="3714"/>
      <c r="AA589" s="3714"/>
      <c r="AB589" s="3714"/>
      <c r="AC589" s="3714"/>
    </row>
    <row r="590" spans="1:29">
      <c r="A590" s="3714"/>
      <c r="B590" s="3714"/>
      <c r="C590" s="3714"/>
      <c r="D590" s="3714"/>
      <c r="E590" s="3714"/>
      <c r="F590" s="3714"/>
      <c r="G590" s="3714"/>
      <c r="H590" s="3714"/>
      <c r="I590" s="3714"/>
      <c r="J590" s="3714"/>
      <c r="K590" s="3715"/>
      <c r="L590" s="3716"/>
      <c r="M590" s="3714"/>
      <c r="N590" s="3714"/>
      <c r="O590" s="3714"/>
      <c r="P590" s="3756"/>
      <c r="Q590" s="3714"/>
      <c r="R590" s="3714"/>
      <c r="S590" s="3714"/>
      <c r="T590" s="3714"/>
      <c r="U590" s="3714"/>
      <c r="V590" s="3714"/>
      <c r="W590" s="3714"/>
      <c r="X590" s="3714"/>
      <c r="Y590" s="3714"/>
      <c r="Z590" s="3714"/>
      <c r="AA590" s="3714"/>
      <c r="AB590" s="3714"/>
      <c r="AC590" s="3714"/>
    </row>
    <row r="591" spans="1:29">
      <c r="A591" s="3714"/>
      <c r="B591" s="3714"/>
      <c r="C591" s="3714"/>
      <c r="D591" s="3714"/>
      <c r="E591" s="3714"/>
      <c r="F591" s="3714"/>
      <c r="G591" s="3714"/>
      <c r="H591" s="3714"/>
      <c r="I591" s="3714"/>
      <c r="J591" s="3714"/>
      <c r="K591" s="3715"/>
      <c r="L591" s="3716"/>
      <c r="M591" s="3714"/>
      <c r="N591" s="3714"/>
      <c r="O591" s="3714"/>
      <c r="P591" s="3756"/>
      <c r="Q591" s="3714"/>
      <c r="R591" s="3714"/>
      <c r="S591" s="3714"/>
      <c r="T591" s="3714"/>
      <c r="U591" s="3714"/>
      <c r="V591" s="3714"/>
      <c r="W591" s="3714"/>
      <c r="X591" s="3714"/>
      <c r="Y591" s="3714"/>
      <c r="Z591" s="3714"/>
      <c r="AA591" s="3714"/>
      <c r="AB591" s="3714"/>
      <c r="AC591" s="3714"/>
    </row>
    <row r="592" spans="1:29">
      <c r="A592" s="3714"/>
      <c r="B592" s="3714"/>
      <c r="C592" s="3714"/>
      <c r="D592" s="3714"/>
      <c r="E592" s="3714"/>
      <c r="F592" s="3714"/>
      <c r="G592" s="3714"/>
      <c r="H592" s="3714"/>
      <c r="I592" s="3714"/>
      <c r="J592" s="3714"/>
      <c r="K592" s="3715"/>
      <c r="L592" s="3716"/>
      <c r="M592" s="3714"/>
      <c r="N592" s="3714"/>
      <c r="O592" s="3714"/>
      <c r="P592" s="3756"/>
      <c r="Q592" s="3714"/>
      <c r="R592" s="3714"/>
      <c r="S592" s="3714"/>
      <c r="T592" s="3714"/>
      <c r="U592" s="3714"/>
      <c r="V592" s="3714"/>
      <c r="W592" s="3714"/>
      <c r="X592" s="3714"/>
      <c r="Y592" s="3714"/>
      <c r="Z592" s="3714"/>
      <c r="AA592" s="3714"/>
      <c r="AB592" s="3714"/>
      <c r="AC592" s="3714"/>
    </row>
    <row r="593" spans="1:29">
      <c r="A593" s="3714"/>
      <c r="B593" s="3714"/>
      <c r="C593" s="3714"/>
      <c r="D593" s="3714"/>
      <c r="E593" s="3714"/>
      <c r="F593" s="3714"/>
      <c r="G593" s="3714"/>
      <c r="H593" s="3714"/>
      <c r="I593" s="3714"/>
      <c r="J593" s="3714"/>
      <c r="K593" s="3715"/>
      <c r="L593" s="3716"/>
      <c r="M593" s="3714"/>
      <c r="N593" s="3714"/>
      <c r="O593" s="3714"/>
      <c r="P593" s="3756"/>
      <c r="Q593" s="3714"/>
      <c r="R593" s="3714"/>
      <c r="S593" s="3714"/>
      <c r="T593" s="3714"/>
      <c r="U593" s="3714"/>
      <c r="V593" s="3714"/>
      <c r="W593" s="3714"/>
      <c r="X593" s="3714"/>
      <c r="Y593" s="3714"/>
      <c r="Z593" s="3714"/>
      <c r="AA593" s="3714"/>
      <c r="AB593" s="3714"/>
      <c r="AC593" s="3714"/>
    </row>
    <row r="594" spans="1:29">
      <c r="A594" s="3714"/>
      <c r="B594" s="3714"/>
      <c r="C594" s="3714"/>
      <c r="D594" s="3714"/>
      <c r="E594" s="3714"/>
      <c r="F594" s="3714"/>
      <c r="G594" s="3714"/>
      <c r="H594" s="3714"/>
      <c r="I594" s="3714"/>
      <c r="J594" s="3714"/>
      <c r="K594" s="3715"/>
      <c r="L594" s="3716"/>
      <c r="M594" s="3714"/>
      <c r="N594" s="3714"/>
      <c r="O594" s="3714"/>
      <c r="P594" s="3756"/>
      <c r="Q594" s="3714"/>
      <c r="R594" s="3714"/>
      <c r="S594" s="3714"/>
      <c r="T594" s="3714"/>
      <c r="U594" s="3714"/>
      <c r="V594" s="3714"/>
      <c r="W594" s="3714"/>
      <c r="X594" s="3714"/>
      <c r="Y594" s="3714"/>
      <c r="Z594" s="3714"/>
      <c r="AA594" s="3714"/>
      <c r="AB594" s="3714"/>
      <c r="AC594" s="3714"/>
    </row>
    <row r="595" spans="1:29">
      <c r="A595" s="3714"/>
      <c r="B595" s="3714"/>
      <c r="C595" s="3714"/>
      <c r="D595" s="3714"/>
      <c r="E595" s="3714"/>
      <c r="F595" s="3714"/>
      <c r="G595" s="3714"/>
      <c r="H595" s="3714"/>
      <c r="I595" s="3714"/>
      <c r="J595" s="3714"/>
      <c r="K595" s="3715"/>
      <c r="L595" s="3716"/>
      <c r="M595" s="3714"/>
      <c r="N595" s="3714"/>
      <c r="O595" s="3714"/>
      <c r="P595" s="3756"/>
      <c r="Q595" s="3714"/>
      <c r="R595" s="3714"/>
      <c r="S595" s="3714"/>
      <c r="T595" s="3714"/>
      <c r="U595" s="3714"/>
      <c r="V595" s="3714"/>
      <c r="W595" s="3714"/>
      <c r="X595" s="3714"/>
      <c r="Y595" s="3714"/>
      <c r="Z595" s="3714"/>
      <c r="AA595" s="3714"/>
      <c r="AB595" s="3714"/>
      <c r="AC595" s="3714"/>
    </row>
    <row r="596" spans="1:29">
      <c r="A596" s="3714"/>
      <c r="B596" s="3714"/>
      <c r="C596" s="3714"/>
      <c r="D596" s="3714"/>
      <c r="E596" s="3714"/>
      <c r="F596" s="3714"/>
      <c r="G596" s="3714"/>
      <c r="H596" s="3714"/>
      <c r="I596" s="3714"/>
      <c r="J596" s="3714"/>
      <c r="K596" s="3715"/>
      <c r="L596" s="3716"/>
      <c r="M596" s="3714"/>
      <c r="N596" s="3714"/>
      <c r="O596" s="3714"/>
      <c r="P596" s="3756"/>
      <c r="Q596" s="3714"/>
      <c r="R596" s="3714"/>
      <c r="S596" s="3714"/>
      <c r="T596" s="3714"/>
      <c r="U596" s="3714"/>
      <c r="V596" s="3714"/>
      <c r="W596" s="3714"/>
      <c r="X596" s="3714"/>
      <c r="Y596" s="3714"/>
      <c r="Z596" s="3714"/>
      <c r="AA596" s="3714"/>
      <c r="AB596" s="3714"/>
      <c r="AC596" s="3714"/>
    </row>
    <row r="597" spans="1:29">
      <c r="A597" s="3714"/>
      <c r="B597" s="3714"/>
      <c r="C597" s="3714"/>
      <c r="D597" s="3714"/>
      <c r="E597" s="3714"/>
      <c r="F597" s="3714"/>
      <c r="G597" s="3714"/>
      <c r="H597" s="3714"/>
      <c r="I597" s="3714"/>
      <c r="J597" s="3714"/>
      <c r="K597" s="3715"/>
      <c r="L597" s="3716"/>
      <c r="M597" s="3714"/>
      <c r="N597" s="3714"/>
      <c r="O597" s="3714"/>
      <c r="P597" s="3756"/>
      <c r="Q597" s="3714"/>
      <c r="R597" s="3714"/>
      <c r="S597" s="3714"/>
      <c r="T597" s="3714"/>
      <c r="U597" s="3714"/>
      <c r="V597" s="3714"/>
      <c r="W597" s="3714"/>
      <c r="X597" s="3714"/>
      <c r="Y597" s="3714"/>
      <c r="Z597" s="3714"/>
      <c r="AA597" s="3714"/>
      <c r="AB597" s="3714"/>
      <c r="AC597" s="3714"/>
    </row>
    <row r="598" spans="1:29">
      <c r="A598" s="3714"/>
      <c r="B598" s="3714"/>
      <c r="C598" s="3714"/>
      <c r="D598" s="3714"/>
      <c r="E598" s="3714"/>
      <c r="F598" s="3714"/>
      <c r="G598" s="3714"/>
      <c r="H598" s="3714"/>
      <c r="I598" s="3714"/>
      <c r="J598" s="3714"/>
      <c r="K598" s="3715"/>
      <c r="L598" s="3716"/>
      <c r="M598" s="3714"/>
      <c r="N598" s="3714"/>
      <c r="O598" s="3714"/>
      <c r="P598" s="3756"/>
      <c r="Q598" s="3714"/>
      <c r="R598" s="3714"/>
      <c r="S598" s="3714"/>
      <c r="T598" s="3714"/>
      <c r="U598" s="3714"/>
      <c r="V598" s="3714"/>
      <c r="W598" s="3714"/>
      <c r="X598" s="3714"/>
      <c r="Y598" s="3714"/>
      <c r="Z598" s="3714"/>
      <c r="AA598" s="3714"/>
      <c r="AB598" s="3714"/>
      <c r="AC598" s="3714"/>
    </row>
    <row r="599" spans="1:29">
      <c r="A599" s="3714"/>
      <c r="B599" s="3714"/>
      <c r="C599" s="3714"/>
      <c r="D599" s="3714"/>
      <c r="E599" s="3714"/>
      <c r="F599" s="3714"/>
      <c r="G599" s="3714"/>
      <c r="H599" s="3714"/>
      <c r="I599" s="3714"/>
      <c r="J599" s="3714"/>
      <c r="K599" s="3715"/>
      <c r="L599" s="3716"/>
      <c r="M599" s="3714"/>
      <c r="N599" s="3714"/>
      <c r="O599" s="3714"/>
      <c r="P599" s="3756"/>
      <c r="Q599" s="3714"/>
      <c r="R599" s="3714"/>
      <c r="S599" s="3714"/>
      <c r="T599" s="3714"/>
      <c r="U599" s="3714"/>
      <c r="V599" s="3714"/>
      <c r="W599" s="3714"/>
      <c r="X599" s="3714"/>
      <c r="Y599" s="3714"/>
      <c r="Z599" s="3714"/>
      <c r="AA599" s="3714"/>
      <c r="AB599" s="3714"/>
      <c r="AC599" s="3714"/>
    </row>
    <row r="600" spans="1:29">
      <c r="A600" s="3714"/>
      <c r="B600" s="3714"/>
      <c r="C600" s="3714"/>
      <c r="D600" s="3714"/>
      <c r="E600" s="3714"/>
      <c r="F600" s="3714"/>
      <c r="G600" s="3714"/>
      <c r="H600" s="3714"/>
      <c r="I600" s="3714"/>
      <c r="J600" s="3714"/>
      <c r="K600" s="3715"/>
      <c r="L600" s="3716"/>
      <c r="M600" s="3714"/>
      <c r="N600" s="3714"/>
      <c r="O600" s="3714"/>
      <c r="P600" s="3756"/>
      <c r="Q600" s="3714"/>
      <c r="R600" s="3714"/>
      <c r="S600" s="3714"/>
      <c r="T600" s="3714"/>
      <c r="U600" s="3714"/>
      <c r="V600" s="3714"/>
      <c r="W600" s="3714"/>
      <c r="X600" s="3714"/>
      <c r="Y600" s="3714"/>
      <c r="Z600" s="3714"/>
      <c r="AA600" s="3714"/>
      <c r="AB600" s="3714"/>
      <c r="AC600" s="3714"/>
    </row>
    <row r="601" spans="1:29">
      <c r="A601" s="3714"/>
      <c r="B601" s="3714"/>
      <c r="C601" s="3714"/>
      <c r="D601" s="3714"/>
      <c r="E601" s="3714"/>
      <c r="F601" s="3714"/>
      <c r="G601" s="3714"/>
      <c r="H601" s="3714"/>
      <c r="I601" s="3714"/>
      <c r="J601" s="3714"/>
      <c r="K601" s="3715"/>
      <c r="L601" s="3716"/>
      <c r="M601" s="3714"/>
      <c r="N601" s="3714"/>
      <c r="O601" s="3714"/>
      <c r="P601" s="3756"/>
      <c r="Q601" s="3714"/>
      <c r="R601" s="3714"/>
      <c r="S601" s="3714"/>
      <c r="T601" s="3714"/>
      <c r="U601" s="3714"/>
      <c r="V601" s="3714"/>
      <c r="W601" s="3714"/>
      <c r="X601" s="3714"/>
      <c r="Y601" s="3714"/>
      <c r="Z601" s="3714"/>
      <c r="AA601" s="3714"/>
      <c r="AB601" s="3714"/>
      <c r="AC601" s="3714"/>
    </row>
    <row r="602" spans="1:29">
      <c r="A602" s="3714"/>
      <c r="B602" s="3714"/>
      <c r="C602" s="3714"/>
      <c r="D602" s="3714"/>
      <c r="E602" s="3714"/>
      <c r="F602" s="3714"/>
      <c r="G602" s="3714"/>
      <c r="H602" s="3714"/>
      <c r="I602" s="3714"/>
      <c r="J602" s="3714"/>
      <c r="K602" s="3715"/>
      <c r="L602" s="3716"/>
      <c r="M602" s="3714"/>
      <c r="N602" s="3714"/>
      <c r="O602" s="3714"/>
      <c r="P602" s="3756"/>
      <c r="Q602" s="3714"/>
      <c r="R602" s="3714"/>
      <c r="S602" s="3714"/>
      <c r="T602" s="3714"/>
      <c r="U602" s="3714"/>
      <c r="V602" s="3714"/>
      <c r="W602" s="3714"/>
      <c r="X602" s="3714"/>
      <c r="Y602" s="3714"/>
      <c r="Z602" s="3714"/>
      <c r="AA602" s="3714"/>
      <c r="AB602" s="3714"/>
      <c r="AC602" s="3714"/>
    </row>
    <row r="603" spans="1:29">
      <c r="A603" s="3714"/>
      <c r="B603" s="3714"/>
      <c r="C603" s="3714"/>
      <c r="D603" s="3714"/>
      <c r="E603" s="3714"/>
      <c r="F603" s="3714"/>
      <c r="G603" s="3714"/>
      <c r="H603" s="3714"/>
      <c r="I603" s="3714"/>
      <c r="J603" s="3714"/>
      <c r="K603" s="3715"/>
      <c r="L603" s="3716"/>
      <c r="M603" s="3714"/>
      <c r="N603" s="3714"/>
      <c r="O603" s="3714"/>
      <c r="P603" s="3756"/>
      <c r="Q603" s="3714"/>
      <c r="R603" s="3714"/>
      <c r="S603" s="3714"/>
      <c r="T603" s="3714"/>
      <c r="U603" s="3714"/>
      <c r="V603" s="3714"/>
      <c r="W603" s="3714"/>
      <c r="X603" s="3714"/>
      <c r="Y603" s="3714"/>
      <c r="Z603" s="3714"/>
      <c r="AA603" s="3714"/>
      <c r="AB603" s="3714"/>
      <c r="AC603" s="3714"/>
    </row>
    <row r="604" spans="1:29">
      <c r="A604" s="3714"/>
      <c r="B604" s="3714"/>
      <c r="C604" s="3714"/>
      <c r="D604" s="3714"/>
      <c r="E604" s="3714"/>
      <c r="F604" s="3714"/>
      <c r="G604" s="3714"/>
      <c r="H604" s="3714"/>
      <c r="I604" s="3714"/>
      <c r="J604" s="3714"/>
      <c r="K604" s="3715"/>
      <c r="L604" s="3716"/>
      <c r="M604" s="3714"/>
      <c r="N604" s="3714"/>
      <c r="O604" s="3714"/>
      <c r="P604" s="3756"/>
      <c r="Q604" s="3714"/>
      <c r="R604" s="3714"/>
      <c r="S604" s="3714"/>
      <c r="T604" s="3714"/>
      <c r="U604" s="3714"/>
      <c r="V604" s="3714"/>
      <c r="W604" s="3714"/>
      <c r="X604" s="3714"/>
      <c r="Y604" s="3714"/>
      <c r="Z604" s="3714"/>
      <c r="AA604" s="3714"/>
      <c r="AB604" s="3714"/>
      <c r="AC604" s="3714"/>
    </row>
    <row r="605" spans="1:29">
      <c r="A605" s="3714"/>
      <c r="B605" s="3714"/>
      <c r="C605" s="3714"/>
      <c r="D605" s="3714"/>
      <c r="E605" s="3714"/>
      <c r="F605" s="3714"/>
      <c r="G605" s="3714"/>
      <c r="H605" s="3714"/>
      <c r="I605" s="3714"/>
      <c r="J605" s="3714"/>
      <c r="K605" s="3715"/>
      <c r="L605" s="3716"/>
      <c r="M605" s="3714"/>
      <c r="N605" s="3714"/>
      <c r="O605" s="3714"/>
      <c r="P605" s="3756"/>
      <c r="Q605" s="3714"/>
      <c r="R605" s="3714"/>
      <c r="S605" s="3714"/>
      <c r="T605" s="3714"/>
      <c r="U605" s="3714"/>
      <c r="V605" s="3714"/>
      <c r="W605" s="3714"/>
      <c r="X605" s="3714"/>
      <c r="Y605" s="3714"/>
      <c r="Z605" s="3714"/>
      <c r="AA605" s="3714"/>
      <c r="AB605" s="3714"/>
      <c r="AC605" s="3714"/>
    </row>
    <row r="606" spans="1:29">
      <c r="A606" s="3714"/>
      <c r="B606" s="3714"/>
      <c r="C606" s="3714"/>
      <c r="D606" s="3714"/>
      <c r="E606" s="3714"/>
      <c r="F606" s="3714"/>
      <c r="G606" s="3714"/>
      <c r="H606" s="3714"/>
      <c r="I606" s="3714"/>
      <c r="J606" s="3714"/>
      <c r="K606" s="3715"/>
      <c r="L606" s="3716"/>
      <c r="M606" s="3714"/>
      <c r="N606" s="3714"/>
      <c r="O606" s="3714"/>
      <c r="P606" s="3756"/>
      <c r="Q606" s="3714"/>
      <c r="R606" s="3714"/>
      <c r="S606" s="3714"/>
      <c r="T606" s="3714"/>
      <c r="U606" s="3714"/>
      <c r="V606" s="3714"/>
      <c r="W606" s="3714"/>
      <c r="X606" s="3714"/>
      <c r="Y606" s="3714"/>
      <c r="Z606" s="3714"/>
      <c r="AA606" s="3714"/>
      <c r="AB606" s="3714"/>
      <c r="AC606" s="3714"/>
    </row>
    <row r="607" spans="1:29">
      <c r="A607" s="3714"/>
      <c r="B607" s="3714"/>
      <c r="C607" s="3714"/>
      <c r="D607" s="3714"/>
      <c r="E607" s="3714"/>
      <c r="F607" s="3714"/>
      <c r="G607" s="3714"/>
      <c r="H607" s="3714"/>
      <c r="I607" s="3714"/>
      <c r="J607" s="3714"/>
      <c r="K607" s="3715"/>
      <c r="L607" s="3716"/>
      <c r="M607" s="3714"/>
      <c r="N607" s="3714"/>
      <c r="O607" s="3714"/>
      <c r="P607" s="3756"/>
      <c r="Q607" s="3714"/>
      <c r="R607" s="3714"/>
      <c r="S607" s="3714"/>
      <c r="T607" s="3714"/>
      <c r="U607" s="3714"/>
      <c r="V607" s="3714"/>
      <c r="W607" s="3714"/>
      <c r="X607" s="3714"/>
      <c r="Y607" s="3714"/>
      <c r="Z607" s="3714"/>
      <c r="AA607" s="3714"/>
      <c r="AB607" s="3714"/>
      <c r="AC607" s="3714"/>
    </row>
    <row r="608" spans="1:29">
      <c r="A608" s="3714"/>
      <c r="B608" s="3714"/>
      <c r="C608" s="3714"/>
      <c r="D608" s="3714"/>
      <c r="E608" s="3714"/>
      <c r="F608" s="3714"/>
      <c r="G608" s="3714"/>
      <c r="H608" s="3714"/>
      <c r="I608" s="3714"/>
      <c r="J608" s="3714"/>
      <c r="K608" s="3715"/>
      <c r="L608" s="3716"/>
      <c r="M608" s="3714"/>
      <c r="N608" s="3714"/>
      <c r="O608" s="3714"/>
      <c r="P608" s="3756"/>
      <c r="Q608" s="3714"/>
      <c r="R608" s="3714"/>
      <c r="S608" s="3714"/>
      <c r="T608" s="3714"/>
      <c r="U608" s="3714"/>
      <c r="V608" s="3714"/>
      <c r="W608" s="3714"/>
      <c r="X608" s="3714"/>
      <c r="Y608" s="3714"/>
      <c r="Z608" s="3714"/>
      <c r="AA608" s="3714"/>
      <c r="AB608" s="3714"/>
      <c r="AC608" s="3714"/>
    </row>
    <row r="609" spans="1:29">
      <c r="A609" s="3714"/>
      <c r="B609" s="3714"/>
      <c r="C609" s="3714"/>
      <c r="D609" s="3714"/>
      <c r="E609" s="3714"/>
      <c r="F609" s="3714"/>
      <c r="G609" s="3714"/>
      <c r="H609" s="3714"/>
      <c r="I609" s="3714"/>
      <c r="J609" s="3714"/>
      <c r="K609" s="3715"/>
      <c r="L609" s="3716"/>
      <c r="M609" s="3714"/>
      <c r="N609" s="3714"/>
      <c r="O609" s="3714"/>
      <c r="P609" s="3756"/>
      <c r="Q609" s="3714"/>
      <c r="R609" s="3714"/>
      <c r="S609" s="3714"/>
      <c r="T609" s="3714"/>
      <c r="U609" s="3714"/>
      <c r="V609" s="3714"/>
      <c r="W609" s="3714"/>
      <c r="X609" s="3714"/>
      <c r="Y609" s="3714"/>
      <c r="Z609" s="3714"/>
      <c r="AA609" s="3714"/>
      <c r="AB609" s="3714"/>
      <c r="AC609" s="3714"/>
    </row>
    <row r="610" spans="1:29">
      <c r="A610" s="3714"/>
      <c r="B610" s="3714"/>
      <c r="C610" s="3714"/>
      <c r="D610" s="3714"/>
      <c r="E610" s="3714"/>
      <c r="F610" s="3714"/>
      <c r="G610" s="3714"/>
      <c r="H610" s="3714"/>
      <c r="I610" s="3714"/>
      <c r="J610" s="3714"/>
      <c r="K610" s="3715"/>
      <c r="L610" s="3716"/>
      <c r="M610" s="3714"/>
      <c r="N610" s="3714"/>
      <c r="O610" s="3714"/>
      <c r="P610" s="3756"/>
      <c r="Q610" s="3714"/>
      <c r="R610" s="3714"/>
      <c r="S610" s="3714"/>
      <c r="T610" s="3714"/>
      <c r="U610" s="3714"/>
      <c r="V610" s="3714"/>
      <c r="W610" s="3714"/>
      <c r="X610" s="3714"/>
      <c r="Y610" s="3714"/>
      <c r="Z610" s="3714"/>
      <c r="AA610" s="3714"/>
      <c r="AB610" s="3714"/>
      <c r="AC610" s="3714"/>
    </row>
    <row r="611" spans="1:29">
      <c r="A611" s="3714"/>
      <c r="B611" s="3714"/>
      <c r="C611" s="3714"/>
      <c r="D611" s="3714"/>
      <c r="E611" s="3714"/>
      <c r="F611" s="3714"/>
      <c r="G611" s="3714"/>
      <c r="H611" s="3714"/>
      <c r="I611" s="3714"/>
      <c r="J611" s="3714"/>
      <c r="K611" s="3715"/>
      <c r="L611" s="3716"/>
      <c r="M611" s="3714"/>
      <c r="N611" s="3714"/>
      <c r="O611" s="3714"/>
      <c r="P611" s="3756"/>
      <c r="Q611" s="3714"/>
      <c r="R611" s="3714"/>
      <c r="S611" s="3714"/>
      <c r="T611" s="3714"/>
      <c r="U611" s="3714"/>
      <c r="V611" s="3714"/>
      <c r="W611" s="3714"/>
      <c r="X611" s="3714"/>
      <c r="Y611" s="3714"/>
      <c r="Z611" s="3714"/>
      <c r="AA611" s="3714"/>
      <c r="AB611" s="3714"/>
      <c r="AC611" s="3714"/>
    </row>
    <row r="612" spans="1:29">
      <c r="A612" s="3714"/>
      <c r="B612" s="3714"/>
      <c r="C612" s="3714"/>
      <c r="D612" s="3714"/>
      <c r="E612" s="3714"/>
      <c r="F612" s="3714"/>
      <c r="G612" s="3714"/>
      <c r="H612" s="3714"/>
      <c r="I612" s="3714"/>
      <c r="J612" s="3714"/>
      <c r="K612" s="3715"/>
      <c r="L612" s="3716"/>
      <c r="M612" s="3714"/>
      <c r="N612" s="3714"/>
      <c r="O612" s="3714"/>
      <c r="P612" s="3756"/>
      <c r="Q612" s="3714"/>
      <c r="R612" s="3714"/>
      <c r="S612" s="3714"/>
      <c r="T612" s="3714"/>
      <c r="U612" s="3714"/>
      <c r="V612" s="3714"/>
      <c r="W612" s="3714"/>
      <c r="X612" s="3714"/>
      <c r="Y612" s="3714"/>
      <c r="Z612" s="3714"/>
      <c r="AA612" s="3714"/>
      <c r="AB612" s="3714"/>
      <c r="AC612" s="3714"/>
    </row>
    <row r="613" spans="1:29">
      <c r="A613" s="3714"/>
      <c r="B613" s="3714"/>
      <c r="C613" s="3714"/>
      <c r="D613" s="3714"/>
      <c r="E613" s="3714"/>
      <c r="F613" s="3714"/>
      <c r="G613" s="3714"/>
      <c r="H613" s="3714"/>
      <c r="I613" s="3714"/>
      <c r="J613" s="3714"/>
      <c r="K613" s="3715"/>
      <c r="L613" s="3716"/>
      <c r="M613" s="3714"/>
      <c r="N613" s="3714"/>
      <c r="O613" s="3714"/>
      <c r="P613" s="3756"/>
      <c r="Q613" s="3714"/>
      <c r="R613" s="3714"/>
      <c r="S613" s="3714"/>
      <c r="T613" s="3714"/>
      <c r="U613" s="3714"/>
      <c r="V613" s="3714"/>
      <c r="W613" s="3714"/>
      <c r="X613" s="3714"/>
      <c r="Y613" s="3714"/>
      <c r="Z613" s="3714"/>
      <c r="AA613" s="3714"/>
      <c r="AB613" s="3714"/>
      <c r="AC613" s="3714"/>
    </row>
    <row r="614" spans="1:29">
      <c r="A614" s="3714"/>
      <c r="B614" s="3714"/>
      <c r="C614" s="3714"/>
      <c r="D614" s="3714"/>
      <c r="E614" s="3714"/>
      <c r="F614" s="3714"/>
      <c r="G614" s="3714"/>
      <c r="H614" s="3714"/>
      <c r="I614" s="3714"/>
      <c r="J614" s="3714"/>
      <c r="K614" s="3715"/>
      <c r="L614" s="3716"/>
      <c r="M614" s="3714"/>
      <c r="N614" s="3714"/>
      <c r="O614" s="3714"/>
      <c r="P614" s="3756"/>
      <c r="Q614" s="3714"/>
      <c r="R614" s="3714"/>
      <c r="S614" s="3714"/>
      <c r="T614" s="3714"/>
      <c r="U614" s="3714"/>
      <c r="V614" s="3714"/>
      <c r="W614" s="3714"/>
      <c r="X614" s="3714"/>
      <c r="Y614" s="3714"/>
      <c r="Z614" s="3714"/>
      <c r="AA614" s="3714"/>
      <c r="AB614" s="3714"/>
      <c r="AC614" s="3714"/>
    </row>
    <row r="615" spans="1:29">
      <c r="A615" s="3714"/>
      <c r="B615" s="3714"/>
      <c r="C615" s="3714"/>
      <c r="D615" s="3714"/>
      <c r="E615" s="3714"/>
      <c r="F615" s="3714"/>
      <c r="G615" s="3714"/>
      <c r="H615" s="3714"/>
      <c r="I615" s="3714"/>
      <c r="J615" s="3714"/>
      <c r="K615" s="3715"/>
      <c r="L615" s="3716"/>
      <c r="M615" s="3714"/>
      <c r="N615" s="3714"/>
      <c r="O615" s="3714"/>
      <c r="P615" s="3756"/>
      <c r="Q615" s="3714"/>
      <c r="R615" s="3714"/>
      <c r="S615" s="3714"/>
      <c r="T615" s="3714"/>
      <c r="U615" s="3714"/>
      <c r="V615" s="3714"/>
      <c r="W615" s="3714"/>
      <c r="X615" s="3714"/>
      <c r="Y615" s="3714"/>
      <c r="Z615" s="3714"/>
      <c r="AA615" s="3714"/>
      <c r="AB615" s="3714"/>
      <c r="AC615" s="3714"/>
    </row>
    <row r="616" spans="1:29">
      <c r="A616" s="3714"/>
      <c r="B616" s="3714"/>
      <c r="C616" s="3714"/>
      <c r="D616" s="3714"/>
      <c r="E616" s="3714"/>
      <c r="F616" s="3714"/>
      <c r="G616" s="3714"/>
      <c r="H616" s="3714"/>
      <c r="I616" s="3714"/>
      <c r="J616" s="3714"/>
      <c r="K616" s="3715"/>
      <c r="L616" s="3716"/>
      <c r="M616" s="3714"/>
      <c r="N616" s="3714"/>
      <c r="O616" s="3714"/>
      <c r="P616" s="3756"/>
      <c r="Q616" s="3714"/>
      <c r="R616" s="3714"/>
      <c r="S616" s="3714"/>
      <c r="T616" s="3714"/>
      <c r="U616" s="3714"/>
      <c r="V616" s="3714"/>
      <c r="W616" s="3714"/>
      <c r="X616" s="3714"/>
      <c r="Y616" s="3714"/>
      <c r="Z616" s="3714"/>
      <c r="AA616" s="3714"/>
      <c r="AB616" s="3714"/>
      <c r="AC616" s="3714"/>
    </row>
    <row r="617" spans="1:29">
      <c r="A617" s="3714"/>
      <c r="B617" s="3714"/>
      <c r="C617" s="3714"/>
      <c r="D617" s="3714"/>
      <c r="E617" s="3714"/>
      <c r="F617" s="3714"/>
      <c r="G617" s="3714"/>
      <c r="H617" s="3714"/>
      <c r="I617" s="3714"/>
      <c r="J617" s="3714"/>
      <c r="K617" s="3715"/>
      <c r="L617" s="3716"/>
      <c r="M617" s="3714"/>
      <c r="N617" s="3714"/>
      <c r="O617" s="3714"/>
      <c r="P617" s="3756"/>
      <c r="Q617" s="3714"/>
      <c r="R617" s="3714"/>
      <c r="S617" s="3714"/>
      <c r="T617" s="3714"/>
      <c r="U617" s="3714"/>
      <c r="V617" s="3714"/>
      <c r="W617" s="3714"/>
      <c r="X617" s="3714"/>
      <c r="Y617" s="3714"/>
      <c r="Z617" s="3714"/>
      <c r="AA617" s="3714"/>
      <c r="AB617" s="3714"/>
      <c r="AC617" s="3714"/>
    </row>
    <row r="618" spans="1:29">
      <c r="A618" s="3714"/>
      <c r="B618" s="3714"/>
      <c r="C618" s="3714"/>
      <c r="D618" s="3714"/>
      <c r="E618" s="3714"/>
      <c r="F618" s="3714"/>
      <c r="G618" s="3714"/>
      <c r="H618" s="3714"/>
      <c r="I618" s="3714"/>
      <c r="J618" s="3714"/>
      <c r="K618" s="3715"/>
      <c r="L618" s="3716"/>
      <c r="M618" s="3714"/>
      <c r="N618" s="3714"/>
      <c r="O618" s="3714"/>
      <c r="P618" s="3756"/>
      <c r="Q618" s="3714"/>
      <c r="R618" s="3714"/>
      <c r="S618" s="3714"/>
      <c r="T618" s="3714"/>
      <c r="U618" s="3714"/>
      <c r="V618" s="3714"/>
      <c r="W618" s="3714"/>
      <c r="X618" s="3714"/>
      <c r="Y618" s="3714"/>
      <c r="Z618" s="3714"/>
      <c r="AA618" s="3714"/>
      <c r="AB618" s="3714"/>
      <c r="AC618" s="3714"/>
    </row>
    <row r="619" spans="1:29">
      <c r="A619" s="3714"/>
      <c r="B619" s="3714"/>
      <c r="C619" s="3714"/>
      <c r="D619" s="3714"/>
      <c r="E619" s="3714"/>
      <c r="F619" s="3714"/>
      <c r="G619" s="3714"/>
      <c r="H619" s="3714"/>
      <c r="I619" s="3714"/>
      <c r="J619" s="3714"/>
      <c r="K619" s="3715"/>
      <c r="L619" s="3716"/>
      <c r="M619" s="3714"/>
      <c r="N619" s="3714"/>
      <c r="O619" s="3714"/>
      <c r="P619" s="3756"/>
      <c r="Q619" s="3714"/>
      <c r="R619" s="3714"/>
      <c r="S619" s="3714"/>
      <c r="T619" s="3714"/>
      <c r="U619" s="3714"/>
      <c r="V619" s="3714"/>
      <c r="W619" s="3714"/>
      <c r="X619" s="3714"/>
      <c r="Y619" s="3714"/>
      <c r="Z619" s="3714"/>
      <c r="AA619" s="3714"/>
      <c r="AB619" s="3714"/>
      <c r="AC619" s="3714"/>
    </row>
    <row r="620" spans="1:29">
      <c r="A620" s="3714"/>
      <c r="B620" s="3714"/>
      <c r="C620" s="3714"/>
      <c r="D620" s="3714"/>
      <c r="E620" s="3714"/>
      <c r="F620" s="3714"/>
      <c r="G620" s="3714"/>
      <c r="H620" s="3714"/>
      <c r="I620" s="3714"/>
      <c r="J620" s="3714"/>
      <c r="K620" s="3715"/>
      <c r="L620" s="3716"/>
      <c r="M620" s="3714"/>
      <c r="N620" s="3714"/>
      <c r="O620" s="3714"/>
      <c r="P620" s="3756"/>
      <c r="Q620" s="3714"/>
      <c r="R620" s="3714"/>
      <c r="S620" s="3714"/>
      <c r="T620" s="3714"/>
      <c r="U620" s="3714"/>
      <c r="V620" s="3714"/>
      <c r="W620" s="3714"/>
      <c r="X620" s="3714"/>
      <c r="Y620" s="3714"/>
      <c r="Z620" s="3714"/>
      <c r="AA620" s="3714"/>
      <c r="AB620" s="3714"/>
      <c r="AC620" s="3714"/>
    </row>
    <row r="621" spans="1:29">
      <c r="A621" s="3714"/>
      <c r="B621" s="3714"/>
      <c r="C621" s="3714"/>
      <c r="D621" s="3714"/>
      <c r="E621" s="3714"/>
      <c r="F621" s="3714"/>
      <c r="G621" s="3714"/>
      <c r="H621" s="3714"/>
      <c r="I621" s="3714"/>
      <c r="J621" s="3714"/>
      <c r="K621" s="3715"/>
      <c r="L621" s="3716"/>
      <c r="M621" s="3714"/>
      <c r="N621" s="3714"/>
      <c r="O621" s="3714"/>
      <c r="P621" s="3756"/>
      <c r="Q621" s="3714"/>
      <c r="R621" s="3714"/>
      <c r="S621" s="3714"/>
      <c r="T621" s="3714"/>
      <c r="U621" s="3714"/>
      <c r="V621" s="3714"/>
      <c r="W621" s="3714"/>
      <c r="X621" s="3714"/>
      <c r="Y621" s="3714"/>
      <c r="Z621" s="3714"/>
      <c r="AA621" s="3714"/>
      <c r="AB621" s="3714"/>
      <c r="AC621" s="3714"/>
    </row>
    <row r="622" spans="1:29">
      <c r="A622" s="3714"/>
      <c r="B622" s="3714"/>
      <c r="C622" s="3714"/>
      <c r="D622" s="3714"/>
      <c r="E622" s="3714"/>
      <c r="F622" s="3714"/>
      <c r="G622" s="3714"/>
      <c r="H622" s="3714"/>
      <c r="I622" s="3714"/>
      <c r="J622" s="3714"/>
      <c r="K622" s="3715"/>
      <c r="L622" s="3716"/>
      <c r="M622" s="3714"/>
      <c r="N622" s="3714"/>
      <c r="O622" s="3714"/>
      <c r="P622" s="3756"/>
      <c r="Q622" s="3714"/>
      <c r="R622" s="3714"/>
      <c r="S622" s="3714"/>
      <c r="T622" s="3714"/>
      <c r="U622" s="3714"/>
      <c r="V622" s="3714"/>
      <c r="W622" s="3714"/>
      <c r="X622" s="3714"/>
      <c r="Y622" s="3714"/>
      <c r="Z622" s="3714"/>
      <c r="AA622" s="3714"/>
      <c r="AB622" s="3714"/>
      <c r="AC622" s="3714"/>
    </row>
    <row r="623" spans="1:29">
      <c r="A623" s="3714"/>
      <c r="B623" s="3714"/>
      <c r="C623" s="3714"/>
      <c r="D623" s="3714"/>
      <c r="E623" s="3714"/>
      <c r="F623" s="3714"/>
      <c r="G623" s="3714"/>
      <c r="H623" s="3714"/>
      <c r="I623" s="3714"/>
      <c r="J623" s="3714"/>
      <c r="K623" s="3715"/>
      <c r="L623" s="3716"/>
      <c r="M623" s="3714"/>
      <c r="N623" s="3714"/>
      <c r="O623" s="3714"/>
      <c r="P623" s="3756"/>
      <c r="Q623" s="3714"/>
      <c r="R623" s="3714"/>
      <c r="S623" s="3714"/>
      <c r="T623" s="3714"/>
      <c r="U623" s="3714"/>
      <c r="V623" s="3714"/>
      <c r="W623" s="3714"/>
      <c r="X623" s="3714"/>
      <c r="Y623" s="3714"/>
      <c r="Z623" s="3714"/>
      <c r="AA623" s="3714"/>
      <c r="AB623" s="3714"/>
      <c r="AC623" s="3714"/>
    </row>
    <row r="624" spans="1:29">
      <c r="A624" s="3714"/>
      <c r="B624" s="3714"/>
      <c r="C624" s="3714"/>
      <c r="D624" s="3714"/>
      <c r="E624" s="3714"/>
      <c r="F624" s="3714"/>
      <c r="G624" s="3714"/>
      <c r="H624" s="3714"/>
      <c r="I624" s="3714"/>
      <c r="J624" s="3714"/>
      <c r="K624" s="3715"/>
      <c r="L624" s="3716"/>
      <c r="M624" s="3714"/>
      <c r="N624" s="3714"/>
      <c r="O624" s="3714"/>
      <c r="P624" s="3756"/>
      <c r="Q624" s="3714"/>
      <c r="R624" s="3714"/>
      <c r="S624" s="3714"/>
      <c r="T624" s="3714"/>
      <c r="U624" s="3714"/>
      <c r="V624" s="3714"/>
      <c r="W624" s="3714"/>
      <c r="X624" s="3714"/>
      <c r="Y624" s="3714"/>
      <c r="Z624" s="3714"/>
      <c r="AA624" s="3714"/>
      <c r="AB624" s="3714"/>
      <c r="AC624" s="3714"/>
    </row>
    <row r="625" spans="1:29">
      <c r="A625" s="3714"/>
      <c r="B625" s="3714"/>
      <c r="C625" s="3714"/>
      <c r="D625" s="3714"/>
      <c r="E625" s="3714"/>
      <c r="F625" s="3714"/>
      <c r="G625" s="3714"/>
      <c r="H625" s="3714"/>
      <c r="I625" s="3714"/>
      <c r="J625" s="3714"/>
      <c r="K625" s="3715"/>
      <c r="L625" s="3716"/>
      <c r="M625" s="3714"/>
      <c r="N625" s="3714"/>
      <c r="O625" s="3714"/>
      <c r="P625" s="3756"/>
      <c r="Q625" s="3714"/>
      <c r="R625" s="3714"/>
      <c r="S625" s="3714"/>
      <c r="T625" s="3714"/>
      <c r="U625" s="3714"/>
      <c r="V625" s="3714"/>
      <c r="W625" s="3714"/>
      <c r="X625" s="3714"/>
      <c r="Y625" s="3714"/>
      <c r="Z625" s="3714"/>
      <c r="AA625" s="3714"/>
      <c r="AB625" s="3714"/>
      <c r="AC625" s="3714"/>
    </row>
    <row r="626" spans="1:29">
      <c r="A626" s="3714"/>
      <c r="B626" s="3714"/>
      <c r="C626" s="3714"/>
      <c r="D626" s="3714"/>
      <c r="E626" s="3714"/>
      <c r="F626" s="3714"/>
      <c r="G626" s="3714"/>
      <c r="H626" s="3714"/>
      <c r="I626" s="3714"/>
      <c r="J626" s="3714"/>
      <c r="K626" s="3715"/>
      <c r="L626" s="3716"/>
      <c r="M626" s="3714"/>
      <c r="N626" s="3714"/>
      <c r="O626" s="3714"/>
      <c r="P626" s="3756"/>
      <c r="Q626" s="3714"/>
      <c r="R626" s="3714"/>
      <c r="S626" s="3714"/>
      <c r="T626" s="3714"/>
      <c r="U626" s="3714"/>
      <c r="V626" s="3714"/>
      <c r="W626" s="3714"/>
      <c r="X626" s="3714"/>
      <c r="Y626" s="3714"/>
      <c r="Z626" s="3714"/>
      <c r="AA626" s="3714"/>
      <c r="AB626" s="3714"/>
      <c r="AC626" s="3714"/>
    </row>
    <row r="627" spans="1:29">
      <c r="A627" s="3714"/>
      <c r="B627" s="3714"/>
      <c r="C627" s="3714"/>
      <c r="D627" s="3714"/>
      <c r="E627" s="3714"/>
      <c r="F627" s="3714"/>
      <c r="G627" s="3714"/>
      <c r="H627" s="3714"/>
      <c r="I627" s="3714"/>
      <c r="J627" s="3714"/>
      <c r="K627" s="3715"/>
      <c r="L627" s="3716"/>
      <c r="M627" s="3714"/>
      <c r="N627" s="3714"/>
      <c r="O627" s="3714"/>
      <c r="P627" s="3756"/>
      <c r="Q627" s="3714"/>
      <c r="R627" s="3714"/>
      <c r="S627" s="3714"/>
      <c r="T627" s="3714"/>
      <c r="U627" s="3714"/>
      <c r="V627" s="3714"/>
      <c r="W627" s="3714"/>
      <c r="X627" s="3714"/>
      <c r="Y627" s="3714"/>
      <c r="Z627" s="3714"/>
      <c r="AA627" s="3714"/>
      <c r="AB627" s="3714"/>
      <c r="AC627" s="3714"/>
    </row>
    <row r="628" spans="1:29">
      <c r="A628" s="3714"/>
      <c r="B628" s="3714"/>
      <c r="C628" s="3714"/>
      <c r="D628" s="3714"/>
      <c r="E628" s="3714"/>
      <c r="F628" s="3714"/>
      <c r="G628" s="3714"/>
      <c r="H628" s="3714"/>
      <c r="I628" s="3714"/>
      <c r="J628" s="3714"/>
      <c r="K628" s="3715"/>
      <c r="L628" s="3716"/>
      <c r="M628" s="3714"/>
      <c r="N628" s="3714"/>
      <c r="O628" s="3714"/>
      <c r="P628" s="3756"/>
      <c r="Q628" s="3714"/>
      <c r="R628" s="3714"/>
      <c r="S628" s="3714"/>
      <c r="T628" s="3714"/>
      <c r="U628" s="3714"/>
      <c r="V628" s="3714"/>
      <c r="W628" s="3714"/>
      <c r="X628" s="3714"/>
      <c r="Y628" s="3714"/>
      <c r="Z628" s="3714"/>
      <c r="AA628" s="3714"/>
      <c r="AB628" s="3714"/>
      <c r="AC628" s="3714"/>
    </row>
    <row r="629" spans="1:29">
      <c r="A629" s="3714"/>
      <c r="B629" s="3714"/>
      <c r="C629" s="3714"/>
      <c r="D629" s="3714"/>
      <c r="E629" s="3714"/>
      <c r="F629" s="3714"/>
      <c r="G629" s="3714"/>
      <c r="H629" s="3714"/>
      <c r="I629" s="3714"/>
      <c r="J629" s="3714"/>
      <c r="K629" s="3715"/>
      <c r="L629" s="3716"/>
      <c r="M629" s="3714"/>
      <c r="N629" s="3714"/>
      <c r="O629" s="3714"/>
      <c r="P629" s="3756"/>
      <c r="Q629" s="3714"/>
      <c r="R629" s="3714"/>
      <c r="S629" s="3714"/>
      <c r="T629" s="3714"/>
      <c r="U629" s="3714"/>
      <c r="V629" s="3714"/>
      <c r="W629" s="3714"/>
      <c r="X629" s="3714"/>
      <c r="Y629" s="3714"/>
      <c r="Z629" s="3714"/>
      <c r="AA629" s="3714"/>
      <c r="AB629" s="3714"/>
      <c r="AC629" s="3714"/>
    </row>
    <row r="630" spans="1:29">
      <c r="A630" s="3714"/>
      <c r="B630" s="3714"/>
      <c r="C630" s="3714"/>
      <c r="D630" s="3714"/>
      <c r="E630" s="3714"/>
      <c r="F630" s="3714"/>
      <c r="G630" s="3714"/>
      <c r="H630" s="3714"/>
      <c r="I630" s="3714"/>
      <c r="J630" s="3714"/>
      <c r="K630" s="3715"/>
      <c r="L630" s="3716"/>
      <c r="M630" s="3714"/>
      <c r="N630" s="3714"/>
      <c r="O630" s="3714"/>
      <c r="P630" s="3756"/>
      <c r="Q630" s="3714"/>
      <c r="R630" s="3714"/>
      <c r="S630" s="3714"/>
      <c r="T630" s="3714"/>
      <c r="U630" s="3714"/>
      <c r="V630" s="3714"/>
      <c r="W630" s="3714"/>
      <c r="X630" s="3714"/>
      <c r="Y630" s="3714"/>
      <c r="Z630" s="3714"/>
      <c r="AA630" s="3714"/>
      <c r="AB630" s="3714"/>
      <c r="AC630" s="3714"/>
    </row>
    <row r="631" spans="1:29">
      <c r="A631" s="3714"/>
      <c r="B631" s="3714"/>
      <c r="C631" s="3714"/>
      <c r="D631" s="3714"/>
      <c r="E631" s="3714"/>
      <c r="F631" s="3714"/>
      <c r="G631" s="3714"/>
      <c r="H631" s="3714"/>
      <c r="I631" s="3714"/>
      <c r="J631" s="3714"/>
      <c r="K631" s="3715"/>
      <c r="L631" s="3716"/>
      <c r="M631" s="3714"/>
      <c r="N631" s="3714"/>
      <c r="O631" s="3714"/>
      <c r="P631" s="3756"/>
      <c r="Q631" s="3714"/>
      <c r="R631" s="3714"/>
      <c r="S631" s="3714"/>
      <c r="T631" s="3714"/>
      <c r="U631" s="3714"/>
      <c r="V631" s="3714"/>
      <c r="W631" s="3714"/>
      <c r="X631" s="3714"/>
      <c r="Y631" s="3714"/>
      <c r="Z631" s="3714"/>
      <c r="AA631" s="3714"/>
      <c r="AB631" s="3714"/>
      <c r="AC631" s="3714"/>
    </row>
    <row r="632" spans="1:29">
      <c r="A632" s="3714"/>
      <c r="B632" s="3714"/>
      <c r="C632" s="3714"/>
      <c r="D632" s="3714"/>
      <c r="E632" s="3714"/>
      <c r="F632" s="3714"/>
      <c r="G632" s="3714"/>
      <c r="H632" s="3714"/>
      <c r="I632" s="3714"/>
      <c r="J632" s="3714"/>
      <c r="K632" s="3715"/>
      <c r="L632" s="3716"/>
      <c r="M632" s="3714"/>
      <c r="N632" s="3714"/>
      <c r="O632" s="3714"/>
      <c r="P632" s="3756"/>
      <c r="Q632" s="3714"/>
      <c r="R632" s="3714"/>
      <c r="S632" s="3714"/>
      <c r="T632" s="3714"/>
      <c r="U632" s="3714"/>
      <c r="V632" s="3714"/>
      <c r="W632" s="3714"/>
      <c r="X632" s="3714"/>
      <c r="Y632" s="3714"/>
      <c r="Z632" s="3714"/>
      <c r="AA632" s="3714"/>
      <c r="AB632" s="3714"/>
      <c r="AC632" s="3714"/>
    </row>
    <row r="633" spans="1:29">
      <c r="A633" s="3714"/>
      <c r="B633" s="3714"/>
      <c r="C633" s="3714"/>
      <c r="D633" s="3714"/>
      <c r="E633" s="3714"/>
      <c r="F633" s="3714"/>
      <c r="G633" s="3714"/>
      <c r="H633" s="3714"/>
      <c r="I633" s="3714"/>
      <c r="J633" s="3714"/>
      <c r="K633" s="3715"/>
      <c r="L633" s="3716"/>
      <c r="M633" s="3714"/>
      <c r="N633" s="3714"/>
      <c r="O633" s="3714"/>
      <c r="P633" s="3756"/>
      <c r="Q633" s="3714"/>
      <c r="R633" s="3714"/>
      <c r="S633" s="3714"/>
      <c r="T633" s="3714"/>
      <c r="U633" s="3714"/>
      <c r="V633" s="3714"/>
      <c r="W633" s="3714"/>
      <c r="X633" s="3714"/>
      <c r="Y633" s="3714"/>
      <c r="Z633" s="3714"/>
      <c r="AA633" s="3714"/>
      <c r="AB633" s="3714"/>
      <c r="AC633" s="3714"/>
    </row>
    <row r="634" spans="1:29">
      <c r="A634" s="3714"/>
      <c r="B634" s="3714"/>
      <c r="C634" s="3714"/>
      <c r="D634" s="3714"/>
      <c r="E634" s="3714"/>
      <c r="F634" s="3714"/>
      <c r="G634" s="3714"/>
      <c r="H634" s="3714"/>
      <c r="I634" s="3714"/>
      <c r="J634" s="3714"/>
      <c r="K634" s="3715"/>
      <c r="L634" s="3716"/>
      <c r="M634" s="3714"/>
      <c r="N634" s="3714"/>
      <c r="O634" s="3714"/>
      <c r="P634" s="3756"/>
      <c r="Q634" s="3714"/>
      <c r="R634" s="3714"/>
      <c r="S634" s="3714"/>
      <c r="T634" s="3714"/>
      <c r="U634" s="3714"/>
      <c r="V634" s="3714"/>
      <c r="W634" s="3714"/>
      <c r="X634" s="3714"/>
      <c r="Y634" s="3714"/>
      <c r="Z634" s="3714"/>
      <c r="AA634" s="3714"/>
      <c r="AB634" s="3714"/>
      <c r="AC634" s="3714"/>
    </row>
    <row r="635" spans="1:29">
      <c r="A635" s="3714"/>
      <c r="B635" s="3714"/>
      <c r="C635" s="3714"/>
      <c r="D635" s="3714"/>
      <c r="E635" s="3714"/>
      <c r="F635" s="3714"/>
      <c r="G635" s="3714"/>
      <c r="H635" s="3714"/>
      <c r="I635" s="3714"/>
      <c r="J635" s="3714"/>
      <c r="K635" s="3715"/>
      <c r="L635" s="3716"/>
      <c r="M635" s="3714"/>
      <c r="N635" s="3714"/>
      <c r="O635" s="3714"/>
      <c r="P635" s="3756"/>
      <c r="Q635" s="3714"/>
      <c r="R635" s="3714"/>
      <c r="S635" s="3714"/>
      <c r="T635" s="3714"/>
      <c r="U635" s="3714"/>
      <c r="V635" s="3714"/>
      <c r="W635" s="3714"/>
      <c r="X635" s="3714"/>
      <c r="Y635" s="3714"/>
      <c r="Z635" s="3714"/>
      <c r="AA635" s="3714"/>
      <c r="AB635" s="3714"/>
      <c r="AC635" s="3714"/>
    </row>
    <row r="636" spans="1:29">
      <c r="A636" s="3714"/>
      <c r="B636" s="3714"/>
      <c r="C636" s="3714"/>
      <c r="D636" s="3714"/>
      <c r="E636" s="3714"/>
      <c r="F636" s="3714"/>
      <c r="G636" s="3714"/>
      <c r="H636" s="3714"/>
      <c r="I636" s="3714"/>
      <c r="J636" s="3714"/>
      <c r="K636" s="3715"/>
      <c r="L636" s="3716"/>
      <c r="M636" s="3714"/>
      <c r="N636" s="3714"/>
      <c r="O636" s="3714"/>
      <c r="P636" s="3756"/>
      <c r="Q636" s="3714"/>
      <c r="R636" s="3714"/>
      <c r="S636" s="3714"/>
      <c r="T636" s="3714"/>
      <c r="U636" s="3714"/>
      <c r="V636" s="3714"/>
      <c r="W636" s="3714"/>
      <c r="X636" s="3714"/>
      <c r="Y636" s="3714"/>
      <c r="Z636" s="3714"/>
      <c r="AA636" s="3714"/>
      <c r="AB636" s="3714"/>
      <c r="AC636" s="3714"/>
    </row>
    <row r="637" spans="1:29">
      <c r="A637" s="3714"/>
      <c r="B637" s="3714"/>
      <c r="C637" s="3714"/>
      <c r="D637" s="3714"/>
      <c r="E637" s="3714"/>
      <c r="F637" s="3714"/>
      <c r="G637" s="3714"/>
      <c r="H637" s="3714"/>
      <c r="I637" s="3714"/>
      <c r="J637" s="3714"/>
      <c r="K637" s="3715"/>
      <c r="L637" s="3716"/>
      <c r="M637" s="3714"/>
      <c r="N637" s="3714"/>
      <c r="O637" s="3714"/>
      <c r="P637" s="3756"/>
      <c r="Q637" s="3714"/>
      <c r="R637" s="3714"/>
      <c r="S637" s="3714"/>
      <c r="T637" s="3714"/>
      <c r="U637" s="3714"/>
      <c r="V637" s="3714"/>
      <c r="W637" s="3714"/>
      <c r="X637" s="3714"/>
      <c r="Y637" s="3714"/>
      <c r="Z637" s="3714"/>
      <c r="AA637" s="3714"/>
      <c r="AB637" s="3714"/>
      <c r="AC637" s="3714"/>
    </row>
    <row r="638" spans="1:29">
      <c r="A638" s="3714"/>
      <c r="B638" s="3714"/>
      <c r="C638" s="3714"/>
      <c r="D638" s="3714"/>
      <c r="E638" s="3714"/>
      <c r="F638" s="3714"/>
      <c r="G638" s="3714"/>
      <c r="H638" s="3714"/>
      <c r="I638" s="3714"/>
      <c r="J638" s="3714"/>
      <c r="K638" s="3715"/>
      <c r="L638" s="3716"/>
      <c r="M638" s="3714"/>
      <c r="N638" s="3714"/>
      <c r="O638" s="3714"/>
      <c r="P638" s="3756"/>
      <c r="Q638" s="3714"/>
      <c r="R638" s="3714"/>
      <c r="S638" s="3714"/>
      <c r="T638" s="3714"/>
      <c r="U638" s="3714"/>
      <c r="V638" s="3714"/>
      <c r="W638" s="3714"/>
      <c r="X638" s="3714"/>
      <c r="Y638" s="3714"/>
      <c r="Z638" s="3714"/>
      <c r="AA638" s="3714"/>
      <c r="AB638" s="3714"/>
      <c r="AC638" s="3714"/>
    </row>
    <row r="639" spans="1:29">
      <c r="A639" s="3714"/>
      <c r="B639" s="3714"/>
      <c r="C639" s="3714"/>
      <c r="D639" s="3714"/>
      <c r="E639" s="3714"/>
      <c r="F639" s="3714"/>
      <c r="G639" s="3714"/>
      <c r="H639" s="3714"/>
      <c r="I639" s="3714"/>
      <c r="J639" s="3714"/>
      <c r="K639" s="3715"/>
      <c r="L639" s="3716"/>
      <c r="M639" s="3714"/>
      <c r="N639" s="3714"/>
      <c r="O639" s="3714"/>
      <c r="P639" s="3756"/>
      <c r="Q639" s="3714"/>
      <c r="R639" s="3714"/>
      <c r="S639" s="3714"/>
      <c r="T639" s="3714"/>
      <c r="U639" s="3714"/>
      <c r="V639" s="3714"/>
      <c r="W639" s="3714"/>
      <c r="X639" s="3714"/>
      <c r="Y639" s="3714"/>
      <c r="Z639" s="3714"/>
      <c r="AA639" s="3714"/>
      <c r="AB639" s="3714"/>
      <c r="AC639" s="3714"/>
    </row>
    <row r="640" spans="1:29">
      <c r="A640" s="3714"/>
      <c r="B640" s="3714"/>
      <c r="C640" s="3714"/>
      <c r="D640" s="3714"/>
      <c r="E640" s="3714"/>
      <c r="F640" s="3714"/>
      <c r="G640" s="3714"/>
      <c r="H640" s="3714"/>
      <c r="I640" s="3714"/>
      <c r="J640" s="3714"/>
      <c r="K640" s="3715"/>
      <c r="L640" s="3716"/>
      <c r="M640" s="3714"/>
      <c r="N640" s="3714"/>
      <c r="O640" s="3714"/>
      <c r="P640" s="3756"/>
      <c r="Q640" s="3714"/>
      <c r="R640" s="3714"/>
      <c r="S640" s="3714"/>
      <c r="T640" s="3714"/>
      <c r="U640" s="3714"/>
      <c r="V640" s="3714"/>
      <c r="W640" s="3714"/>
      <c r="X640" s="3714"/>
      <c r="Y640" s="3714"/>
      <c r="Z640" s="3714"/>
      <c r="AA640" s="3714"/>
      <c r="AB640" s="3714"/>
      <c r="AC640" s="3714"/>
    </row>
    <row r="641" spans="1:29">
      <c r="A641" s="3714"/>
      <c r="B641" s="3714"/>
      <c r="C641" s="3714"/>
      <c r="D641" s="3714"/>
      <c r="E641" s="3714"/>
      <c r="F641" s="3714"/>
      <c r="G641" s="3714"/>
      <c r="H641" s="3714"/>
      <c r="I641" s="3714"/>
      <c r="J641" s="3714"/>
      <c r="K641" s="3715"/>
      <c r="L641" s="3716"/>
      <c r="M641" s="3714"/>
      <c r="N641" s="3714"/>
      <c r="O641" s="3714"/>
      <c r="P641" s="3756"/>
      <c r="Q641" s="3714"/>
      <c r="R641" s="3714"/>
      <c r="S641" s="3714"/>
      <c r="T641" s="3714"/>
      <c r="U641" s="3714"/>
      <c r="V641" s="3714"/>
      <c r="W641" s="3714"/>
      <c r="X641" s="3714"/>
      <c r="Y641" s="3714"/>
      <c r="Z641" s="3714"/>
      <c r="AA641" s="3714"/>
      <c r="AB641" s="3714"/>
      <c r="AC641" s="3714"/>
    </row>
    <row r="642" spans="1:29">
      <c r="A642" s="3714"/>
      <c r="B642" s="3714"/>
      <c r="C642" s="3714"/>
      <c r="D642" s="3714"/>
      <c r="E642" s="3714"/>
      <c r="F642" s="3714"/>
      <c r="G642" s="3714"/>
      <c r="H642" s="3714"/>
      <c r="I642" s="3714"/>
      <c r="J642" s="3714"/>
      <c r="K642" s="3715"/>
      <c r="L642" s="3716"/>
      <c r="M642" s="3714"/>
      <c r="N642" s="3714"/>
      <c r="O642" s="3714"/>
      <c r="P642" s="3756"/>
      <c r="Q642" s="3714"/>
      <c r="R642" s="3714"/>
      <c r="S642" s="3714"/>
      <c r="T642" s="3714"/>
      <c r="U642" s="3714"/>
      <c r="V642" s="3714"/>
      <c r="W642" s="3714"/>
      <c r="X642" s="3714"/>
      <c r="Y642" s="3714"/>
      <c r="Z642" s="3714"/>
      <c r="AA642" s="3714"/>
      <c r="AB642" s="3714"/>
      <c r="AC642" s="3714"/>
    </row>
    <row r="643" spans="1:29">
      <c r="A643" s="3714"/>
      <c r="B643" s="3714"/>
      <c r="C643" s="3714"/>
      <c r="D643" s="3714"/>
      <c r="E643" s="3714"/>
      <c r="F643" s="3714"/>
      <c r="G643" s="3714"/>
      <c r="H643" s="3714"/>
      <c r="I643" s="3714"/>
      <c r="J643" s="3714"/>
      <c r="K643" s="3715"/>
      <c r="L643" s="3716"/>
      <c r="M643" s="3714"/>
      <c r="N643" s="3714"/>
      <c r="O643" s="3714"/>
      <c r="P643" s="3756"/>
      <c r="Q643" s="3714"/>
      <c r="R643" s="3714"/>
      <c r="S643" s="3714"/>
      <c r="T643" s="3714"/>
      <c r="U643" s="3714"/>
      <c r="V643" s="3714"/>
      <c r="W643" s="3714"/>
      <c r="X643" s="3714"/>
      <c r="Y643" s="3714"/>
      <c r="Z643" s="3714"/>
      <c r="AA643" s="3714"/>
      <c r="AB643" s="3714"/>
      <c r="AC643" s="3714"/>
    </row>
    <row r="644" spans="1:29">
      <c r="A644" s="3714"/>
      <c r="B644" s="3714"/>
      <c r="C644" s="3714"/>
      <c r="D644" s="3714"/>
      <c r="E644" s="3714"/>
      <c r="F644" s="3714"/>
      <c r="G644" s="3714"/>
      <c r="H644" s="3714"/>
      <c r="I644" s="3714"/>
      <c r="J644" s="3714"/>
      <c r="K644" s="3715"/>
      <c r="L644" s="3716"/>
      <c r="M644" s="3714"/>
      <c r="N644" s="3714"/>
      <c r="O644" s="3714"/>
      <c r="P644" s="3756"/>
      <c r="Q644" s="3714"/>
      <c r="R644" s="3714"/>
      <c r="S644" s="3714"/>
      <c r="T644" s="3714"/>
      <c r="U644" s="3714"/>
      <c r="V644" s="3714"/>
      <c r="W644" s="3714"/>
      <c r="X644" s="3714"/>
      <c r="Y644" s="3714"/>
      <c r="Z644" s="3714"/>
      <c r="AA644" s="3714"/>
      <c r="AB644" s="3714"/>
      <c r="AC644" s="3714"/>
    </row>
    <row r="645" spans="1:29">
      <c r="A645" s="3714"/>
      <c r="B645" s="3714"/>
      <c r="C645" s="3714"/>
      <c r="D645" s="3714"/>
      <c r="E645" s="3714"/>
      <c r="F645" s="3714"/>
      <c r="G645" s="3714"/>
      <c r="H645" s="3714"/>
      <c r="I645" s="3714"/>
      <c r="J645" s="3714"/>
      <c r="K645" s="3715"/>
      <c r="L645" s="3716"/>
      <c r="M645" s="3714"/>
      <c r="N645" s="3714"/>
      <c r="O645" s="3714"/>
      <c r="P645" s="3756"/>
      <c r="Q645" s="3714"/>
      <c r="R645" s="3714"/>
      <c r="S645" s="3714"/>
      <c r="T645" s="3714"/>
      <c r="U645" s="3714"/>
      <c r="V645" s="3714"/>
      <c r="W645" s="3714"/>
      <c r="X645" s="3714"/>
      <c r="Y645" s="3714"/>
      <c r="Z645" s="3714"/>
      <c r="AA645" s="3714"/>
      <c r="AB645" s="3714"/>
      <c r="AC645" s="3714"/>
    </row>
    <row r="646" spans="1:29">
      <c r="A646" s="3714"/>
      <c r="B646" s="3714"/>
      <c r="C646" s="3714"/>
      <c r="D646" s="3714"/>
      <c r="E646" s="3714"/>
      <c r="F646" s="3714"/>
      <c r="G646" s="3714"/>
      <c r="H646" s="3714"/>
      <c r="I646" s="3714"/>
      <c r="J646" s="3714"/>
      <c r="K646" s="3715"/>
      <c r="L646" s="3716"/>
      <c r="M646" s="3714"/>
      <c r="N646" s="3714"/>
      <c r="O646" s="3714"/>
      <c r="P646" s="3756"/>
      <c r="Q646" s="3714"/>
      <c r="R646" s="3714"/>
      <c r="S646" s="3714"/>
      <c r="T646" s="3714"/>
      <c r="U646" s="3714"/>
      <c r="V646" s="3714"/>
      <c r="W646" s="3714"/>
      <c r="X646" s="3714"/>
      <c r="Y646" s="3714"/>
      <c r="Z646" s="3714"/>
      <c r="AA646" s="3714"/>
      <c r="AB646" s="3714"/>
      <c r="AC646" s="3714"/>
    </row>
    <row r="647" spans="1:29">
      <c r="A647" s="3714"/>
      <c r="B647" s="3714"/>
      <c r="C647" s="3714"/>
      <c r="D647" s="3714"/>
      <c r="E647" s="3714"/>
      <c r="F647" s="3714"/>
      <c r="G647" s="3714"/>
      <c r="H647" s="3714"/>
      <c r="I647" s="3714"/>
      <c r="J647" s="3714"/>
      <c r="K647" s="3715"/>
      <c r="L647" s="3716"/>
      <c r="M647" s="3714"/>
      <c r="N647" s="3714"/>
      <c r="O647" s="3714"/>
      <c r="P647" s="3756"/>
      <c r="Q647" s="3714"/>
      <c r="R647" s="3714"/>
      <c r="S647" s="3714"/>
      <c r="T647" s="3714"/>
      <c r="U647" s="3714"/>
      <c r="V647" s="3714"/>
      <c r="W647" s="3714"/>
      <c r="X647" s="3714"/>
      <c r="Y647" s="3714"/>
      <c r="Z647" s="3714"/>
      <c r="AA647" s="3714"/>
      <c r="AB647" s="3714"/>
      <c r="AC647" s="3714"/>
    </row>
    <row r="648" spans="1:29">
      <c r="A648" s="3714"/>
      <c r="B648" s="3714"/>
      <c r="C648" s="3714"/>
      <c r="D648" s="3714"/>
      <c r="E648" s="3714"/>
      <c r="F648" s="3714"/>
      <c r="G648" s="3714"/>
      <c r="H648" s="3714"/>
      <c r="I648" s="3714"/>
      <c r="J648" s="3714"/>
      <c r="K648" s="3715"/>
      <c r="L648" s="3716"/>
      <c r="M648" s="3714"/>
      <c r="N648" s="3714"/>
      <c r="O648" s="3714"/>
      <c r="P648" s="3756"/>
      <c r="Q648" s="3714"/>
      <c r="R648" s="3714"/>
      <c r="S648" s="3714"/>
      <c r="T648" s="3714"/>
      <c r="U648" s="3714"/>
      <c r="V648" s="3714"/>
      <c r="W648" s="3714"/>
      <c r="X648" s="3714"/>
      <c r="Y648" s="3714"/>
      <c r="Z648" s="3714"/>
      <c r="AA648" s="3714"/>
      <c r="AB648" s="3714"/>
      <c r="AC648" s="3714"/>
    </row>
    <row r="649" spans="1:29">
      <c r="A649" s="3714"/>
      <c r="B649" s="3714"/>
      <c r="C649" s="3714"/>
      <c r="D649" s="3714"/>
      <c r="E649" s="3714"/>
      <c r="F649" s="3714"/>
      <c r="G649" s="3714"/>
      <c r="H649" s="3714"/>
      <c r="I649" s="3714"/>
      <c r="J649" s="3714"/>
      <c r="K649" s="3715"/>
      <c r="L649" s="3716"/>
      <c r="M649" s="3714"/>
      <c r="N649" s="3714"/>
      <c r="O649" s="3714"/>
      <c r="P649" s="3756"/>
      <c r="Q649" s="3714"/>
      <c r="R649" s="3714"/>
      <c r="S649" s="3714"/>
      <c r="T649" s="3714"/>
      <c r="U649" s="3714"/>
      <c r="V649" s="3714"/>
      <c r="W649" s="3714"/>
      <c r="X649" s="3714"/>
      <c r="Y649" s="3714"/>
      <c r="Z649" s="3714"/>
      <c r="AA649" s="3714"/>
      <c r="AB649" s="3714"/>
      <c r="AC649" s="3714"/>
    </row>
    <row r="650" spans="1:29">
      <c r="A650" s="3714"/>
      <c r="B650" s="3714"/>
      <c r="C650" s="3714"/>
      <c r="D650" s="3714"/>
      <c r="E650" s="3714"/>
      <c r="F650" s="3714"/>
      <c r="G650" s="3714"/>
      <c r="H650" s="3714"/>
      <c r="I650" s="3714"/>
      <c r="J650" s="3714"/>
      <c r="K650" s="3715"/>
      <c r="L650" s="3716"/>
      <c r="M650" s="3714"/>
      <c r="N650" s="3714"/>
      <c r="O650" s="3714"/>
      <c r="P650" s="3756"/>
      <c r="Q650" s="3714"/>
      <c r="R650" s="3714"/>
      <c r="S650" s="3714"/>
      <c r="T650" s="3714"/>
      <c r="U650" s="3714"/>
      <c r="V650" s="3714"/>
      <c r="W650" s="3714"/>
      <c r="X650" s="3714"/>
      <c r="Y650" s="3714"/>
      <c r="Z650" s="3714"/>
      <c r="AA650" s="3714"/>
      <c r="AB650" s="3714"/>
      <c r="AC650" s="3714"/>
    </row>
    <row r="651" spans="1:29">
      <c r="A651" s="3714"/>
      <c r="B651" s="3714"/>
      <c r="C651" s="3714"/>
      <c r="D651" s="3714"/>
      <c r="E651" s="3714"/>
      <c r="F651" s="3714"/>
      <c r="G651" s="3714"/>
      <c r="H651" s="3714"/>
      <c r="I651" s="3714"/>
      <c r="J651" s="3714"/>
      <c r="K651" s="3715"/>
      <c r="L651" s="3716"/>
      <c r="M651" s="3714"/>
      <c r="N651" s="3714"/>
      <c r="O651" s="3714"/>
      <c r="P651" s="3756"/>
      <c r="Q651" s="3714"/>
      <c r="R651" s="3714"/>
      <c r="S651" s="3714"/>
      <c r="T651" s="3714"/>
      <c r="U651" s="3714"/>
      <c r="V651" s="3714"/>
      <c r="W651" s="3714"/>
      <c r="X651" s="3714"/>
      <c r="Y651" s="3714"/>
      <c r="Z651" s="3714"/>
      <c r="AA651" s="3714"/>
      <c r="AB651" s="3714"/>
      <c r="AC651" s="3714"/>
    </row>
    <row r="652" spans="1:29">
      <c r="A652" s="3714"/>
      <c r="B652" s="3714"/>
      <c r="C652" s="3714"/>
      <c r="D652" s="3714"/>
      <c r="E652" s="3714"/>
      <c r="F652" s="3714"/>
      <c r="G652" s="3714"/>
      <c r="H652" s="3714"/>
      <c r="I652" s="3714"/>
      <c r="J652" s="3714"/>
      <c r="K652" s="3715"/>
      <c r="L652" s="3716"/>
      <c r="M652" s="3714"/>
      <c r="N652" s="3714"/>
      <c r="O652" s="3714"/>
      <c r="P652" s="3756"/>
      <c r="Q652" s="3714"/>
      <c r="R652" s="3714"/>
      <c r="S652" s="3714"/>
      <c r="T652" s="3714"/>
      <c r="U652" s="3714"/>
      <c r="V652" s="3714"/>
      <c r="W652" s="3714"/>
      <c r="X652" s="3714"/>
      <c r="Y652" s="3714"/>
      <c r="Z652" s="3714"/>
      <c r="AA652" s="3714"/>
      <c r="AB652" s="3714"/>
      <c r="AC652" s="3714"/>
    </row>
    <row r="653" spans="1:29">
      <c r="A653" s="3714"/>
      <c r="B653" s="3714"/>
      <c r="C653" s="3714"/>
      <c r="D653" s="3714"/>
      <c r="E653" s="3714"/>
      <c r="F653" s="3714"/>
      <c r="G653" s="3714"/>
      <c r="H653" s="3714"/>
      <c r="I653" s="3714"/>
      <c r="J653" s="3714"/>
      <c r="K653" s="3715"/>
      <c r="L653" s="3716"/>
      <c r="M653" s="3714"/>
      <c r="N653" s="3714"/>
      <c r="O653" s="3714"/>
      <c r="P653" s="3756"/>
      <c r="Q653" s="3714"/>
      <c r="R653" s="3714"/>
      <c r="S653" s="3714"/>
      <c r="T653" s="3714"/>
      <c r="U653" s="3714"/>
      <c r="V653" s="3714"/>
      <c r="W653" s="3714"/>
      <c r="X653" s="3714"/>
      <c r="Y653" s="3714"/>
      <c r="Z653" s="3714"/>
      <c r="AA653" s="3714"/>
      <c r="AB653" s="3714"/>
      <c r="AC653" s="3714"/>
    </row>
    <row r="654" spans="1:29">
      <c r="A654" s="3714"/>
      <c r="B654" s="3714"/>
      <c r="C654" s="3714"/>
      <c r="D654" s="3714"/>
      <c r="E654" s="3714"/>
      <c r="F654" s="3714"/>
      <c r="G654" s="3714"/>
      <c r="H654" s="3714"/>
      <c r="I654" s="3714"/>
      <c r="J654" s="3714"/>
      <c r="K654" s="3715"/>
      <c r="L654" s="3716"/>
      <c r="M654" s="3714"/>
      <c r="N654" s="3714"/>
      <c r="O654" s="3714"/>
      <c r="P654" s="3756"/>
      <c r="Q654" s="3714"/>
      <c r="R654" s="3714"/>
      <c r="S654" s="3714"/>
      <c r="T654" s="3714"/>
      <c r="U654" s="3714"/>
      <c r="V654" s="3714"/>
      <c r="W654" s="3714"/>
      <c r="X654" s="3714"/>
      <c r="Y654" s="3714"/>
      <c r="Z654" s="3714"/>
      <c r="AA654" s="3714"/>
      <c r="AB654" s="3714"/>
      <c r="AC654" s="3714"/>
    </row>
    <row r="655" spans="1:29">
      <c r="A655" s="3714"/>
      <c r="B655" s="3714"/>
      <c r="C655" s="3714"/>
      <c r="D655" s="3714"/>
      <c r="E655" s="3714"/>
      <c r="F655" s="3714"/>
      <c r="G655" s="3714"/>
      <c r="H655" s="3714"/>
      <c r="I655" s="3714"/>
      <c r="J655" s="3714"/>
      <c r="K655" s="3715"/>
      <c r="L655" s="3716"/>
      <c r="M655" s="3714"/>
      <c r="N655" s="3714"/>
      <c r="O655" s="3714"/>
      <c r="P655" s="3756"/>
      <c r="Q655" s="3714"/>
      <c r="R655" s="3714"/>
      <c r="S655" s="3714"/>
      <c r="T655" s="3714"/>
      <c r="U655" s="3714"/>
      <c r="V655" s="3714"/>
      <c r="W655" s="3714"/>
      <c r="X655" s="3714"/>
      <c r="Y655" s="3714"/>
      <c r="Z655" s="3714"/>
      <c r="AA655" s="3714"/>
      <c r="AB655" s="3714"/>
      <c r="AC655" s="3714"/>
    </row>
    <row r="656" spans="1:29">
      <c r="A656" s="3714"/>
      <c r="B656" s="3714"/>
      <c r="C656" s="3714"/>
      <c r="D656" s="3714"/>
      <c r="E656" s="3714"/>
      <c r="F656" s="3714"/>
      <c r="G656" s="3714"/>
      <c r="H656" s="3714"/>
      <c r="I656" s="3714"/>
      <c r="J656" s="3714"/>
      <c r="K656" s="3715"/>
      <c r="L656" s="3716"/>
      <c r="M656" s="3714"/>
      <c r="N656" s="3714"/>
      <c r="O656" s="3714"/>
      <c r="P656" s="3756"/>
      <c r="Q656" s="3714"/>
      <c r="R656" s="3714"/>
      <c r="S656" s="3714"/>
      <c r="T656" s="3714"/>
      <c r="U656" s="3714"/>
      <c r="V656" s="3714"/>
      <c r="W656" s="3714"/>
      <c r="X656" s="3714"/>
      <c r="Y656" s="3714"/>
      <c r="Z656" s="3714"/>
      <c r="AA656" s="3714"/>
      <c r="AB656" s="3714"/>
      <c r="AC656" s="3714"/>
    </row>
    <row r="657" spans="1:29">
      <c r="A657" s="3714"/>
      <c r="B657" s="3714"/>
      <c r="C657" s="3714"/>
      <c r="D657" s="3714"/>
      <c r="E657" s="3714"/>
      <c r="F657" s="3714"/>
      <c r="G657" s="3714"/>
      <c r="H657" s="3714"/>
      <c r="I657" s="3714"/>
      <c r="J657" s="3714"/>
      <c r="K657" s="3715"/>
      <c r="L657" s="3716"/>
      <c r="M657" s="3714"/>
      <c r="N657" s="3714"/>
      <c r="O657" s="3714"/>
      <c r="P657" s="3756"/>
      <c r="Q657" s="3714"/>
      <c r="R657" s="3714"/>
      <c r="S657" s="3714"/>
      <c r="T657" s="3714"/>
      <c r="U657" s="3714"/>
      <c r="V657" s="3714"/>
      <c r="W657" s="3714"/>
      <c r="X657" s="3714"/>
      <c r="Y657" s="3714"/>
      <c r="Z657" s="3714"/>
      <c r="AA657" s="3714"/>
      <c r="AB657" s="3714"/>
      <c r="AC657" s="3714"/>
    </row>
    <row r="658" spans="1:29">
      <c r="A658" s="3714"/>
      <c r="B658" s="3714"/>
      <c r="C658" s="3714"/>
      <c r="D658" s="3714"/>
      <c r="E658" s="3714"/>
      <c r="F658" s="3714"/>
      <c r="G658" s="3714"/>
      <c r="H658" s="3714"/>
      <c r="I658" s="3714"/>
      <c r="J658" s="3714"/>
      <c r="K658" s="3715"/>
      <c r="L658" s="3716"/>
      <c r="M658" s="3714"/>
      <c r="N658" s="3714"/>
      <c r="O658" s="3714"/>
      <c r="P658" s="3756"/>
      <c r="Q658" s="3714"/>
      <c r="R658" s="3714"/>
      <c r="S658" s="3714"/>
      <c r="T658" s="3714"/>
      <c r="U658" s="3714"/>
      <c r="V658" s="3714"/>
      <c r="W658" s="3714"/>
      <c r="X658" s="3714"/>
      <c r="Y658" s="3714"/>
      <c r="Z658" s="3714"/>
      <c r="AA658" s="3714"/>
      <c r="AB658" s="3714"/>
      <c r="AC658" s="3714"/>
    </row>
    <row r="659" spans="1:29">
      <c r="A659" s="3714"/>
      <c r="B659" s="3714"/>
      <c r="C659" s="3714"/>
      <c r="D659" s="3714"/>
      <c r="E659" s="3714"/>
      <c r="F659" s="3714"/>
      <c r="G659" s="3714"/>
      <c r="H659" s="3714"/>
      <c r="I659" s="3714"/>
      <c r="J659" s="3714"/>
      <c r="K659" s="3715"/>
      <c r="L659" s="3716"/>
      <c r="M659" s="3714"/>
      <c r="N659" s="3714"/>
      <c r="O659" s="3714"/>
      <c r="P659" s="3756"/>
      <c r="Q659" s="3714"/>
      <c r="R659" s="3714"/>
      <c r="S659" s="3714"/>
      <c r="T659" s="3714"/>
      <c r="U659" s="3714"/>
      <c r="V659" s="3714"/>
      <c r="W659" s="3714"/>
      <c r="X659" s="3714"/>
      <c r="Y659" s="3714"/>
      <c r="Z659" s="3714"/>
      <c r="AA659" s="3714"/>
      <c r="AB659" s="3714"/>
      <c r="AC659" s="3714"/>
    </row>
    <row r="660" spans="1:29">
      <c r="A660" s="3714"/>
      <c r="B660" s="3714"/>
      <c r="C660" s="3714"/>
      <c r="D660" s="3714"/>
      <c r="E660" s="3714"/>
      <c r="F660" s="3714"/>
      <c r="G660" s="3714"/>
      <c r="H660" s="3714"/>
      <c r="I660" s="3714"/>
      <c r="J660" s="3714"/>
      <c r="K660" s="3715"/>
      <c r="L660" s="3716"/>
      <c r="M660" s="3714"/>
      <c r="N660" s="3714"/>
      <c r="O660" s="3714"/>
      <c r="P660" s="3756"/>
      <c r="Q660" s="3714"/>
      <c r="R660" s="3714"/>
      <c r="S660" s="3714"/>
      <c r="T660" s="3714"/>
      <c r="U660" s="3714"/>
      <c r="V660" s="3714"/>
      <c r="W660" s="3714"/>
      <c r="X660" s="3714"/>
      <c r="Y660" s="3714"/>
      <c r="Z660" s="3714"/>
      <c r="AA660" s="3714"/>
      <c r="AB660" s="3714"/>
      <c r="AC660" s="3714"/>
    </row>
    <row r="661" spans="1:29">
      <c r="A661" s="3714"/>
      <c r="B661" s="3714"/>
      <c r="C661" s="3714"/>
      <c r="D661" s="3714"/>
      <c r="E661" s="3714"/>
      <c r="F661" s="3714"/>
      <c r="G661" s="3714"/>
      <c r="H661" s="3714"/>
      <c r="I661" s="3714"/>
      <c r="J661" s="3714"/>
      <c r="K661" s="3715"/>
      <c r="L661" s="3716"/>
      <c r="M661" s="3714"/>
      <c r="N661" s="3714"/>
      <c r="O661" s="3714"/>
      <c r="P661" s="3756"/>
      <c r="Q661" s="3714"/>
      <c r="R661" s="3714"/>
      <c r="S661" s="3714"/>
      <c r="T661" s="3714"/>
      <c r="U661" s="3714"/>
      <c r="V661" s="3714"/>
      <c r="W661" s="3714"/>
      <c r="X661" s="3714"/>
      <c r="Y661" s="3714"/>
      <c r="Z661" s="3714"/>
      <c r="AA661" s="3714"/>
      <c r="AB661" s="3714"/>
      <c r="AC661" s="3714"/>
    </row>
    <row r="662" spans="1:29">
      <c r="A662" s="3714"/>
      <c r="B662" s="3714"/>
      <c r="C662" s="3714"/>
      <c r="D662" s="3714"/>
      <c r="E662" s="3714"/>
      <c r="F662" s="3714"/>
      <c r="G662" s="3714"/>
      <c r="H662" s="3714"/>
      <c r="I662" s="3714"/>
      <c r="J662" s="3714"/>
      <c r="K662" s="3715"/>
      <c r="L662" s="3716"/>
      <c r="M662" s="3714"/>
      <c r="N662" s="3714"/>
      <c r="O662" s="3714"/>
      <c r="P662" s="3756"/>
      <c r="Q662" s="3714"/>
      <c r="R662" s="3714"/>
      <c r="S662" s="3714"/>
      <c r="T662" s="3714"/>
      <c r="U662" s="3714"/>
      <c r="V662" s="3714"/>
      <c r="W662" s="3714"/>
      <c r="X662" s="3714"/>
      <c r="Y662" s="3714"/>
      <c r="Z662" s="3714"/>
      <c r="AA662" s="3714"/>
      <c r="AB662" s="3714"/>
      <c r="AC662" s="3714"/>
    </row>
    <row r="663" spans="1:29">
      <c r="A663" s="3714"/>
      <c r="B663" s="3714"/>
      <c r="C663" s="3714"/>
      <c r="D663" s="3714"/>
      <c r="E663" s="3714"/>
      <c r="F663" s="3714"/>
      <c r="G663" s="3714"/>
      <c r="H663" s="3714"/>
      <c r="I663" s="3714"/>
      <c r="J663" s="3714"/>
      <c r="K663" s="3715"/>
      <c r="L663" s="3716"/>
      <c r="M663" s="3714"/>
      <c r="N663" s="3714"/>
      <c r="O663" s="3714"/>
      <c r="P663" s="3756"/>
      <c r="Q663" s="3714"/>
      <c r="R663" s="3714"/>
      <c r="S663" s="3714"/>
      <c r="T663" s="3714"/>
      <c r="U663" s="3714"/>
      <c r="V663" s="3714"/>
      <c r="W663" s="3714"/>
      <c r="X663" s="3714"/>
      <c r="Y663" s="3714"/>
      <c r="Z663" s="3714"/>
      <c r="AA663" s="3714"/>
      <c r="AB663" s="3714"/>
      <c r="AC663" s="3714"/>
    </row>
    <row r="664" spans="1:29">
      <c r="A664" s="3714"/>
      <c r="B664" s="3714"/>
      <c r="C664" s="3714"/>
      <c r="D664" s="3714"/>
      <c r="E664" s="3714"/>
      <c r="F664" s="3714"/>
      <c r="G664" s="3714"/>
      <c r="H664" s="3714"/>
      <c r="I664" s="3714"/>
      <c r="J664" s="3714"/>
      <c r="K664" s="3715"/>
      <c r="L664" s="3716"/>
      <c r="M664" s="3714"/>
      <c r="N664" s="3714"/>
      <c r="O664" s="3714"/>
      <c r="P664" s="3756"/>
      <c r="Q664" s="3714"/>
      <c r="R664" s="3714"/>
      <c r="S664" s="3714"/>
      <c r="T664" s="3714"/>
      <c r="U664" s="3714"/>
      <c r="V664" s="3714"/>
      <c r="W664" s="3714"/>
      <c r="X664" s="3714"/>
      <c r="Y664" s="3714"/>
      <c r="Z664" s="3714"/>
      <c r="AA664" s="3714"/>
      <c r="AB664" s="3714"/>
      <c r="AC664" s="3714"/>
    </row>
    <row r="665" spans="1:29">
      <c r="A665" s="3714"/>
      <c r="B665" s="3714"/>
      <c r="C665" s="3714"/>
      <c r="D665" s="3714"/>
      <c r="E665" s="3714"/>
      <c r="F665" s="3714"/>
      <c r="G665" s="3714"/>
      <c r="H665" s="3714"/>
      <c r="I665" s="3714"/>
      <c r="J665" s="3714"/>
      <c r="K665" s="3715"/>
      <c r="L665" s="3716"/>
      <c r="M665" s="3714"/>
      <c r="N665" s="3714"/>
      <c r="O665" s="3714"/>
      <c r="P665" s="3756"/>
      <c r="Q665" s="3714"/>
      <c r="R665" s="3714"/>
      <c r="S665" s="3714"/>
      <c r="T665" s="3714"/>
      <c r="U665" s="3714"/>
      <c r="V665" s="3714"/>
      <c r="W665" s="3714"/>
      <c r="X665" s="3714"/>
      <c r="Y665" s="3714"/>
      <c r="Z665" s="3714"/>
      <c r="AA665" s="3714"/>
      <c r="AB665" s="3714"/>
      <c r="AC665" s="3714"/>
    </row>
    <row r="666" spans="1:29">
      <c r="A666" s="3714"/>
      <c r="B666" s="3714"/>
      <c r="C666" s="3714"/>
      <c r="D666" s="3714"/>
      <c r="E666" s="3714"/>
      <c r="F666" s="3714"/>
      <c r="G666" s="3714"/>
      <c r="H666" s="3714"/>
      <c r="I666" s="3714"/>
      <c r="J666" s="3714"/>
      <c r="K666" s="3715"/>
      <c r="L666" s="3716"/>
      <c r="M666" s="3714"/>
      <c r="N666" s="3714"/>
      <c r="O666" s="3714"/>
      <c r="P666" s="3756"/>
      <c r="Q666" s="3714"/>
      <c r="R666" s="3714"/>
      <c r="S666" s="3714"/>
      <c r="T666" s="3714"/>
      <c r="U666" s="3714"/>
      <c r="V666" s="3714"/>
      <c r="W666" s="3714"/>
      <c r="X666" s="3714"/>
      <c r="Y666" s="3714"/>
      <c r="Z666" s="3714"/>
      <c r="AA666" s="3714"/>
      <c r="AB666" s="3714"/>
      <c r="AC666" s="3714"/>
    </row>
    <row r="667" spans="1:29">
      <c r="A667" s="3714"/>
      <c r="B667" s="3714"/>
      <c r="C667" s="3714"/>
      <c r="D667" s="3714"/>
      <c r="E667" s="3714"/>
      <c r="F667" s="3714"/>
      <c r="G667" s="3714"/>
      <c r="H667" s="3714"/>
      <c r="I667" s="3714"/>
      <c r="J667" s="3714"/>
      <c r="K667" s="3715"/>
      <c r="L667" s="3716"/>
      <c r="M667" s="3714"/>
      <c r="N667" s="3714"/>
      <c r="O667" s="3714"/>
      <c r="P667" s="3756"/>
      <c r="Q667" s="3714"/>
      <c r="R667" s="3714"/>
      <c r="S667" s="3714"/>
      <c r="T667" s="3714"/>
      <c r="U667" s="3714"/>
      <c r="V667" s="3714"/>
      <c r="W667" s="3714"/>
      <c r="X667" s="3714"/>
      <c r="Y667" s="3714"/>
      <c r="Z667" s="3714"/>
      <c r="AA667" s="3714"/>
      <c r="AB667" s="3714"/>
      <c r="AC667" s="3714"/>
    </row>
    <row r="668" spans="1:29">
      <c r="A668" s="3714"/>
      <c r="B668" s="3714"/>
      <c r="C668" s="3714"/>
      <c r="D668" s="3714"/>
      <c r="E668" s="3714"/>
      <c r="F668" s="3714"/>
      <c r="G668" s="3714"/>
      <c r="H668" s="3714"/>
      <c r="I668" s="3714"/>
      <c r="J668" s="3714"/>
      <c r="K668" s="3715"/>
      <c r="L668" s="3716"/>
      <c r="M668" s="3714"/>
      <c r="N668" s="3714"/>
      <c r="O668" s="3714"/>
      <c r="P668" s="3756"/>
      <c r="Q668" s="3714"/>
      <c r="R668" s="3714"/>
      <c r="S668" s="3714"/>
      <c r="T668" s="3714"/>
      <c r="U668" s="3714"/>
      <c r="V668" s="3714"/>
      <c r="W668" s="3714"/>
      <c r="X668" s="3714"/>
      <c r="Y668" s="3714"/>
      <c r="Z668" s="3714"/>
      <c r="AA668" s="3714"/>
      <c r="AB668" s="3714"/>
      <c r="AC668" s="3714"/>
    </row>
    <row r="669" spans="1:29">
      <c r="A669" s="3714"/>
      <c r="B669" s="3714"/>
      <c r="C669" s="3714"/>
      <c r="D669" s="3714"/>
      <c r="E669" s="3714"/>
      <c r="F669" s="3714"/>
      <c r="G669" s="3714"/>
      <c r="H669" s="3714"/>
      <c r="I669" s="3714"/>
      <c r="J669" s="3714"/>
      <c r="K669" s="3715"/>
      <c r="L669" s="3716"/>
      <c r="M669" s="3714"/>
      <c r="N669" s="3714"/>
      <c r="O669" s="3714"/>
      <c r="P669" s="3756"/>
      <c r="Q669" s="3714"/>
      <c r="R669" s="3714"/>
      <c r="S669" s="3714"/>
      <c r="T669" s="3714"/>
      <c r="U669" s="3714"/>
      <c r="V669" s="3714"/>
      <c r="W669" s="3714"/>
      <c r="X669" s="3714"/>
      <c r="Y669" s="3714"/>
      <c r="Z669" s="3714"/>
      <c r="AA669" s="3714"/>
      <c r="AB669" s="3714"/>
      <c r="AC669" s="3714"/>
    </row>
    <row r="670" spans="1:29">
      <c r="A670" s="3714"/>
      <c r="B670" s="3714"/>
      <c r="C670" s="3714"/>
      <c r="D670" s="3714"/>
      <c r="E670" s="3714"/>
      <c r="F670" s="3714"/>
      <c r="G670" s="3714"/>
      <c r="H670" s="3714"/>
      <c r="I670" s="3714"/>
      <c r="J670" s="3714"/>
      <c r="K670" s="3715"/>
      <c r="L670" s="3716"/>
      <c r="M670" s="3714"/>
      <c r="N670" s="3714"/>
      <c r="O670" s="3714"/>
      <c r="P670" s="3756"/>
      <c r="Q670" s="3714"/>
      <c r="R670" s="3714"/>
      <c r="S670" s="3714"/>
      <c r="T670" s="3714"/>
      <c r="U670" s="3714"/>
      <c r="V670" s="3714"/>
      <c r="W670" s="3714"/>
      <c r="X670" s="3714"/>
      <c r="Y670" s="3714"/>
      <c r="Z670" s="3714"/>
      <c r="AA670" s="3714"/>
      <c r="AB670" s="3714"/>
      <c r="AC670" s="3714"/>
    </row>
    <row r="671" spans="1:29">
      <c r="A671" s="3714"/>
      <c r="B671" s="3714"/>
      <c r="C671" s="3714"/>
      <c r="D671" s="3714"/>
      <c r="E671" s="3714"/>
      <c r="F671" s="3714"/>
      <c r="G671" s="3714"/>
      <c r="H671" s="3714"/>
      <c r="I671" s="3714"/>
      <c r="J671" s="3714"/>
      <c r="K671" s="3715"/>
      <c r="L671" s="3716"/>
      <c r="M671" s="3714"/>
      <c r="N671" s="3714"/>
      <c r="O671" s="3714"/>
      <c r="P671" s="3756"/>
      <c r="Q671" s="3714"/>
      <c r="R671" s="3714"/>
      <c r="S671" s="3714"/>
      <c r="T671" s="3714"/>
      <c r="U671" s="3714"/>
      <c r="V671" s="3714"/>
      <c r="W671" s="3714"/>
      <c r="X671" s="3714"/>
      <c r="Y671" s="3714"/>
      <c r="Z671" s="3714"/>
      <c r="AA671" s="3714"/>
      <c r="AB671" s="3714"/>
      <c r="AC671" s="3714"/>
    </row>
    <row r="672" spans="1:29">
      <c r="A672" s="3714"/>
      <c r="B672" s="3714"/>
      <c r="C672" s="3714"/>
      <c r="D672" s="3714"/>
      <c r="E672" s="3714"/>
      <c r="F672" s="3714"/>
      <c r="G672" s="3714"/>
      <c r="H672" s="3714"/>
      <c r="I672" s="3714"/>
      <c r="J672" s="3714"/>
      <c r="K672" s="3715"/>
      <c r="L672" s="3716"/>
      <c r="M672" s="3714"/>
      <c r="N672" s="3714"/>
      <c r="O672" s="3714"/>
      <c r="P672" s="3756"/>
      <c r="Q672" s="3714"/>
      <c r="R672" s="3714"/>
      <c r="S672" s="3714"/>
      <c r="T672" s="3714"/>
      <c r="U672" s="3714"/>
      <c r="V672" s="3714"/>
      <c r="W672" s="3714"/>
      <c r="X672" s="3714"/>
      <c r="Y672" s="3714"/>
      <c r="Z672" s="3714"/>
      <c r="AA672" s="3714"/>
      <c r="AB672" s="3714"/>
      <c r="AC672" s="3714"/>
    </row>
    <row r="673" spans="1:29">
      <c r="A673" s="3714"/>
      <c r="B673" s="3714"/>
      <c r="C673" s="3714"/>
      <c r="D673" s="3714"/>
      <c r="E673" s="3714"/>
      <c r="F673" s="3714"/>
      <c r="G673" s="3714"/>
      <c r="H673" s="3714"/>
      <c r="I673" s="3714"/>
      <c r="J673" s="3714"/>
      <c r="K673" s="3715"/>
      <c r="L673" s="3716"/>
      <c r="M673" s="3714"/>
      <c r="N673" s="3714"/>
      <c r="O673" s="3714"/>
      <c r="P673" s="3756"/>
      <c r="Q673" s="3714"/>
      <c r="R673" s="3714"/>
      <c r="S673" s="3714"/>
      <c r="T673" s="3714"/>
      <c r="U673" s="3714"/>
      <c r="V673" s="3714"/>
      <c r="W673" s="3714"/>
      <c r="X673" s="3714"/>
      <c r="Y673" s="3714"/>
      <c r="Z673" s="3714"/>
      <c r="AA673" s="3714"/>
      <c r="AB673" s="3714"/>
      <c r="AC673" s="3714"/>
    </row>
    <row r="674" spans="1:29">
      <c r="A674" s="3714"/>
      <c r="B674" s="3714"/>
      <c r="C674" s="3714"/>
      <c r="D674" s="3714"/>
      <c r="E674" s="3714"/>
      <c r="F674" s="3714"/>
      <c r="G674" s="3714"/>
      <c r="H674" s="3714"/>
      <c r="I674" s="3714"/>
      <c r="J674" s="3714"/>
      <c r="K674" s="3715"/>
      <c r="L674" s="3716"/>
      <c r="M674" s="3714"/>
      <c r="N674" s="3714"/>
      <c r="O674" s="3714"/>
      <c r="P674" s="3756"/>
      <c r="Q674" s="3714"/>
      <c r="R674" s="3714"/>
      <c r="S674" s="3714"/>
      <c r="T674" s="3714"/>
      <c r="U674" s="3714"/>
      <c r="V674" s="3714"/>
      <c r="W674" s="3714"/>
      <c r="X674" s="3714"/>
      <c r="Y674" s="3714"/>
      <c r="Z674" s="3714"/>
      <c r="AA674" s="3714"/>
      <c r="AB674" s="3714"/>
      <c r="AC674" s="3714"/>
    </row>
    <row r="675" spans="1:29">
      <c r="A675" s="3714"/>
      <c r="B675" s="3714"/>
      <c r="C675" s="3714"/>
      <c r="D675" s="3714"/>
      <c r="E675" s="3714"/>
      <c r="F675" s="3714"/>
      <c r="G675" s="3714"/>
      <c r="H675" s="3714"/>
      <c r="I675" s="3714"/>
      <c r="J675" s="3714"/>
      <c r="K675" s="3715"/>
      <c r="L675" s="3716"/>
      <c r="M675" s="3714"/>
      <c r="N675" s="3714"/>
      <c r="O675" s="3714"/>
      <c r="P675" s="3756"/>
      <c r="Q675" s="3714"/>
      <c r="R675" s="3714"/>
      <c r="S675" s="3714"/>
      <c r="T675" s="3714"/>
      <c r="U675" s="3714"/>
      <c r="V675" s="3714"/>
      <c r="W675" s="3714"/>
      <c r="X675" s="3714"/>
      <c r="Y675" s="3714"/>
      <c r="Z675" s="3714"/>
      <c r="AA675" s="3714"/>
      <c r="AB675" s="3714"/>
      <c r="AC675" s="3714"/>
    </row>
    <row r="676" spans="1:29">
      <c r="A676" s="3714"/>
      <c r="B676" s="3714"/>
      <c r="C676" s="3714"/>
      <c r="D676" s="3714"/>
      <c r="E676" s="3714"/>
      <c r="F676" s="3714"/>
      <c r="G676" s="3714"/>
      <c r="H676" s="3714"/>
      <c r="I676" s="3714"/>
      <c r="J676" s="3714"/>
      <c r="K676" s="3715"/>
      <c r="L676" s="3716"/>
      <c r="M676" s="3714"/>
      <c r="N676" s="3714"/>
      <c r="O676" s="3714"/>
      <c r="P676" s="3756"/>
      <c r="Q676" s="3714"/>
      <c r="R676" s="3714"/>
      <c r="S676" s="3714"/>
      <c r="T676" s="3714"/>
      <c r="U676" s="3714"/>
      <c r="V676" s="3714"/>
      <c r="W676" s="3714"/>
      <c r="X676" s="3714"/>
      <c r="Y676" s="3714"/>
      <c r="Z676" s="3714"/>
      <c r="AA676" s="3714"/>
      <c r="AB676" s="3714"/>
      <c r="AC676" s="3714"/>
    </row>
    <row r="677" spans="1:29">
      <c r="A677" s="3714"/>
      <c r="B677" s="3714"/>
      <c r="C677" s="3714"/>
      <c r="D677" s="3714"/>
      <c r="E677" s="3714"/>
      <c r="F677" s="3714"/>
      <c r="G677" s="3714"/>
      <c r="H677" s="3714"/>
      <c r="I677" s="3714"/>
      <c r="J677" s="3714"/>
      <c r="K677" s="3715"/>
      <c r="L677" s="3716"/>
      <c r="M677" s="3714"/>
      <c r="N677" s="3714"/>
      <c r="O677" s="3714"/>
      <c r="P677" s="3756"/>
      <c r="Q677" s="3714"/>
      <c r="R677" s="3714"/>
      <c r="S677" s="3714"/>
      <c r="T677" s="3714"/>
      <c r="U677" s="3714"/>
      <c r="V677" s="3714"/>
      <c r="W677" s="3714"/>
      <c r="X677" s="3714"/>
      <c r="Y677" s="3714"/>
      <c r="Z677" s="3714"/>
      <c r="AA677" s="3714"/>
      <c r="AB677" s="3714"/>
      <c r="AC677" s="3714"/>
    </row>
    <row r="678" spans="1:29">
      <c r="A678" s="3714"/>
      <c r="B678" s="3714"/>
      <c r="C678" s="3714"/>
      <c r="D678" s="3714"/>
      <c r="E678" s="3714"/>
      <c r="F678" s="3714"/>
      <c r="G678" s="3714"/>
      <c r="H678" s="3714"/>
      <c r="I678" s="3714"/>
      <c r="J678" s="3714"/>
      <c r="K678" s="3715"/>
      <c r="L678" s="3716"/>
      <c r="M678" s="3714"/>
      <c r="N678" s="3714"/>
      <c r="O678" s="3714"/>
      <c r="P678" s="3756"/>
      <c r="Q678" s="3714"/>
      <c r="R678" s="3714"/>
      <c r="S678" s="3714"/>
      <c r="T678" s="3714"/>
      <c r="U678" s="3714"/>
      <c r="V678" s="3714"/>
      <c r="W678" s="3714"/>
      <c r="X678" s="3714"/>
      <c r="Y678" s="3714"/>
      <c r="Z678" s="3714"/>
      <c r="AA678" s="3714"/>
      <c r="AB678" s="3714"/>
      <c r="AC678" s="3714"/>
    </row>
    <row r="679" spans="1:29">
      <c r="A679" s="3714"/>
      <c r="B679" s="3714"/>
      <c r="C679" s="3714"/>
      <c r="D679" s="3714"/>
      <c r="E679" s="3714"/>
      <c r="F679" s="3714"/>
      <c r="G679" s="3714"/>
      <c r="H679" s="3714"/>
      <c r="I679" s="3714"/>
      <c r="J679" s="3714"/>
      <c r="K679" s="3715"/>
      <c r="L679" s="3716"/>
      <c r="M679" s="3714"/>
      <c r="N679" s="3714"/>
      <c r="O679" s="3714"/>
      <c r="P679" s="3756"/>
      <c r="Q679" s="3714"/>
      <c r="R679" s="3714"/>
      <c r="S679" s="3714"/>
      <c r="T679" s="3714"/>
      <c r="U679" s="3714"/>
      <c r="V679" s="3714"/>
      <c r="W679" s="3714"/>
      <c r="X679" s="3714"/>
      <c r="Y679" s="3714"/>
      <c r="Z679" s="3714"/>
      <c r="AA679" s="3714"/>
      <c r="AB679" s="3714"/>
      <c r="AC679" s="3714"/>
    </row>
    <row r="680" spans="1:29">
      <c r="A680" s="3714"/>
      <c r="B680" s="3714"/>
      <c r="C680" s="3714"/>
      <c r="D680" s="3714"/>
      <c r="E680" s="3714"/>
      <c r="F680" s="3714"/>
      <c r="G680" s="3714"/>
      <c r="H680" s="3714"/>
      <c r="I680" s="3714"/>
      <c r="J680" s="3714"/>
      <c r="K680" s="3715"/>
      <c r="L680" s="3716"/>
      <c r="M680" s="3714"/>
      <c r="N680" s="3714"/>
      <c r="O680" s="3714"/>
      <c r="P680" s="3756"/>
      <c r="Q680" s="3714"/>
      <c r="R680" s="3714"/>
      <c r="S680" s="3714"/>
      <c r="T680" s="3714"/>
      <c r="U680" s="3714"/>
      <c r="V680" s="3714"/>
      <c r="W680" s="3714"/>
      <c r="X680" s="3714"/>
      <c r="Y680" s="3714"/>
      <c r="Z680" s="3714"/>
      <c r="AA680" s="3714"/>
      <c r="AB680" s="3714"/>
      <c r="AC680" s="3714"/>
    </row>
    <row r="681" spans="1:29">
      <c r="A681" s="3714"/>
      <c r="B681" s="3714"/>
      <c r="C681" s="3714"/>
      <c r="D681" s="3714"/>
      <c r="E681" s="3714"/>
      <c r="F681" s="3714"/>
      <c r="G681" s="3714"/>
      <c r="H681" s="3714"/>
      <c r="I681" s="3714"/>
      <c r="J681" s="3714"/>
      <c r="K681" s="3715"/>
      <c r="L681" s="3716"/>
      <c r="M681" s="3714"/>
      <c r="N681" s="3714"/>
      <c r="O681" s="3714"/>
      <c r="P681" s="3756"/>
      <c r="Q681" s="3714"/>
      <c r="R681" s="3714"/>
      <c r="S681" s="3714"/>
      <c r="T681" s="3714"/>
      <c r="U681" s="3714"/>
      <c r="V681" s="3714"/>
      <c r="W681" s="3714"/>
      <c r="X681" s="3714"/>
      <c r="Y681" s="3714"/>
      <c r="Z681" s="3714"/>
      <c r="AA681" s="3714"/>
      <c r="AB681" s="3714"/>
      <c r="AC681" s="3714"/>
    </row>
    <row r="682" spans="1:29">
      <c r="A682" s="3714"/>
      <c r="B682" s="3714"/>
      <c r="C682" s="3714"/>
      <c r="D682" s="3714"/>
      <c r="E682" s="3714"/>
      <c r="F682" s="3714"/>
      <c r="G682" s="3714"/>
      <c r="H682" s="3714"/>
      <c r="I682" s="3714"/>
      <c r="J682" s="3714"/>
      <c r="K682" s="3715"/>
      <c r="L682" s="3716"/>
      <c r="M682" s="3714"/>
      <c r="N682" s="3714"/>
      <c r="O682" s="3714"/>
      <c r="P682" s="3756"/>
      <c r="Q682" s="3714"/>
      <c r="R682" s="3714"/>
      <c r="S682" s="3714"/>
      <c r="T682" s="3714"/>
      <c r="U682" s="3714"/>
      <c r="V682" s="3714"/>
      <c r="W682" s="3714"/>
      <c r="X682" s="3714"/>
      <c r="Y682" s="3714"/>
      <c r="Z682" s="3714"/>
      <c r="AA682" s="3714"/>
      <c r="AB682" s="3714"/>
      <c r="AC682" s="3714"/>
    </row>
    <row r="683" spans="1:29">
      <c r="A683" s="3714"/>
      <c r="B683" s="3714"/>
      <c r="C683" s="3714"/>
      <c r="D683" s="3714"/>
      <c r="E683" s="3714"/>
      <c r="F683" s="3714"/>
      <c r="G683" s="3714"/>
      <c r="H683" s="3714"/>
      <c r="I683" s="3714"/>
      <c r="J683" s="3714"/>
      <c r="K683" s="3715"/>
      <c r="L683" s="3716"/>
      <c r="M683" s="3714"/>
      <c r="N683" s="3714"/>
      <c r="O683" s="3714"/>
      <c r="P683" s="3756"/>
      <c r="Q683" s="3714"/>
      <c r="R683" s="3714"/>
      <c r="S683" s="3714"/>
      <c r="T683" s="3714"/>
      <c r="U683" s="3714"/>
      <c r="V683" s="3714"/>
      <c r="W683" s="3714"/>
      <c r="X683" s="3714"/>
      <c r="Y683" s="3714"/>
      <c r="Z683" s="3714"/>
      <c r="AA683" s="3714"/>
      <c r="AB683" s="3714"/>
      <c r="AC683" s="3714"/>
    </row>
    <row r="684" spans="1:29">
      <c r="A684" s="3714"/>
      <c r="B684" s="3714"/>
      <c r="C684" s="3714"/>
      <c r="D684" s="3714"/>
      <c r="E684" s="3714"/>
      <c r="F684" s="3714"/>
      <c r="G684" s="3714"/>
      <c r="H684" s="3714"/>
      <c r="I684" s="3714"/>
      <c r="J684" s="3714"/>
      <c r="K684" s="3715"/>
      <c r="L684" s="3716"/>
      <c r="M684" s="3714"/>
      <c r="N684" s="3714"/>
      <c r="O684" s="3714"/>
      <c r="P684" s="3756"/>
      <c r="Q684" s="3714"/>
      <c r="R684" s="3714"/>
      <c r="S684" s="3714"/>
      <c r="T684" s="3714"/>
      <c r="U684" s="3714"/>
      <c r="V684" s="3714"/>
      <c r="W684" s="3714"/>
      <c r="X684" s="3714"/>
      <c r="Y684" s="3714"/>
      <c r="Z684" s="3714"/>
      <c r="AA684" s="3714"/>
      <c r="AB684" s="3714"/>
      <c r="AC684" s="3714"/>
    </row>
    <row r="685" spans="1:29">
      <c r="A685" s="3714"/>
      <c r="B685" s="3714"/>
      <c r="C685" s="3714"/>
      <c r="D685" s="3714"/>
      <c r="E685" s="3714"/>
      <c r="F685" s="3714"/>
      <c r="G685" s="3714"/>
      <c r="H685" s="3714"/>
      <c r="I685" s="3714"/>
      <c r="J685" s="3714"/>
      <c r="K685" s="3715"/>
      <c r="L685" s="3716"/>
      <c r="M685" s="3714"/>
      <c r="N685" s="3714"/>
      <c r="O685" s="3714"/>
      <c r="P685" s="3756"/>
      <c r="Q685" s="3714"/>
      <c r="R685" s="3714"/>
      <c r="S685" s="3714"/>
      <c r="T685" s="3714"/>
      <c r="U685" s="3714"/>
      <c r="V685" s="3714"/>
      <c r="W685" s="3714"/>
      <c r="X685" s="3714"/>
      <c r="Y685" s="3714"/>
      <c r="Z685" s="3714"/>
      <c r="AA685" s="3714"/>
      <c r="AB685" s="3714"/>
      <c r="AC685" s="3714"/>
    </row>
    <row r="686" spans="1:29">
      <c r="A686" s="3714"/>
      <c r="B686" s="3714"/>
      <c r="C686" s="3714"/>
      <c r="D686" s="3714"/>
      <c r="E686" s="3714"/>
      <c r="F686" s="3714"/>
      <c r="G686" s="3714"/>
      <c r="H686" s="3714"/>
      <c r="I686" s="3714"/>
      <c r="J686" s="3714"/>
      <c r="K686" s="3715"/>
      <c r="L686" s="3716"/>
      <c r="M686" s="3714"/>
      <c r="N686" s="3714"/>
      <c r="O686" s="3714"/>
      <c r="P686" s="3756"/>
      <c r="Q686" s="3714"/>
      <c r="R686" s="3714"/>
      <c r="S686" s="3714"/>
      <c r="T686" s="3714"/>
      <c r="U686" s="3714"/>
      <c r="V686" s="3714"/>
      <c r="W686" s="3714"/>
      <c r="X686" s="3714"/>
      <c r="Y686" s="3714"/>
      <c r="Z686" s="3714"/>
      <c r="AA686" s="3714"/>
      <c r="AB686" s="3714"/>
      <c r="AC686" s="3714"/>
    </row>
    <row r="687" spans="1:29">
      <c r="A687" s="3714"/>
      <c r="B687" s="3714"/>
      <c r="C687" s="3714"/>
      <c r="D687" s="3714"/>
      <c r="E687" s="3714"/>
      <c r="F687" s="3714"/>
      <c r="G687" s="3714"/>
      <c r="H687" s="3714"/>
      <c r="I687" s="3714"/>
      <c r="J687" s="3714"/>
      <c r="K687" s="3715"/>
      <c r="L687" s="3716"/>
      <c r="M687" s="3714"/>
      <c r="N687" s="3714"/>
      <c r="O687" s="3714"/>
      <c r="P687" s="3756"/>
      <c r="Q687" s="3714"/>
      <c r="R687" s="3714"/>
      <c r="S687" s="3714"/>
      <c r="T687" s="3714"/>
      <c r="U687" s="3714"/>
      <c r="V687" s="3714"/>
      <c r="W687" s="3714"/>
      <c r="X687" s="3714"/>
      <c r="Y687" s="3714"/>
      <c r="Z687" s="3714"/>
      <c r="AA687" s="3714"/>
      <c r="AB687" s="3714"/>
      <c r="AC687" s="3714"/>
    </row>
    <row r="688" spans="1:29">
      <c r="A688" s="3714"/>
      <c r="B688" s="3714"/>
      <c r="C688" s="3714"/>
      <c r="D688" s="3714"/>
      <c r="E688" s="3714"/>
      <c r="F688" s="3714"/>
      <c r="G688" s="3714"/>
      <c r="H688" s="3714"/>
      <c r="I688" s="3714"/>
      <c r="J688" s="3714"/>
      <c r="K688" s="3715"/>
      <c r="L688" s="3716"/>
      <c r="M688" s="3714"/>
      <c r="N688" s="3714"/>
      <c r="O688" s="3714"/>
      <c r="P688" s="3756"/>
      <c r="Q688" s="3714"/>
      <c r="R688" s="3714"/>
      <c r="S688" s="3714"/>
      <c r="T688" s="3714"/>
      <c r="U688" s="3714"/>
      <c r="V688" s="3714"/>
      <c r="W688" s="3714"/>
      <c r="X688" s="3714"/>
      <c r="Y688" s="3714"/>
      <c r="Z688" s="3714"/>
      <c r="AA688" s="3714"/>
      <c r="AB688" s="3714"/>
      <c r="AC688" s="3714"/>
    </row>
    <row r="689" spans="1:29">
      <c r="A689" s="3714"/>
      <c r="B689" s="3714"/>
      <c r="C689" s="3714"/>
      <c r="D689" s="3714"/>
      <c r="E689" s="3714"/>
      <c r="F689" s="3714"/>
      <c r="G689" s="3714"/>
      <c r="H689" s="3714"/>
      <c r="I689" s="3714"/>
      <c r="J689" s="3714"/>
      <c r="K689" s="3715"/>
      <c r="L689" s="3716"/>
      <c r="M689" s="3714"/>
      <c r="N689" s="3714"/>
      <c r="O689" s="3714"/>
      <c r="P689" s="3756"/>
      <c r="Q689" s="3714"/>
      <c r="R689" s="3714"/>
      <c r="S689" s="3714"/>
      <c r="T689" s="3714"/>
      <c r="U689" s="3714"/>
      <c r="V689" s="3714"/>
      <c r="W689" s="3714"/>
      <c r="X689" s="3714"/>
      <c r="Y689" s="3714"/>
      <c r="Z689" s="3714"/>
      <c r="AA689" s="3714"/>
      <c r="AB689" s="3714"/>
      <c r="AC689" s="3714"/>
    </row>
    <row r="690" spans="1:29">
      <c r="A690" s="3714"/>
      <c r="B690" s="3714"/>
      <c r="C690" s="3714"/>
      <c r="D690" s="3714"/>
      <c r="E690" s="3714"/>
      <c r="F690" s="3714"/>
      <c r="G690" s="3714"/>
      <c r="H690" s="3714"/>
      <c r="I690" s="3714"/>
      <c r="J690" s="3714"/>
      <c r="K690" s="3715"/>
      <c r="L690" s="3716"/>
      <c r="M690" s="3714"/>
      <c r="N690" s="3714"/>
      <c r="O690" s="3714"/>
      <c r="P690" s="3756"/>
      <c r="Q690" s="3714"/>
      <c r="R690" s="3714"/>
      <c r="S690" s="3714"/>
      <c r="T690" s="3714"/>
      <c r="U690" s="3714"/>
      <c r="V690" s="3714"/>
      <c r="W690" s="3714"/>
      <c r="X690" s="3714"/>
      <c r="Y690" s="3714"/>
      <c r="Z690" s="3714"/>
      <c r="AA690" s="3714"/>
      <c r="AB690" s="3714"/>
      <c r="AC690" s="3714"/>
    </row>
    <row r="691" spans="1:29">
      <c r="A691" s="3714"/>
      <c r="B691" s="3714"/>
      <c r="C691" s="3714"/>
      <c r="D691" s="3714"/>
      <c r="E691" s="3714"/>
      <c r="F691" s="3714"/>
      <c r="G691" s="3714"/>
      <c r="H691" s="3714"/>
      <c r="I691" s="3714"/>
      <c r="J691" s="3714"/>
      <c r="K691" s="3715"/>
      <c r="L691" s="3716"/>
      <c r="M691" s="3714"/>
      <c r="N691" s="3714"/>
      <c r="O691" s="3714"/>
      <c r="P691" s="3756"/>
      <c r="Q691" s="3714"/>
      <c r="R691" s="3714"/>
      <c r="S691" s="3714"/>
      <c r="T691" s="3714"/>
      <c r="U691" s="3714"/>
      <c r="V691" s="3714"/>
      <c r="W691" s="3714"/>
      <c r="X691" s="3714"/>
      <c r="Y691" s="3714"/>
      <c r="Z691" s="3714"/>
      <c r="AA691" s="3714"/>
      <c r="AB691" s="3714"/>
      <c r="AC691" s="3714"/>
    </row>
    <row r="692" spans="1:29">
      <c r="A692" s="3714"/>
      <c r="B692" s="3714"/>
      <c r="C692" s="3714"/>
      <c r="D692" s="3714"/>
      <c r="E692" s="3714"/>
      <c r="F692" s="3714"/>
      <c r="G692" s="3714"/>
      <c r="H692" s="3714"/>
      <c r="I692" s="3714"/>
      <c r="J692" s="3714"/>
      <c r="K692" s="3715"/>
      <c r="L692" s="3716"/>
      <c r="M692" s="3714"/>
      <c r="N692" s="3714"/>
      <c r="O692" s="3714"/>
      <c r="P692" s="3756"/>
      <c r="Q692" s="3714"/>
      <c r="R692" s="3714"/>
      <c r="S692" s="3714"/>
      <c r="T692" s="3714"/>
      <c r="U692" s="3714"/>
      <c r="V692" s="3714"/>
      <c r="W692" s="3714"/>
      <c r="X692" s="3714"/>
      <c r="Y692" s="3714"/>
      <c r="Z692" s="3714"/>
      <c r="AA692" s="3714"/>
      <c r="AB692" s="3714"/>
      <c r="AC692" s="3714"/>
    </row>
    <row r="693" spans="1:29">
      <c r="A693" s="3714"/>
      <c r="B693" s="3714"/>
      <c r="C693" s="3714"/>
      <c r="D693" s="3714"/>
      <c r="E693" s="3714"/>
      <c r="F693" s="3714"/>
      <c r="G693" s="3714"/>
      <c r="H693" s="3714"/>
      <c r="I693" s="3714"/>
      <c r="J693" s="3714"/>
      <c r="K693" s="3715"/>
      <c r="L693" s="3716"/>
      <c r="M693" s="3714"/>
      <c r="N693" s="3714"/>
      <c r="O693" s="3714"/>
      <c r="P693" s="3756"/>
      <c r="Q693" s="3714"/>
      <c r="R693" s="3714"/>
      <c r="S693" s="3714"/>
      <c r="T693" s="3714"/>
      <c r="U693" s="3714"/>
      <c r="V693" s="3714"/>
      <c r="W693" s="3714"/>
      <c r="X693" s="3714"/>
      <c r="Y693" s="3714"/>
      <c r="Z693" s="3714"/>
      <c r="AA693" s="3714"/>
      <c r="AB693" s="3714"/>
      <c r="AC693" s="3714"/>
    </row>
    <row r="694" spans="1:29">
      <c r="A694" s="3714"/>
      <c r="B694" s="3714"/>
      <c r="C694" s="3714"/>
      <c r="D694" s="3714"/>
      <c r="E694" s="3714"/>
      <c r="F694" s="3714"/>
      <c r="G694" s="3714"/>
      <c r="H694" s="3714"/>
      <c r="I694" s="3714"/>
      <c r="J694" s="3714"/>
      <c r="K694" s="3715"/>
      <c r="L694" s="3716"/>
      <c r="M694" s="3714"/>
      <c r="N694" s="3714"/>
      <c r="O694" s="3714"/>
      <c r="P694" s="3756"/>
      <c r="Q694" s="3714"/>
      <c r="R694" s="3714"/>
      <c r="S694" s="3714"/>
      <c r="T694" s="3714"/>
      <c r="U694" s="3714"/>
      <c r="V694" s="3714"/>
      <c r="W694" s="3714"/>
      <c r="X694" s="3714"/>
      <c r="Y694" s="3714"/>
      <c r="Z694" s="3714"/>
      <c r="AA694" s="3714"/>
      <c r="AB694" s="3714"/>
      <c r="AC694" s="3714"/>
    </row>
    <row r="695" spans="1:29">
      <c r="A695" s="3714"/>
      <c r="B695" s="3714"/>
      <c r="C695" s="3714"/>
      <c r="D695" s="3714"/>
      <c r="E695" s="3714"/>
      <c r="F695" s="3714"/>
      <c r="G695" s="3714"/>
      <c r="H695" s="3714"/>
      <c r="I695" s="3714"/>
      <c r="J695" s="3714"/>
      <c r="K695" s="3715"/>
      <c r="L695" s="3716"/>
      <c r="M695" s="3714"/>
      <c r="N695" s="3714"/>
      <c r="O695" s="3714"/>
      <c r="P695" s="3756"/>
      <c r="Q695" s="3714"/>
      <c r="R695" s="3714"/>
      <c r="S695" s="3714"/>
      <c r="T695" s="3714"/>
      <c r="U695" s="3714"/>
      <c r="V695" s="3714"/>
      <c r="W695" s="3714"/>
      <c r="X695" s="3714"/>
      <c r="Y695" s="3714"/>
      <c r="Z695" s="3714"/>
      <c r="AA695" s="3714"/>
      <c r="AB695" s="3714"/>
      <c r="AC695" s="3714"/>
    </row>
    <row r="696" spans="1:29">
      <c r="A696" s="3714"/>
      <c r="B696" s="3714"/>
      <c r="C696" s="3714"/>
      <c r="D696" s="3714"/>
      <c r="E696" s="3714"/>
      <c r="F696" s="3714"/>
      <c r="G696" s="3714"/>
      <c r="H696" s="3714"/>
      <c r="I696" s="3714"/>
      <c r="J696" s="3714"/>
      <c r="K696" s="3715"/>
      <c r="L696" s="3716"/>
      <c r="M696" s="3714"/>
      <c r="N696" s="3714"/>
      <c r="O696" s="3714"/>
      <c r="P696" s="3756"/>
      <c r="Q696" s="3714"/>
      <c r="R696" s="3714"/>
      <c r="S696" s="3714"/>
      <c r="T696" s="3714"/>
      <c r="U696" s="3714"/>
      <c r="V696" s="3714"/>
      <c r="W696" s="3714"/>
      <c r="X696" s="3714"/>
      <c r="Y696" s="3714"/>
      <c r="Z696" s="3714"/>
      <c r="AA696" s="3714"/>
      <c r="AB696" s="3714"/>
      <c r="AC696" s="3714"/>
    </row>
    <row r="697" spans="1:29">
      <c r="A697" s="3714"/>
      <c r="B697" s="3714"/>
      <c r="C697" s="3714"/>
      <c r="D697" s="3714"/>
      <c r="E697" s="3714"/>
      <c r="F697" s="3714"/>
      <c r="G697" s="3714"/>
      <c r="H697" s="3714"/>
      <c r="I697" s="3714"/>
      <c r="J697" s="3714"/>
      <c r="K697" s="3715"/>
      <c r="L697" s="3716"/>
      <c r="M697" s="3714"/>
      <c r="N697" s="3714"/>
      <c r="O697" s="3714"/>
      <c r="P697" s="3756"/>
      <c r="Q697" s="3714"/>
      <c r="R697" s="3714"/>
      <c r="S697" s="3714"/>
      <c r="T697" s="3714"/>
      <c r="U697" s="3714"/>
      <c r="V697" s="3714"/>
      <c r="W697" s="3714"/>
      <c r="X697" s="3714"/>
      <c r="Y697" s="3714"/>
      <c r="Z697" s="3714"/>
      <c r="AA697" s="3714"/>
      <c r="AB697" s="3714"/>
      <c r="AC697" s="3714"/>
    </row>
    <row r="698" spans="1:29">
      <c r="A698" s="3714"/>
      <c r="B698" s="3714"/>
      <c r="C698" s="3714"/>
      <c r="D698" s="3714"/>
      <c r="E698" s="3714"/>
      <c r="F698" s="3714"/>
      <c r="G698" s="3714"/>
      <c r="H698" s="3714"/>
      <c r="I698" s="3714"/>
      <c r="J698" s="3714"/>
      <c r="K698" s="3715"/>
      <c r="L698" s="3716"/>
      <c r="M698" s="3714"/>
      <c r="N698" s="3714"/>
      <c r="O698" s="3714"/>
      <c r="P698" s="3756"/>
      <c r="Q698" s="3714"/>
      <c r="R698" s="3714"/>
      <c r="S698" s="3714"/>
      <c r="T698" s="3714"/>
      <c r="U698" s="3714"/>
      <c r="V698" s="3714"/>
      <c r="W698" s="3714"/>
      <c r="X698" s="3714"/>
      <c r="Y698" s="3714"/>
      <c r="Z698" s="3714"/>
      <c r="AA698" s="3714"/>
      <c r="AB698" s="3714"/>
      <c r="AC698" s="3714"/>
    </row>
    <row r="699" spans="1:29">
      <c r="A699" s="3714"/>
      <c r="B699" s="3714"/>
      <c r="C699" s="3714"/>
      <c r="D699" s="3714"/>
      <c r="E699" s="3714"/>
      <c r="F699" s="3714"/>
      <c r="G699" s="3714"/>
      <c r="H699" s="3714"/>
      <c r="I699" s="3714"/>
      <c r="J699" s="3714"/>
      <c r="K699" s="3715"/>
      <c r="L699" s="3716"/>
      <c r="M699" s="3714"/>
      <c r="N699" s="3714"/>
      <c r="O699" s="3714"/>
      <c r="P699" s="3756"/>
      <c r="Q699" s="3714"/>
      <c r="R699" s="3714"/>
      <c r="S699" s="3714"/>
      <c r="T699" s="3714"/>
      <c r="U699" s="3714"/>
      <c r="V699" s="3714"/>
      <c r="W699" s="3714"/>
      <c r="X699" s="3714"/>
      <c r="Y699" s="3714"/>
      <c r="Z699" s="3714"/>
      <c r="AA699" s="3714"/>
      <c r="AB699" s="3714"/>
      <c r="AC699" s="3714"/>
    </row>
    <row r="700" spans="1:29">
      <c r="A700" s="3714"/>
      <c r="B700" s="3714"/>
      <c r="C700" s="3714"/>
      <c r="D700" s="3714"/>
      <c r="E700" s="3714"/>
      <c r="F700" s="3714"/>
      <c r="G700" s="3714"/>
      <c r="H700" s="3714"/>
      <c r="I700" s="3714"/>
      <c r="J700" s="3714"/>
      <c r="K700" s="3715"/>
      <c r="L700" s="3716"/>
      <c r="M700" s="3714"/>
      <c r="N700" s="3714"/>
      <c r="O700" s="3714"/>
      <c r="P700" s="3756"/>
      <c r="Q700" s="3714"/>
      <c r="R700" s="3714"/>
      <c r="S700" s="3714"/>
      <c r="T700" s="3714"/>
      <c r="U700" s="3714"/>
      <c r="V700" s="3714"/>
      <c r="W700" s="3714"/>
      <c r="X700" s="3714"/>
      <c r="Y700" s="3714"/>
      <c r="Z700" s="3714"/>
      <c r="AA700" s="3714"/>
      <c r="AB700" s="3714"/>
      <c r="AC700" s="3714"/>
    </row>
    <row r="701" spans="1:29">
      <c r="A701" s="3714"/>
      <c r="B701" s="3714"/>
      <c r="C701" s="3714"/>
      <c r="D701" s="3714"/>
      <c r="E701" s="3714"/>
      <c r="F701" s="3714"/>
      <c r="G701" s="3714"/>
      <c r="H701" s="3714"/>
      <c r="I701" s="3714"/>
      <c r="J701" s="3714"/>
      <c r="K701" s="3715"/>
      <c r="L701" s="3716"/>
      <c r="M701" s="3714"/>
      <c r="N701" s="3714"/>
      <c r="O701" s="3714"/>
      <c r="P701" s="3756"/>
      <c r="Q701" s="3714"/>
      <c r="R701" s="3714"/>
      <c r="S701" s="3714"/>
      <c r="T701" s="3714"/>
      <c r="U701" s="3714"/>
      <c r="V701" s="3714"/>
      <c r="W701" s="3714"/>
      <c r="X701" s="3714"/>
      <c r="Y701" s="3714"/>
      <c r="Z701" s="3714"/>
      <c r="AA701" s="3714"/>
      <c r="AB701" s="3714"/>
      <c r="AC701" s="3714"/>
    </row>
    <row r="702" spans="1:29">
      <c r="A702" s="3714"/>
      <c r="B702" s="3714"/>
      <c r="C702" s="3714"/>
      <c r="D702" s="3714"/>
      <c r="E702" s="3714"/>
      <c r="F702" s="3714"/>
      <c r="G702" s="3714"/>
      <c r="H702" s="3714"/>
      <c r="I702" s="3714"/>
      <c r="J702" s="3714"/>
      <c r="K702" s="3715"/>
      <c r="L702" s="3716"/>
      <c r="M702" s="3714"/>
      <c r="N702" s="3714"/>
      <c r="O702" s="3714"/>
      <c r="P702" s="3756"/>
      <c r="Q702" s="3714"/>
      <c r="R702" s="3714"/>
      <c r="S702" s="3714"/>
      <c r="T702" s="3714"/>
      <c r="U702" s="3714"/>
      <c r="V702" s="3714"/>
      <c r="W702" s="3714"/>
      <c r="X702" s="3714"/>
      <c r="Y702" s="3714"/>
      <c r="Z702" s="3714"/>
      <c r="AA702" s="3714"/>
      <c r="AB702" s="3714"/>
      <c r="AC702" s="3714"/>
    </row>
    <row r="703" spans="1:29">
      <c r="A703" s="3714"/>
      <c r="B703" s="3714"/>
      <c r="C703" s="3714"/>
      <c r="D703" s="3714"/>
      <c r="E703" s="3714"/>
      <c r="F703" s="3714"/>
      <c r="G703" s="3714"/>
      <c r="H703" s="3714"/>
      <c r="I703" s="3714"/>
      <c r="J703" s="3714"/>
      <c r="K703" s="3715"/>
      <c r="L703" s="3716"/>
      <c r="M703" s="3714"/>
      <c r="N703" s="3714"/>
      <c r="O703" s="3714"/>
      <c r="P703" s="3756"/>
      <c r="Q703" s="3714"/>
      <c r="R703" s="3714"/>
      <c r="S703" s="3714"/>
      <c r="T703" s="3714"/>
      <c r="U703" s="3714"/>
      <c r="V703" s="3714"/>
      <c r="W703" s="3714"/>
      <c r="X703" s="3714"/>
      <c r="Y703" s="3714"/>
      <c r="Z703" s="3714"/>
      <c r="AA703" s="3714"/>
      <c r="AB703" s="3714"/>
      <c r="AC703" s="3714"/>
    </row>
    <row r="704" spans="1:29">
      <c r="A704" s="3714"/>
      <c r="B704" s="3714"/>
      <c r="C704" s="3714"/>
      <c r="D704" s="3714"/>
      <c r="E704" s="3714"/>
      <c r="F704" s="3714"/>
      <c r="G704" s="3714"/>
      <c r="H704" s="3714"/>
      <c r="I704" s="3714"/>
      <c r="J704" s="3714"/>
      <c r="K704" s="3715"/>
      <c r="L704" s="3716"/>
      <c r="M704" s="3714"/>
      <c r="N704" s="3714"/>
      <c r="O704" s="3714"/>
      <c r="P704" s="3756"/>
      <c r="Q704" s="3714"/>
      <c r="R704" s="3714"/>
      <c r="S704" s="3714"/>
      <c r="T704" s="3714"/>
      <c r="U704" s="3714"/>
      <c r="V704" s="3714"/>
      <c r="W704" s="3714"/>
      <c r="X704" s="3714"/>
      <c r="Y704" s="3714"/>
      <c r="Z704" s="3714"/>
      <c r="AA704" s="3714"/>
      <c r="AB704" s="3714"/>
      <c r="AC704" s="3714"/>
    </row>
    <row r="705" spans="1:29">
      <c r="A705" s="3714"/>
      <c r="B705" s="3714"/>
      <c r="C705" s="3714"/>
      <c r="D705" s="3714"/>
      <c r="E705" s="3714"/>
      <c r="F705" s="3714"/>
      <c r="G705" s="3714"/>
      <c r="H705" s="3714"/>
      <c r="I705" s="3714"/>
      <c r="J705" s="3714"/>
      <c r="K705" s="3715"/>
      <c r="L705" s="3716"/>
      <c r="M705" s="3714"/>
      <c r="N705" s="3714"/>
      <c r="O705" s="3714"/>
      <c r="P705" s="3756"/>
      <c r="Q705" s="3714"/>
      <c r="R705" s="3714"/>
      <c r="S705" s="3714"/>
      <c r="T705" s="3714"/>
      <c r="U705" s="3714"/>
      <c r="V705" s="3714"/>
      <c r="W705" s="3714"/>
      <c r="X705" s="3714"/>
      <c r="Y705" s="3714"/>
      <c r="Z705" s="3714"/>
      <c r="AA705" s="3714"/>
      <c r="AB705" s="3714"/>
      <c r="AC705" s="3714"/>
    </row>
    <row r="706" spans="1:29">
      <c r="A706" s="3714"/>
      <c r="B706" s="3714"/>
      <c r="C706" s="3714"/>
      <c r="D706" s="3714"/>
      <c r="E706" s="3714"/>
      <c r="F706" s="3714"/>
      <c r="G706" s="3714"/>
      <c r="H706" s="3714"/>
      <c r="I706" s="3714"/>
      <c r="J706" s="3714"/>
      <c r="K706" s="3715"/>
      <c r="L706" s="3716"/>
      <c r="M706" s="3714"/>
      <c r="N706" s="3714"/>
      <c r="O706" s="3714"/>
      <c r="P706" s="3756"/>
      <c r="Q706" s="3714"/>
      <c r="R706" s="3714"/>
      <c r="S706" s="3714"/>
      <c r="T706" s="3714"/>
      <c r="U706" s="3714"/>
      <c r="V706" s="3714"/>
      <c r="W706" s="3714"/>
      <c r="X706" s="3714"/>
      <c r="Y706" s="3714"/>
      <c r="Z706" s="3714"/>
      <c r="AA706" s="3714"/>
      <c r="AB706" s="3714"/>
      <c r="AC706" s="3714"/>
    </row>
    <row r="707" spans="1:29">
      <c r="A707" s="3714"/>
      <c r="B707" s="3714"/>
      <c r="C707" s="3714"/>
      <c r="D707" s="3714"/>
      <c r="E707" s="3714"/>
      <c r="F707" s="3714"/>
      <c r="G707" s="3714"/>
      <c r="H707" s="3714"/>
      <c r="I707" s="3714"/>
      <c r="J707" s="3714"/>
      <c r="K707" s="3715"/>
      <c r="L707" s="3716"/>
      <c r="M707" s="3714"/>
      <c r="N707" s="3714"/>
      <c r="O707" s="3714"/>
      <c r="P707" s="3756"/>
      <c r="Q707" s="3714"/>
      <c r="R707" s="3714"/>
      <c r="S707" s="3714"/>
      <c r="T707" s="3714"/>
      <c r="U707" s="3714"/>
      <c r="V707" s="3714"/>
      <c r="W707" s="3714"/>
      <c r="X707" s="3714"/>
      <c r="Y707" s="3714"/>
      <c r="Z707" s="3714"/>
      <c r="AA707" s="3714"/>
      <c r="AB707" s="3714"/>
      <c r="AC707" s="3714"/>
    </row>
    <row r="708" spans="1:29">
      <c r="A708" s="3714"/>
      <c r="B708" s="3714"/>
      <c r="C708" s="3714"/>
      <c r="D708" s="3714"/>
      <c r="E708" s="3714"/>
      <c r="F708" s="3714"/>
      <c r="G708" s="3714"/>
      <c r="H708" s="3714"/>
      <c r="I708" s="3714"/>
      <c r="J708" s="3714"/>
      <c r="K708" s="3715"/>
      <c r="L708" s="3716"/>
      <c r="M708" s="3714"/>
      <c r="N708" s="3714"/>
      <c r="O708" s="3714"/>
      <c r="P708" s="3756"/>
      <c r="Q708" s="3714"/>
      <c r="R708" s="3714"/>
      <c r="S708" s="3714"/>
      <c r="T708" s="3714"/>
      <c r="U708" s="3714"/>
      <c r="V708" s="3714"/>
      <c r="W708" s="3714"/>
      <c r="X708" s="3714"/>
      <c r="Y708" s="3714"/>
      <c r="Z708" s="3714"/>
      <c r="AA708" s="3714"/>
      <c r="AB708" s="3714"/>
      <c r="AC708" s="3714"/>
    </row>
    <row r="709" spans="1:29">
      <c r="A709" s="3714"/>
      <c r="B709" s="3714"/>
      <c r="C709" s="3714"/>
      <c r="D709" s="3714"/>
      <c r="E709" s="3714"/>
      <c r="F709" s="3714"/>
      <c r="G709" s="3714"/>
      <c r="H709" s="3714"/>
      <c r="I709" s="3714"/>
      <c r="J709" s="3714"/>
      <c r="K709" s="3715"/>
      <c r="L709" s="3716"/>
      <c r="M709" s="3714"/>
      <c r="N709" s="3714"/>
      <c r="O709" s="3714"/>
      <c r="P709" s="3756"/>
      <c r="Q709" s="3714"/>
      <c r="R709" s="3714"/>
      <c r="S709" s="3714"/>
      <c r="T709" s="3714"/>
      <c r="U709" s="3714"/>
      <c r="V709" s="3714"/>
      <c r="W709" s="3714"/>
      <c r="X709" s="3714"/>
      <c r="Y709" s="3714"/>
      <c r="Z709" s="3714"/>
      <c r="AA709" s="3714"/>
      <c r="AB709" s="3714"/>
      <c r="AC709" s="3714"/>
    </row>
    <row r="710" spans="1:29">
      <c r="A710" s="3714"/>
      <c r="B710" s="3714"/>
      <c r="C710" s="3714"/>
      <c r="D710" s="3714"/>
      <c r="E710" s="3714"/>
      <c r="F710" s="3714"/>
      <c r="G710" s="3714"/>
      <c r="H710" s="3714"/>
      <c r="I710" s="3714"/>
      <c r="J710" s="3714"/>
      <c r="K710" s="3715"/>
      <c r="L710" s="3716"/>
      <c r="M710" s="3714"/>
      <c r="N710" s="3714"/>
      <c r="O710" s="3714"/>
      <c r="P710" s="3756"/>
      <c r="Q710" s="3714"/>
      <c r="R710" s="3714"/>
      <c r="S710" s="3714"/>
      <c r="T710" s="3714"/>
      <c r="U710" s="3714"/>
      <c r="V710" s="3714"/>
      <c r="W710" s="3714"/>
      <c r="X710" s="3714"/>
      <c r="Y710" s="3714"/>
      <c r="Z710" s="3714"/>
      <c r="AA710" s="3714"/>
      <c r="AB710" s="3714"/>
      <c r="AC710" s="3714"/>
    </row>
    <row r="711" spans="1:29">
      <c r="A711" s="3714"/>
      <c r="B711" s="3714"/>
      <c r="C711" s="3714"/>
      <c r="D711" s="3714"/>
      <c r="E711" s="3714"/>
      <c r="F711" s="3714"/>
      <c r="G711" s="3714"/>
      <c r="H711" s="3714"/>
      <c r="I711" s="3714"/>
      <c r="J711" s="3714"/>
      <c r="K711" s="3715"/>
      <c r="L711" s="3716"/>
      <c r="M711" s="3714"/>
      <c r="N711" s="3714"/>
      <c r="O711" s="3714"/>
      <c r="P711" s="3756"/>
      <c r="Q711" s="3714"/>
      <c r="R711" s="3714"/>
      <c r="S711" s="3714"/>
      <c r="T711" s="3714"/>
      <c r="U711" s="3714"/>
      <c r="V711" s="3714"/>
      <c r="W711" s="3714"/>
      <c r="X711" s="3714"/>
      <c r="Y711" s="3714"/>
      <c r="Z711" s="3714"/>
      <c r="AA711" s="3714"/>
      <c r="AB711" s="3714"/>
      <c r="AC711" s="3714"/>
    </row>
    <row r="712" spans="1:29">
      <c r="A712" s="3714"/>
      <c r="B712" s="3714"/>
      <c r="C712" s="3714"/>
      <c r="D712" s="3714"/>
      <c r="E712" s="3714"/>
      <c r="F712" s="3714"/>
      <c r="G712" s="3714"/>
      <c r="H712" s="3714"/>
      <c r="I712" s="3714"/>
      <c r="J712" s="3714"/>
      <c r="K712" s="3715"/>
      <c r="L712" s="3716"/>
      <c r="M712" s="3714"/>
      <c r="N712" s="3714"/>
      <c r="O712" s="3714"/>
      <c r="P712" s="3756"/>
      <c r="Q712" s="3714"/>
      <c r="R712" s="3714"/>
      <c r="S712" s="3714"/>
      <c r="T712" s="3714"/>
      <c r="U712" s="3714"/>
      <c r="V712" s="3714"/>
      <c r="W712" s="3714"/>
      <c r="X712" s="3714"/>
      <c r="Y712" s="3714"/>
      <c r="Z712" s="3714"/>
      <c r="AA712" s="3714"/>
      <c r="AB712" s="3714"/>
      <c r="AC712" s="3714"/>
    </row>
    <row r="713" spans="1:29">
      <c r="A713" s="3714"/>
      <c r="B713" s="3714"/>
      <c r="C713" s="3714"/>
      <c r="D713" s="3714"/>
      <c r="E713" s="3714"/>
      <c r="F713" s="3714"/>
      <c r="G713" s="3714"/>
      <c r="H713" s="3714"/>
      <c r="I713" s="3714"/>
      <c r="J713" s="3714"/>
      <c r="K713" s="3715"/>
      <c r="L713" s="3716"/>
      <c r="M713" s="3714"/>
      <c r="N713" s="3714"/>
      <c r="O713" s="3714"/>
      <c r="P713" s="3756"/>
      <c r="Q713" s="3714"/>
      <c r="R713" s="3714"/>
      <c r="S713" s="3714"/>
      <c r="T713" s="3714"/>
      <c r="U713" s="3714"/>
      <c r="V713" s="3714"/>
      <c r="W713" s="3714"/>
      <c r="X713" s="3714"/>
      <c r="Y713" s="3714"/>
      <c r="Z713" s="3714"/>
      <c r="AA713" s="3714"/>
      <c r="AB713" s="3714"/>
      <c r="AC713" s="3714"/>
    </row>
    <row r="714" spans="1:29">
      <c r="A714" s="3714"/>
      <c r="B714" s="3714"/>
      <c r="C714" s="3714"/>
      <c r="D714" s="3714"/>
      <c r="E714" s="3714"/>
      <c r="F714" s="3714"/>
      <c r="G714" s="3714"/>
      <c r="H714" s="3714"/>
      <c r="I714" s="3714"/>
      <c r="J714" s="3714"/>
      <c r="K714" s="3715"/>
      <c r="L714" s="3716"/>
      <c r="M714" s="3714"/>
      <c r="N714" s="3714"/>
      <c r="O714" s="3714"/>
      <c r="P714" s="3756"/>
      <c r="Q714" s="3714"/>
      <c r="R714" s="3714"/>
      <c r="S714" s="3714"/>
      <c r="T714" s="3714"/>
      <c r="U714" s="3714"/>
      <c r="V714" s="3714"/>
      <c r="W714" s="3714"/>
      <c r="X714" s="3714"/>
      <c r="Y714" s="3714"/>
      <c r="Z714" s="3714"/>
      <c r="AA714" s="3714"/>
      <c r="AB714" s="3714"/>
      <c r="AC714" s="3714"/>
    </row>
    <row r="715" spans="1:29">
      <c r="A715" s="3714"/>
      <c r="B715" s="3714"/>
      <c r="C715" s="3714"/>
      <c r="D715" s="3714"/>
      <c r="E715" s="3714"/>
      <c r="F715" s="3714"/>
      <c r="G715" s="3714"/>
      <c r="H715" s="3714"/>
      <c r="I715" s="3714"/>
      <c r="J715" s="3714"/>
      <c r="K715" s="3715"/>
      <c r="L715" s="3716"/>
      <c r="M715" s="3714"/>
      <c r="N715" s="3714"/>
      <c r="O715" s="3714"/>
      <c r="P715" s="3756"/>
      <c r="Q715" s="3714"/>
      <c r="R715" s="3714"/>
      <c r="S715" s="3714"/>
      <c r="T715" s="3714"/>
      <c r="U715" s="3714"/>
      <c r="V715" s="3714"/>
      <c r="W715" s="3714"/>
      <c r="X715" s="3714"/>
      <c r="Y715" s="3714"/>
      <c r="Z715" s="3714"/>
      <c r="AA715" s="3714"/>
      <c r="AB715" s="3714"/>
      <c r="AC715" s="3714"/>
    </row>
    <row r="716" spans="1:29">
      <c r="A716" s="3714"/>
      <c r="B716" s="3714"/>
      <c r="C716" s="3714"/>
      <c r="D716" s="3714"/>
      <c r="E716" s="3714"/>
      <c r="F716" s="3714"/>
      <c r="G716" s="3714"/>
      <c r="H716" s="3714"/>
      <c r="I716" s="3714"/>
      <c r="J716" s="3714"/>
      <c r="K716" s="3715"/>
      <c r="L716" s="3716"/>
      <c r="M716" s="3714"/>
      <c r="N716" s="3714"/>
      <c r="O716" s="3714"/>
      <c r="P716" s="3756"/>
      <c r="Q716" s="3714"/>
      <c r="R716" s="3714"/>
      <c r="S716" s="3714"/>
      <c r="T716" s="3714"/>
      <c r="U716" s="3714"/>
      <c r="V716" s="3714"/>
      <c r="W716" s="3714"/>
      <c r="X716" s="3714"/>
      <c r="Y716" s="3714"/>
      <c r="Z716" s="3714"/>
      <c r="AA716" s="3714"/>
      <c r="AB716" s="3714"/>
      <c r="AC716" s="3714"/>
    </row>
    <row r="717" spans="1:29">
      <c r="A717" s="3714"/>
      <c r="B717" s="3714"/>
      <c r="C717" s="3714"/>
      <c r="D717" s="3714"/>
      <c r="E717" s="3714"/>
      <c r="F717" s="3714"/>
      <c r="G717" s="3714"/>
      <c r="H717" s="3714"/>
      <c r="I717" s="3714"/>
      <c r="J717" s="3714"/>
      <c r="K717" s="3715"/>
      <c r="L717" s="3716"/>
      <c r="M717" s="3714"/>
      <c r="N717" s="3714"/>
      <c r="O717" s="3714"/>
      <c r="P717" s="3756"/>
      <c r="Q717" s="3714"/>
      <c r="R717" s="3714"/>
      <c r="S717" s="3714"/>
      <c r="T717" s="3714"/>
      <c r="U717" s="3714"/>
      <c r="V717" s="3714"/>
      <c r="W717" s="3714"/>
      <c r="X717" s="3714"/>
      <c r="Y717" s="3714"/>
      <c r="Z717" s="3714"/>
      <c r="AA717" s="3714"/>
      <c r="AB717" s="3714"/>
      <c r="AC717" s="3714"/>
    </row>
    <row r="718" spans="1:29">
      <c r="A718" s="3714"/>
      <c r="B718" s="3714"/>
      <c r="C718" s="3714"/>
      <c r="D718" s="3714"/>
      <c r="E718" s="3714"/>
      <c r="F718" s="3714"/>
      <c r="G718" s="3714"/>
      <c r="H718" s="3714"/>
      <c r="I718" s="3714"/>
      <c r="J718" s="3714"/>
      <c r="K718" s="3715"/>
      <c r="L718" s="3716"/>
      <c r="M718" s="3714"/>
      <c r="N718" s="3714"/>
      <c r="O718" s="3714"/>
      <c r="P718" s="3756"/>
      <c r="Q718" s="3714"/>
      <c r="R718" s="3714"/>
      <c r="S718" s="3714"/>
      <c r="T718" s="3714"/>
      <c r="U718" s="3714"/>
      <c r="V718" s="3714"/>
      <c r="W718" s="3714"/>
      <c r="X718" s="3714"/>
      <c r="Y718" s="3714"/>
      <c r="Z718" s="3714"/>
      <c r="AA718" s="3714"/>
      <c r="AB718" s="3714"/>
      <c r="AC718" s="3714"/>
    </row>
    <row r="719" spans="1:29">
      <c r="A719" s="3714"/>
      <c r="B719" s="3714"/>
      <c r="C719" s="3714"/>
      <c r="D719" s="3714"/>
      <c r="E719" s="3714"/>
      <c r="F719" s="3714"/>
      <c r="G719" s="3714"/>
      <c r="H719" s="3714"/>
      <c r="I719" s="3714"/>
      <c r="J719" s="3714"/>
      <c r="K719" s="3715"/>
      <c r="L719" s="3716"/>
      <c r="M719" s="3714"/>
      <c r="N719" s="3714"/>
      <c r="O719" s="3714"/>
      <c r="P719" s="3756"/>
      <c r="Q719" s="3714"/>
      <c r="R719" s="3714"/>
      <c r="S719" s="3714"/>
      <c r="T719" s="3714"/>
      <c r="U719" s="3714"/>
      <c r="V719" s="3714"/>
      <c r="W719" s="3714"/>
      <c r="X719" s="3714"/>
      <c r="Y719" s="3714"/>
      <c r="Z719" s="3714"/>
      <c r="AA719" s="3714"/>
      <c r="AB719" s="3714"/>
      <c r="AC719" s="3714"/>
    </row>
    <row r="720" spans="1:29">
      <c r="A720" s="3714"/>
      <c r="B720" s="3714"/>
      <c r="C720" s="3714"/>
      <c r="D720" s="3714"/>
      <c r="E720" s="3714"/>
      <c r="F720" s="3714"/>
      <c r="G720" s="3714"/>
      <c r="H720" s="3714"/>
      <c r="I720" s="3714"/>
      <c r="J720" s="3714"/>
      <c r="K720" s="3715"/>
      <c r="L720" s="3716"/>
      <c r="M720" s="3714"/>
      <c r="N720" s="3714"/>
      <c r="O720" s="3714"/>
      <c r="P720" s="3756"/>
      <c r="Q720" s="3714"/>
      <c r="R720" s="3714"/>
      <c r="S720" s="3714"/>
      <c r="T720" s="3714"/>
      <c r="U720" s="3714"/>
      <c r="V720" s="3714"/>
      <c r="W720" s="3714"/>
      <c r="X720" s="3714"/>
      <c r="Y720" s="3714"/>
      <c r="Z720" s="3714"/>
      <c r="AA720" s="3714"/>
      <c r="AB720" s="3714"/>
      <c r="AC720" s="3714"/>
    </row>
    <row r="721" spans="1:29">
      <c r="A721" s="3714"/>
      <c r="B721" s="3714"/>
      <c r="C721" s="3714"/>
      <c r="D721" s="3714"/>
      <c r="E721" s="3714"/>
      <c r="F721" s="3714"/>
      <c r="G721" s="3714"/>
      <c r="H721" s="3714"/>
      <c r="I721" s="3714"/>
      <c r="J721" s="3714"/>
      <c r="K721" s="3715"/>
      <c r="L721" s="3716"/>
      <c r="M721" s="3714"/>
      <c r="N721" s="3714"/>
      <c r="O721" s="3714"/>
      <c r="P721" s="3756"/>
      <c r="Q721" s="3714"/>
      <c r="R721" s="3714"/>
      <c r="S721" s="3714"/>
      <c r="T721" s="3714"/>
      <c r="U721" s="3714"/>
      <c r="V721" s="3714"/>
      <c r="W721" s="3714"/>
      <c r="X721" s="3714"/>
      <c r="Y721" s="3714"/>
      <c r="Z721" s="3714"/>
      <c r="AA721" s="3714"/>
      <c r="AB721" s="3714"/>
      <c r="AC721" s="3714"/>
    </row>
    <row r="722" spans="1:29">
      <c r="A722" s="3714"/>
      <c r="B722" s="3714"/>
      <c r="C722" s="3714"/>
      <c r="D722" s="3714"/>
      <c r="E722" s="3714"/>
      <c r="F722" s="3714"/>
      <c r="G722" s="3714"/>
      <c r="H722" s="3714"/>
      <c r="I722" s="3714"/>
      <c r="J722" s="3714"/>
      <c r="K722" s="3715"/>
      <c r="L722" s="3716"/>
      <c r="M722" s="3714"/>
      <c r="N722" s="3714"/>
      <c r="O722" s="3714"/>
      <c r="P722" s="3756"/>
      <c r="Q722" s="3714"/>
      <c r="R722" s="3714"/>
      <c r="S722" s="3714"/>
      <c r="T722" s="3714"/>
      <c r="U722" s="3714"/>
      <c r="V722" s="3714"/>
      <c r="W722" s="3714"/>
      <c r="X722" s="3714"/>
      <c r="Y722" s="3714"/>
      <c r="Z722" s="3714"/>
      <c r="AA722" s="3714"/>
      <c r="AB722" s="3714"/>
      <c r="AC722" s="3714"/>
    </row>
    <row r="723" spans="1:29">
      <c r="A723" s="3714"/>
      <c r="B723" s="3714"/>
      <c r="C723" s="3714"/>
      <c r="D723" s="3714"/>
      <c r="E723" s="3714"/>
      <c r="F723" s="3714"/>
      <c r="G723" s="3714"/>
      <c r="H723" s="3714"/>
      <c r="I723" s="3714"/>
      <c r="J723" s="3714"/>
      <c r="K723" s="3715"/>
      <c r="L723" s="3716"/>
      <c r="M723" s="3714"/>
      <c r="N723" s="3714"/>
      <c r="O723" s="3714"/>
      <c r="P723" s="3756"/>
      <c r="Q723" s="3714"/>
      <c r="R723" s="3714"/>
      <c r="S723" s="3714"/>
      <c r="T723" s="3714"/>
      <c r="U723" s="3714"/>
      <c r="V723" s="3714"/>
      <c r="W723" s="3714"/>
      <c r="X723" s="3714"/>
      <c r="Y723" s="3714"/>
      <c r="Z723" s="3714"/>
      <c r="AA723" s="3714"/>
      <c r="AB723" s="3714"/>
      <c r="AC723" s="3714"/>
    </row>
    <row r="724" spans="1:29">
      <c r="A724" s="3714"/>
      <c r="B724" s="3714"/>
      <c r="C724" s="3714"/>
      <c r="D724" s="3714"/>
      <c r="E724" s="3714"/>
      <c r="F724" s="3714"/>
      <c r="G724" s="3714"/>
      <c r="H724" s="3714"/>
      <c r="I724" s="3714"/>
      <c r="J724" s="3714"/>
      <c r="K724" s="3715"/>
      <c r="L724" s="3716"/>
      <c r="M724" s="3714"/>
      <c r="N724" s="3714"/>
      <c r="O724" s="3714"/>
      <c r="P724" s="3756"/>
      <c r="Q724" s="3714"/>
      <c r="R724" s="3714"/>
      <c r="S724" s="3714"/>
      <c r="T724" s="3714"/>
      <c r="U724" s="3714"/>
      <c r="V724" s="3714"/>
      <c r="W724" s="3714"/>
      <c r="X724" s="3714"/>
      <c r="Y724" s="3714"/>
      <c r="Z724" s="3714"/>
      <c r="AA724" s="3714"/>
      <c r="AB724" s="3714"/>
      <c r="AC724" s="3714"/>
    </row>
    <row r="725" spans="1:29">
      <c r="A725" s="3714"/>
      <c r="B725" s="3714"/>
      <c r="C725" s="3714"/>
      <c r="D725" s="3714"/>
      <c r="E725" s="3714"/>
      <c r="F725" s="3714"/>
      <c r="G725" s="3714"/>
      <c r="H725" s="3714"/>
      <c r="I725" s="3714"/>
      <c r="J725" s="3714"/>
      <c r="K725" s="3715"/>
      <c r="L725" s="3716"/>
      <c r="M725" s="3714"/>
      <c r="N725" s="3714"/>
      <c r="O725" s="3714"/>
      <c r="P725" s="3756"/>
      <c r="Q725" s="3714"/>
      <c r="R725" s="3714"/>
      <c r="S725" s="3714"/>
      <c r="T725" s="3714"/>
      <c r="U725" s="3714"/>
      <c r="V725" s="3714"/>
      <c r="W725" s="3714"/>
      <c r="X725" s="3714"/>
      <c r="Y725" s="3714"/>
      <c r="Z725" s="3714"/>
      <c r="AA725" s="3714"/>
      <c r="AB725" s="3714"/>
      <c r="AC725" s="3714"/>
    </row>
    <row r="726" spans="1:29">
      <c r="A726" s="3714"/>
      <c r="B726" s="3714"/>
      <c r="C726" s="3714"/>
      <c r="D726" s="3714"/>
      <c r="E726" s="3714"/>
      <c r="F726" s="3714"/>
      <c r="G726" s="3714"/>
      <c r="H726" s="3714"/>
      <c r="I726" s="3714"/>
      <c r="J726" s="3714"/>
      <c r="K726" s="3715"/>
      <c r="L726" s="3716"/>
      <c r="M726" s="3714"/>
      <c r="N726" s="3714"/>
      <c r="O726" s="3714"/>
      <c r="P726" s="3756"/>
      <c r="Q726" s="3714"/>
      <c r="R726" s="3714"/>
      <c r="S726" s="3714"/>
      <c r="T726" s="3714"/>
      <c r="U726" s="3714"/>
      <c r="V726" s="3714"/>
      <c r="W726" s="3714"/>
      <c r="X726" s="3714"/>
      <c r="Y726" s="3714"/>
      <c r="Z726" s="3714"/>
      <c r="AA726" s="3714"/>
      <c r="AB726" s="3714"/>
      <c r="AC726" s="3714"/>
    </row>
    <row r="727" spans="1:29">
      <c r="A727" s="3714"/>
      <c r="B727" s="3714"/>
      <c r="C727" s="3714"/>
      <c r="D727" s="3714"/>
      <c r="E727" s="3714"/>
      <c r="F727" s="3714"/>
      <c r="G727" s="3714"/>
      <c r="H727" s="3714"/>
      <c r="I727" s="3714"/>
      <c r="J727" s="3714"/>
      <c r="K727" s="3715"/>
      <c r="L727" s="3716"/>
      <c r="M727" s="3714"/>
      <c r="N727" s="3714"/>
      <c r="O727" s="3714"/>
      <c r="P727" s="3756"/>
      <c r="Q727" s="3714"/>
      <c r="R727" s="3714"/>
      <c r="S727" s="3714"/>
      <c r="T727" s="3714"/>
      <c r="U727" s="3714"/>
      <c r="V727" s="3714"/>
      <c r="W727" s="3714"/>
      <c r="X727" s="3714"/>
      <c r="Y727" s="3714"/>
      <c r="Z727" s="3714"/>
      <c r="AA727" s="3714"/>
      <c r="AB727" s="3714"/>
      <c r="AC727" s="3714"/>
    </row>
    <row r="728" spans="1:29">
      <c r="A728" s="3714"/>
      <c r="B728" s="3714"/>
      <c r="C728" s="3714"/>
      <c r="D728" s="3714"/>
      <c r="E728" s="3714"/>
      <c r="F728" s="3714"/>
      <c r="G728" s="3714"/>
      <c r="H728" s="3714"/>
      <c r="I728" s="3714"/>
      <c r="J728" s="3714"/>
      <c r="K728" s="3715"/>
      <c r="L728" s="3716"/>
      <c r="M728" s="3714"/>
      <c r="N728" s="3714"/>
      <c r="O728" s="3714"/>
      <c r="P728" s="3756"/>
      <c r="Q728" s="3714"/>
      <c r="R728" s="3714"/>
      <c r="S728" s="3714"/>
      <c r="T728" s="3714"/>
      <c r="U728" s="3714"/>
      <c r="V728" s="3714"/>
      <c r="W728" s="3714"/>
      <c r="X728" s="3714"/>
      <c r="Y728" s="3714"/>
      <c r="Z728" s="3714"/>
      <c r="AA728" s="3714"/>
      <c r="AB728" s="3714"/>
      <c r="AC728" s="3714"/>
    </row>
    <row r="729" spans="1:29">
      <c r="A729" s="3714"/>
      <c r="B729" s="3714"/>
      <c r="C729" s="3714"/>
      <c r="D729" s="3714"/>
      <c r="E729" s="3714"/>
      <c r="F729" s="3714"/>
      <c r="G729" s="3714"/>
      <c r="H729" s="3714"/>
      <c r="I729" s="3714"/>
      <c r="J729" s="3714"/>
      <c r="K729" s="3715"/>
      <c r="L729" s="3716"/>
      <c r="M729" s="3714"/>
      <c r="N729" s="3714"/>
      <c r="O729" s="3714"/>
      <c r="P729" s="3756"/>
      <c r="Q729" s="3714"/>
      <c r="R729" s="3714"/>
      <c r="S729" s="3714"/>
      <c r="T729" s="3714"/>
      <c r="U729" s="3714"/>
      <c r="V729" s="3714"/>
      <c r="W729" s="3714"/>
      <c r="X729" s="3714"/>
      <c r="Y729" s="3714"/>
      <c r="Z729" s="3714"/>
      <c r="AA729" s="3714"/>
      <c r="AB729" s="3714"/>
      <c r="AC729" s="3714"/>
    </row>
    <row r="730" spans="1:29">
      <c r="A730" s="3714"/>
      <c r="B730" s="3714"/>
      <c r="C730" s="3714"/>
      <c r="D730" s="3714"/>
      <c r="E730" s="3714"/>
      <c r="F730" s="3714"/>
      <c r="G730" s="3714"/>
      <c r="H730" s="3714"/>
      <c r="I730" s="3714"/>
      <c r="J730" s="3714"/>
      <c r="K730" s="3715"/>
      <c r="L730" s="3716"/>
      <c r="M730" s="3714"/>
      <c r="N730" s="3714"/>
      <c r="O730" s="3714"/>
      <c r="P730" s="3756"/>
      <c r="Q730" s="3714"/>
      <c r="R730" s="3714"/>
      <c r="S730" s="3714"/>
      <c r="T730" s="3714"/>
      <c r="U730" s="3714"/>
      <c r="V730" s="3714"/>
      <c r="W730" s="3714"/>
      <c r="X730" s="3714"/>
      <c r="Y730" s="3714"/>
      <c r="Z730" s="3714"/>
      <c r="AA730" s="3714"/>
      <c r="AB730" s="3714"/>
      <c r="AC730" s="3714"/>
    </row>
    <row r="731" spans="1:29">
      <c r="A731" s="3714"/>
      <c r="B731" s="3714"/>
      <c r="C731" s="3714"/>
      <c r="D731" s="3714"/>
      <c r="E731" s="3714"/>
      <c r="F731" s="3714"/>
      <c r="G731" s="3714"/>
      <c r="H731" s="3714"/>
      <c r="I731" s="3714"/>
      <c r="J731" s="3714"/>
      <c r="K731" s="3715"/>
      <c r="L731" s="3716"/>
      <c r="M731" s="3714"/>
      <c r="N731" s="3714"/>
      <c r="O731" s="3714"/>
      <c r="P731" s="3756"/>
      <c r="Q731" s="3714"/>
      <c r="R731" s="3714"/>
      <c r="S731" s="3714"/>
      <c r="T731" s="3714"/>
      <c r="U731" s="3714"/>
      <c r="V731" s="3714"/>
      <c r="W731" s="3714"/>
      <c r="X731" s="3714"/>
      <c r="Y731" s="3714"/>
      <c r="Z731" s="3714"/>
      <c r="AA731" s="3714"/>
      <c r="AB731" s="3714"/>
      <c r="AC731" s="3714"/>
    </row>
    <row r="732" spans="1:29">
      <c r="A732" s="3714"/>
      <c r="B732" s="3714"/>
      <c r="C732" s="3714"/>
      <c r="D732" s="3714"/>
      <c r="E732" s="3714"/>
      <c r="F732" s="3714"/>
      <c r="G732" s="3714"/>
      <c r="H732" s="3714"/>
      <c r="I732" s="3714"/>
      <c r="J732" s="3714"/>
      <c r="K732" s="3715"/>
      <c r="L732" s="3716"/>
      <c r="M732" s="3714"/>
      <c r="N732" s="3714"/>
      <c r="O732" s="3714"/>
      <c r="P732" s="3756"/>
      <c r="Q732" s="3714"/>
      <c r="R732" s="3714"/>
      <c r="S732" s="3714"/>
      <c r="T732" s="3714"/>
      <c r="U732" s="3714"/>
      <c r="V732" s="3714"/>
      <c r="W732" s="3714"/>
      <c r="X732" s="3714"/>
      <c r="Y732" s="3714"/>
      <c r="Z732" s="3714"/>
      <c r="AA732" s="3714"/>
      <c r="AB732" s="3714"/>
      <c r="AC732" s="3714"/>
    </row>
    <row r="733" spans="1:29">
      <c r="A733" s="3714"/>
      <c r="B733" s="3714"/>
      <c r="C733" s="3714"/>
      <c r="D733" s="3714"/>
      <c r="E733" s="3714"/>
      <c r="F733" s="3714"/>
      <c r="G733" s="3714"/>
      <c r="H733" s="3714"/>
      <c r="I733" s="3714"/>
      <c r="J733" s="3714"/>
      <c r="K733" s="3715"/>
      <c r="L733" s="3716"/>
      <c r="M733" s="3714"/>
      <c r="N733" s="3714"/>
      <c r="O733" s="3714"/>
      <c r="P733" s="3756"/>
      <c r="Q733" s="3714"/>
      <c r="R733" s="3714"/>
      <c r="S733" s="3714"/>
      <c r="T733" s="3714"/>
      <c r="U733" s="3714"/>
      <c r="V733" s="3714"/>
      <c r="W733" s="3714"/>
      <c r="X733" s="3714"/>
      <c r="Y733" s="3714"/>
      <c r="Z733" s="3714"/>
      <c r="AA733" s="3714"/>
      <c r="AB733" s="3714"/>
      <c r="AC733" s="3714"/>
    </row>
    <row r="734" spans="1:29">
      <c r="A734" s="3714"/>
      <c r="B734" s="3714"/>
      <c r="C734" s="3714"/>
      <c r="D734" s="3714"/>
      <c r="E734" s="3714"/>
      <c r="F734" s="3714"/>
      <c r="G734" s="3714"/>
      <c r="H734" s="3714"/>
      <c r="I734" s="3714"/>
      <c r="J734" s="3714"/>
      <c r="K734" s="3715"/>
      <c r="L734" s="3716"/>
      <c r="M734" s="3714"/>
      <c r="N734" s="3714"/>
      <c r="O734" s="3714"/>
      <c r="P734" s="3756"/>
      <c r="Q734" s="3714"/>
      <c r="R734" s="3714"/>
      <c r="S734" s="3714"/>
      <c r="T734" s="3714"/>
      <c r="U734" s="3714"/>
      <c r="V734" s="3714"/>
      <c r="W734" s="3714"/>
      <c r="X734" s="3714"/>
      <c r="Y734" s="3714"/>
      <c r="Z734" s="3714"/>
      <c r="AA734" s="3714"/>
      <c r="AB734" s="3714"/>
      <c r="AC734" s="3714"/>
    </row>
    <row r="735" spans="1:29">
      <c r="A735" s="3714"/>
      <c r="B735" s="3714"/>
      <c r="C735" s="3714"/>
      <c r="D735" s="3714"/>
      <c r="E735" s="3714"/>
      <c r="F735" s="3714"/>
      <c r="G735" s="3714"/>
      <c r="H735" s="3714"/>
      <c r="I735" s="3714"/>
      <c r="J735" s="3714"/>
      <c r="K735" s="3715"/>
      <c r="L735" s="3716"/>
      <c r="M735" s="3714"/>
      <c r="N735" s="3714"/>
      <c r="O735" s="3714"/>
      <c r="P735" s="3756"/>
      <c r="Q735" s="3714"/>
      <c r="R735" s="3714"/>
      <c r="S735" s="3714"/>
      <c r="T735" s="3714"/>
      <c r="U735" s="3714"/>
      <c r="V735" s="3714"/>
      <c r="W735" s="3714"/>
      <c r="X735" s="3714"/>
      <c r="Y735" s="3714"/>
      <c r="Z735" s="3714"/>
      <c r="AA735" s="3714"/>
      <c r="AB735" s="3714"/>
      <c r="AC735" s="3714"/>
    </row>
    <row r="736" spans="1:29">
      <c r="A736" s="3714"/>
      <c r="B736" s="3714"/>
      <c r="C736" s="3714"/>
      <c r="D736" s="3714"/>
      <c r="E736" s="3714"/>
      <c r="F736" s="3714"/>
      <c r="G736" s="3714"/>
      <c r="H736" s="3714"/>
      <c r="I736" s="3714"/>
      <c r="J736" s="3714"/>
      <c r="K736" s="3715"/>
      <c r="L736" s="3716"/>
      <c r="M736" s="3714"/>
      <c r="N736" s="3714"/>
      <c r="O736" s="3714"/>
      <c r="P736" s="3756"/>
      <c r="Q736" s="3714"/>
      <c r="R736" s="3714"/>
      <c r="S736" s="3714"/>
      <c r="T736" s="3714"/>
      <c r="U736" s="3714"/>
      <c r="V736" s="3714"/>
      <c r="W736" s="3714"/>
      <c r="X736" s="3714"/>
      <c r="Y736" s="3714"/>
      <c r="Z736" s="3714"/>
      <c r="AA736" s="3714"/>
      <c r="AB736" s="3714"/>
      <c r="AC736" s="3714"/>
    </row>
    <row r="737" spans="1:29">
      <c r="A737" s="3714"/>
      <c r="B737" s="3714"/>
      <c r="C737" s="3714"/>
      <c r="D737" s="3714"/>
      <c r="E737" s="3714"/>
      <c r="F737" s="3714"/>
      <c r="G737" s="3714"/>
      <c r="H737" s="3714"/>
      <c r="I737" s="3714"/>
      <c r="J737" s="3714"/>
      <c r="K737" s="3715"/>
      <c r="L737" s="3716"/>
      <c r="M737" s="3714"/>
      <c r="N737" s="3714"/>
      <c r="O737" s="3714"/>
      <c r="P737" s="3756"/>
      <c r="Q737" s="3714"/>
      <c r="R737" s="3714"/>
      <c r="S737" s="3714"/>
      <c r="T737" s="3714"/>
      <c r="U737" s="3714"/>
      <c r="V737" s="3714"/>
      <c r="W737" s="3714"/>
      <c r="X737" s="3714"/>
      <c r="Y737" s="3714"/>
      <c r="Z737" s="3714"/>
      <c r="AA737" s="3714"/>
      <c r="AB737" s="3714"/>
      <c r="AC737" s="3714"/>
    </row>
    <row r="738" spans="1:29">
      <c r="A738" s="3714"/>
      <c r="B738" s="3714"/>
      <c r="C738" s="3714"/>
      <c r="D738" s="3714"/>
      <c r="E738" s="3714"/>
      <c r="F738" s="3714"/>
      <c r="G738" s="3714"/>
      <c r="H738" s="3714"/>
      <c r="I738" s="3714"/>
      <c r="J738" s="3714"/>
      <c r="K738" s="3715"/>
      <c r="L738" s="3716"/>
      <c r="M738" s="3714"/>
      <c r="N738" s="3714"/>
      <c r="O738" s="3714"/>
      <c r="P738" s="3756"/>
      <c r="Q738" s="3714"/>
      <c r="R738" s="3714"/>
      <c r="S738" s="3714"/>
      <c r="T738" s="3714"/>
      <c r="U738" s="3714"/>
      <c r="V738" s="3714"/>
      <c r="W738" s="3714"/>
      <c r="X738" s="3714"/>
      <c r="Y738" s="3714"/>
      <c r="Z738" s="3714"/>
      <c r="AA738" s="3714"/>
      <c r="AB738" s="3714"/>
      <c r="AC738" s="3714"/>
    </row>
    <row r="739" spans="1:29">
      <c r="A739" s="3714"/>
      <c r="B739" s="3714"/>
      <c r="C739" s="3714"/>
      <c r="D739" s="3714"/>
      <c r="E739" s="3714"/>
      <c r="F739" s="3714"/>
      <c r="G739" s="3714"/>
      <c r="H739" s="3714"/>
      <c r="I739" s="3714"/>
      <c r="J739" s="3714"/>
      <c r="K739" s="3715"/>
      <c r="L739" s="3716"/>
      <c r="M739" s="3714"/>
      <c r="N739" s="3714"/>
      <c r="O739" s="3714"/>
      <c r="P739" s="3756"/>
      <c r="Q739" s="3714"/>
      <c r="R739" s="3714"/>
      <c r="S739" s="3714"/>
      <c r="T739" s="3714"/>
      <c r="U739" s="3714"/>
      <c r="V739" s="3714"/>
      <c r="W739" s="3714"/>
      <c r="X739" s="3714"/>
      <c r="Y739" s="3714"/>
      <c r="Z739" s="3714"/>
      <c r="AA739" s="3714"/>
      <c r="AB739" s="3714"/>
      <c r="AC739" s="3714"/>
    </row>
    <row r="740" spans="1:29">
      <c r="A740" s="3714"/>
      <c r="B740" s="3714"/>
      <c r="C740" s="3714"/>
      <c r="D740" s="3714"/>
      <c r="E740" s="3714"/>
      <c r="F740" s="3714"/>
      <c r="G740" s="3714"/>
      <c r="H740" s="3714"/>
      <c r="I740" s="3714"/>
      <c r="J740" s="3714"/>
      <c r="K740" s="3715"/>
      <c r="L740" s="3716"/>
      <c r="M740" s="3714"/>
      <c r="N740" s="3714"/>
      <c r="O740" s="3714"/>
      <c r="P740" s="3756"/>
      <c r="Q740" s="3714"/>
      <c r="R740" s="3714"/>
      <c r="S740" s="3714"/>
      <c r="T740" s="3714"/>
      <c r="U740" s="3714"/>
      <c r="V740" s="3714"/>
      <c r="W740" s="3714"/>
      <c r="X740" s="3714"/>
      <c r="Y740" s="3714"/>
      <c r="Z740" s="3714"/>
      <c r="AA740" s="3714"/>
      <c r="AB740" s="3714"/>
      <c r="AC740" s="3714"/>
    </row>
    <row r="741" spans="1:29">
      <c r="A741" s="3714"/>
      <c r="B741" s="3714"/>
      <c r="C741" s="3714"/>
      <c r="D741" s="3714"/>
      <c r="E741" s="3714"/>
      <c r="F741" s="3714"/>
      <c r="G741" s="3714"/>
      <c r="H741" s="3714"/>
      <c r="I741" s="3714"/>
      <c r="J741" s="3714"/>
      <c r="K741" s="3715"/>
      <c r="L741" s="3716"/>
      <c r="M741" s="3714"/>
      <c r="N741" s="3714"/>
      <c r="O741" s="3714"/>
      <c r="P741" s="3756"/>
      <c r="Q741" s="3714"/>
      <c r="R741" s="3714"/>
      <c r="S741" s="3714"/>
      <c r="T741" s="3714"/>
      <c r="U741" s="3714"/>
      <c r="V741" s="3714"/>
      <c r="W741" s="3714"/>
      <c r="X741" s="3714"/>
      <c r="Y741" s="3714"/>
      <c r="Z741" s="3714"/>
      <c r="AA741" s="3714"/>
      <c r="AB741" s="3714"/>
      <c r="AC741" s="3714"/>
    </row>
    <row r="742" spans="1:29">
      <c r="A742" s="3714"/>
      <c r="B742" s="3714"/>
      <c r="C742" s="3714"/>
      <c r="D742" s="3714"/>
      <c r="E742" s="3714"/>
      <c r="F742" s="3714"/>
      <c r="G742" s="3714"/>
      <c r="H742" s="3714"/>
      <c r="I742" s="3714"/>
      <c r="J742" s="3714"/>
      <c r="K742" s="3715"/>
      <c r="L742" s="3716"/>
      <c r="M742" s="3714"/>
      <c r="N742" s="3714"/>
      <c r="O742" s="3714"/>
      <c r="P742" s="3756"/>
      <c r="Q742" s="3714"/>
      <c r="R742" s="3714"/>
      <c r="S742" s="3714"/>
      <c r="T742" s="3714"/>
      <c r="U742" s="3714"/>
      <c r="V742" s="3714"/>
      <c r="W742" s="3714"/>
      <c r="X742" s="3714"/>
      <c r="Y742" s="3714"/>
      <c r="Z742" s="3714"/>
      <c r="AA742" s="3714"/>
      <c r="AB742" s="3714"/>
      <c r="AC742" s="3714"/>
    </row>
    <row r="743" spans="1:29">
      <c r="A743" s="3714"/>
      <c r="B743" s="3714"/>
      <c r="C743" s="3714"/>
      <c r="D743" s="3714"/>
      <c r="E743" s="3714"/>
      <c r="F743" s="3714"/>
      <c r="G743" s="3714"/>
      <c r="H743" s="3714"/>
      <c r="I743" s="3714"/>
      <c r="J743" s="3714"/>
      <c r="K743" s="3715"/>
      <c r="L743" s="3716"/>
      <c r="M743" s="3714"/>
      <c r="N743" s="3714"/>
      <c r="O743" s="3714"/>
      <c r="P743" s="3756"/>
      <c r="Q743" s="3714"/>
      <c r="R743" s="3714"/>
      <c r="S743" s="3714"/>
      <c r="T743" s="3714"/>
      <c r="U743" s="3714"/>
      <c r="V743" s="3714"/>
      <c r="W743" s="3714"/>
      <c r="X743" s="3714"/>
      <c r="Y743" s="3714"/>
      <c r="Z743" s="3714"/>
      <c r="AA743" s="3714"/>
      <c r="AB743" s="3714"/>
      <c r="AC743" s="3714"/>
    </row>
    <row r="744" spans="1:29">
      <c r="A744" s="3714"/>
      <c r="B744" s="3714"/>
      <c r="C744" s="3714"/>
      <c r="D744" s="3714"/>
      <c r="E744" s="3714"/>
      <c r="F744" s="3714"/>
      <c r="G744" s="3714"/>
      <c r="H744" s="3714"/>
      <c r="I744" s="3714"/>
      <c r="J744" s="3714"/>
      <c r="K744" s="3715"/>
      <c r="L744" s="3716"/>
      <c r="M744" s="3714"/>
      <c r="N744" s="3714"/>
      <c r="O744" s="3714"/>
      <c r="P744" s="3756"/>
      <c r="Q744" s="3714"/>
      <c r="R744" s="3714"/>
      <c r="S744" s="3714"/>
      <c r="T744" s="3714"/>
      <c r="U744" s="3714"/>
      <c r="V744" s="3714"/>
      <c r="W744" s="3714"/>
      <c r="X744" s="3714"/>
      <c r="Y744" s="3714"/>
      <c r="Z744" s="3714"/>
      <c r="AA744" s="3714"/>
      <c r="AB744" s="3714"/>
      <c r="AC744" s="3714"/>
    </row>
    <row r="745" spans="1:29">
      <c r="A745" s="3714"/>
      <c r="B745" s="3714"/>
      <c r="C745" s="3714"/>
      <c r="D745" s="3714"/>
      <c r="E745" s="3714"/>
      <c r="F745" s="3714"/>
      <c r="G745" s="3714"/>
      <c r="H745" s="3714"/>
      <c r="I745" s="3714"/>
      <c r="J745" s="3714"/>
      <c r="K745" s="3715"/>
      <c r="L745" s="3716"/>
      <c r="M745" s="3714"/>
      <c r="N745" s="3714"/>
      <c r="O745" s="3714"/>
      <c r="P745" s="3756"/>
      <c r="Q745" s="3714"/>
      <c r="R745" s="3714"/>
      <c r="S745" s="3714"/>
      <c r="T745" s="3714"/>
      <c r="U745" s="3714"/>
      <c r="V745" s="3714"/>
      <c r="W745" s="3714"/>
      <c r="X745" s="3714"/>
      <c r="Y745" s="3714"/>
      <c r="Z745" s="3714"/>
      <c r="AA745" s="3714"/>
      <c r="AB745" s="3714"/>
      <c r="AC745" s="3714"/>
    </row>
    <row r="746" spans="1:29">
      <c r="A746" s="3714"/>
      <c r="B746" s="3714"/>
      <c r="C746" s="3714"/>
      <c r="D746" s="3714"/>
      <c r="E746" s="3714"/>
      <c r="F746" s="3714"/>
      <c r="G746" s="3714"/>
      <c r="H746" s="3714"/>
      <c r="I746" s="3714"/>
      <c r="J746" s="3714"/>
      <c r="K746" s="3715"/>
      <c r="L746" s="3716"/>
      <c r="M746" s="3714"/>
      <c r="N746" s="3714"/>
      <c r="O746" s="3714"/>
      <c r="P746" s="3756"/>
      <c r="Q746" s="3714"/>
      <c r="R746" s="3714"/>
      <c r="S746" s="3714"/>
      <c r="T746" s="3714"/>
      <c r="U746" s="3714"/>
      <c r="V746" s="3714"/>
      <c r="W746" s="3714"/>
      <c r="X746" s="3714"/>
      <c r="Y746" s="3714"/>
      <c r="Z746" s="3714"/>
      <c r="AA746" s="3714"/>
      <c r="AB746" s="3714"/>
      <c r="AC746" s="3714"/>
    </row>
    <row r="747" spans="1:29">
      <c r="A747" s="3714"/>
      <c r="B747" s="3714"/>
      <c r="C747" s="3714"/>
      <c r="D747" s="3714"/>
      <c r="E747" s="3714"/>
      <c r="F747" s="3714"/>
      <c r="G747" s="3714"/>
      <c r="H747" s="3714"/>
      <c r="I747" s="3714"/>
      <c r="J747" s="3714"/>
      <c r="K747" s="3715"/>
      <c r="L747" s="3716"/>
      <c r="M747" s="3714"/>
      <c r="N747" s="3714"/>
      <c r="O747" s="3714"/>
      <c r="P747" s="3756"/>
      <c r="Q747" s="3714"/>
      <c r="R747" s="3714"/>
      <c r="S747" s="3714"/>
      <c r="T747" s="3714"/>
      <c r="U747" s="3714"/>
      <c r="V747" s="3714"/>
      <c r="W747" s="3714"/>
      <c r="X747" s="3714"/>
      <c r="Y747" s="3714"/>
      <c r="Z747" s="3714"/>
      <c r="AA747" s="3714"/>
      <c r="AB747" s="3714"/>
      <c r="AC747" s="3714"/>
    </row>
    <row r="748" spans="1:29">
      <c r="A748" s="3714"/>
      <c r="B748" s="3714"/>
      <c r="C748" s="3714"/>
      <c r="D748" s="3714"/>
      <c r="E748" s="3714"/>
      <c r="F748" s="3714"/>
      <c r="G748" s="3714"/>
      <c r="H748" s="3714"/>
      <c r="I748" s="3714"/>
      <c r="J748" s="3714"/>
      <c r="K748" s="3715"/>
      <c r="L748" s="3716"/>
      <c r="M748" s="3714"/>
      <c r="N748" s="3714"/>
      <c r="O748" s="3714"/>
      <c r="P748" s="3756"/>
      <c r="Q748" s="3714"/>
      <c r="R748" s="3714"/>
      <c r="S748" s="3714"/>
      <c r="T748" s="3714"/>
      <c r="U748" s="3714"/>
      <c r="V748" s="3714"/>
      <c r="W748" s="3714"/>
      <c r="X748" s="3714"/>
      <c r="Y748" s="3714"/>
      <c r="Z748" s="3714"/>
      <c r="AA748" s="3714"/>
      <c r="AB748" s="3714"/>
      <c r="AC748" s="3714"/>
    </row>
    <row r="749" spans="1:29">
      <c r="A749" s="3714"/>
      <c r="B749" s="3714"/>
      <c r="C749" s="3714"/>
      <c r="D749" s="3714"/>
      <c r="E749" s="3714"/>
      <c r="F749" s="3714"/>
      <c r="G749" s="3714"/>
      <c r="H749" s="3714"/>
      <c r="I749" s="3714"/>
      <c r="J749" s="3714"/>
      <c r="K749" s="3715"/>
      <c r="L749" s="3716"/>
      <c r="M749" s="3714"/>
      <c r="N749" s="3714"/>
      <c r="O749" s="3714"/>
      <c r="P749" s="3756"/>
      <c r="Q749" s="3714"/>
      <c r="R749" s="3714"/>
      <c r="S749" s="3714"/>
      <c r="T749" s="3714"/>
      <c r="U749" s="3714"/>
      <c r="V749" s="3714"/>
      <c r="W749" s="3714"/>
      <c r="X749" s="3714"/>
      <c r="Y749" s="3714"/>
      <c r="Z749" s="3714"/>
      <c r="AA749" s="3714"/>
      <c r="AB749" s="3714"/>
      <c r="AC749" s="3714"/>
    </row>
    <row r="750" spans="1:29">
      <c r="A750" s="3714"/>
      <c r="B750" s="3714"/>
      <c r="C750" s="3714"/>
      <c r="D750" s="3714"/>
      <c r="E750" s="3714"/>
      <c r="F750" s="3714"/>
      <c r="G750" s="3714"/>
      <c r="H750" s="3714"/>
      <c r="I750" s="3714"/>
      <c r="J750" s="3714"/>
      <c r="K750" s="3715"/>
      <c r="L750" s="3716"/>
      <c r="M750" s="3714"/>
      <c r="N750" s="3714"/>
      <c r="O750" s="3714"/>
      <c r="P750" s="3756"/>
      <c r="Q750" s="3714"/>
      <c r="R750" s="3714"/>
      <c r="S750" s="3714"/>
      <c r="T750" s="3714"/>
      <c r="U750" s="3714"/>
      <c r="V750" s="3714"/>
      <c r="W750" s="3714"/>
      <c r="X750" s="3714"/>
      <c r="Y750" s="3714"/>
      <c r="Z750" s="3714"/>
      <c r="AA750" s="3714"/>
      <c r="AB750" s="3714"/>
      <c r="AC750" s="3714"/>
    </row>
    <row r="751" spans="1:29">
      <c r="A751" s="3714"/>
      <c r="B751" s="3714"/>
      <c r="C751" s="3714"/>
      <c r="D751" s="3714"/>
      <c r="E751" s="3714"/>
      <c r="F751" s="3714"/>
      <c r="G751" s="3714"/>
      <c r="H751" s="3714"/>
      <c r="I751" s="3714"/>
      <c r="J751" s="3714"/>
      <c r="K751" s="3715"/>
      <c r="L751" s="3716"/>
      <c r="M751" s="3714"/>
      <c r="N751" s="3714"/>
      <c r="O751" s="3714"/>
      <c r="P751" s="3756"/>
      <c r="Q751" s="3714"/>
      <c r="R751" s="3714"/>
      <c r="S751" s="3714"/>
      <c r="T751" s="3714"/>
      <c r="U751" s="3714"/>
      <c r="V751" s="3714"/>
      <c r="W751" s="3714"/>
      <c r="X751" s="3714"/>
      <c r="Y751" s="3714"/>
      <c r="Z751" s="3714"/>
      <c r="AA751" s="3714"/>
      <c r="AB751" s="3714"/>
      <c r="AC751" s="3714"/>
    </row>
    <row r="752" spans="1:29">
      <c r="A752" s="3714"/>
      <c r="B752" s="3714"/>
      <c r="C752" s="3714"/>
      <c r="D752" s="3714"/>
      <c r="E752" s="3714"/>
      <c r="F752" s="3714"/>
      <c r="G752" s="3714"/>
      <c r="H752" s="3714"/>
      <c r="I752" s="3714"/>
      <c r="J752" s="3714"/>
      <c r="K752" s="3715"/>
      <c r="L752" s="3716"/>
      <c r="M752" s="3714"/>
      <c r="N752" s="3714"/>
      <c r="O752" s="3714"/>
      <c r="P752" s="3756"/>
      <c r="Q752" s="3714"/>
      <c r="R752" s="3714"/>
      <c r="S752" s="3714"/>
      <c r="T752" s="3714"/>
      <c r="U752" s="3714"/>
      <c r="V752" s="3714"/>
      <c r="W752" s="3714"/>
      <c r="X752" s="3714"/>
      <c r="Y752" s="3714"/>
      <c r="Z752" s="3714"/>
      <c r="AA752" s="3714"/>
      <c r="AB752" s="3714"/>
      <c r="AC752" s="3714"/>
    </row>
    <row r="753" spans="1:29">
      <c r="A753" s="3714"/>
      <c r="B753" s="3714"/>
      <c r="C753" s="3714"/>
      <c r="D753" s="3714"/>
      <c r="E753" s="3714"/>
      <c r="F753" s="3714"/>
      <c r="G753" s="3714"/>
      <c r="H753" s="3714"/>
      <c r="I753" s="3714"/>
      <c r="J753" s="3714"/>
      <c r="K753" s="3715"/>
      <c r="L753" s="3716"/>
      <c r="M753" s="3714"/>
      <c r="N753" s="3714"/>
      <c r="O753" s="3714"/>
      <c r="P753" s="3756"/>
      <c r="Q753" s="3714"/>
      <c r="R753" s="3714"/>
      <c r="S753" s="3714"/>
      <c r="T753" s="3714"/>
      <c r="U753" s="3714"/>
      <c r="V753" s="3714"/>
      <c r="W753" s="3714"/>
      <c r="X753" s="3714"/>
      <c r="Y753" s="3714"/>
      <c r="Z753" s="3714"/>
      <c r="AA753" s="3714"/>
      <c r="AB753" s="3714"/>
      <c r="AC753" s="3714"/>
    </row>
    <row r="754" spans="1:29">
      <c r="A754" s="3714"/>
      <c r="B754" s="3714"/>
      <c r="C754" s="3714"/>
      <c r="D754" s="3714"/>
      <c r="E754" s="3714"/>
      <c r="F754" s="3714"/>
      <c r="G754" s="3714"/>
      <c r="H754" s="3714"/>
      <c r="I754" s="3714"/>
      <c r="J754" s="3714"/>
      <c r="K754" s="3715"/>
      <c r="L754" s="3716"/>
      <c r="M754" s="3714"/>
      <c r="N754" s="3714"/>
      <c r="O754" s="3714"/>
      <c r="P754" s="3756"/>
      <c r="Q754" s="3714"/>
      <c r="R754" s="3714"/>
      <c r="S754" s="3714"/>
      <c r="T754" s="3714"/>
      <c r="U754" s="3714"/>
      <c r="V754" s="3714"/>
      <c r="W754" s="3714"/>
      <c r="X754" s="3714"/>
      <c r="Y754" s="3714"/>
      <c r="Z754" s="3714"/>
      <c r="AA754" s="3714"/>
      <c r="AB754" s="3714"/>
      <c r="AC754" s="3714"/>
    </row>
    <row r="755" spans="1:29">
      <c r="A755" s="3714"/>
      <c r="B755" s="3714"/>
      <c r="C755" s="3714"/>
      <c r="D755" s="3714"/>
      <c r="E755" s="3714"/>
      <c r="F755" s="3714"/>
      <c r="G755" s="3714"/>
      <c r="H755" s="3714"/>
      <c r="I755" s="3714"/>
      <c r="J755" s="3714"/>
      <c r="K755" s="3715"/>
      <c r="L755" s="3716"/>
      <c r="M755" s="3714"/>
      <c r="N755" s="3714"/>
      <c r="O755" s="3714"/>
      <c r="P755" s="3756"/>
      <c r="Q755" s="3714"/>
      <c r="R755" s="3714"/>
      <c r="S755" s="3714"/>
      <c r="T755" s="3714"/>
      <c r="U755" s="3714"/>
      <c r="V755" s="3714"/>
      <c r="W755" s="3714"/>
      <c r="X755" s="3714"/>
      <c r="Y755" s="3714"/>
      <c r="Z755" s="3714"/>
      <c r="AA755" s="3714"/>
      <c r="AB755" s="3714"/>
      <c r="AC755" s="3714"/>
    </row>
    <row r="756" spans="1:29">
      <c r="A756" s="3714"/>
      <c r="B756" s="3714"/>
      <c r="C756" s="3714"/>
      <c r="D756" s="3714"/>
      <c r="E756" s="3714"/>
      <c r="F756" s="3714"/>
      <c r="G756" s="3714"/>
      <c r="H756" s="3714"/>
      <c r="I756" s="3714"/>
      <c r="J756" s="3714"/>
      <c r="K756" s="3715"/>
      <c r="L756" s="3716"/>
      <c r="M756" s="3714"/>
      <c r="N756" s="3714"/>
      <c r="O756" s="3714"/>
      <c r="P756" s="3756"/>
      <c r="Q756" s="3714"/>
      <c r="R756" s="3714"/>
      <c r="S756" s="3714"/>
      <c r="T756" s="3714"/>
      <c r="U756" s="3714"/>
      <c r="V756" s="3714"/>
      <c r="W756" s="3714"/>
      <c r="X756" s="3714"/>
      <c r="Y756" s="3714"/>
      <c r="Z756" s="3714"/>
      <c r="AA756" s="3714"/>
      <c r="AB756" s="3714"/>
      <c r="AC756" s="3714"/>
    </row>
    <row r="757" spans="1:29">
      <c r="A757" s="3714"/>
      <c r="B757" s="3714"/>
      <c r="C757" s="3714"/>
      <c r="D757" s="3714"/>
      <c r="E757" s="3714"/>
      <c r="F757" s="3714"/>
      <c r="G757" s="3714"/>
      <c r="H757" s="3714"/>
      <c r="I757" s="3714"/>
      <c r="J757" s="3714"/>
      <c r="K757" s="3715"/>
      <c r="L757" s="3716"/>
      <c r="M757" s="3714"/>
      <c r="N757" s="3714"/>
      <c r="O757" s="3714"/>
      <c r="P757" s="3756"/>
      <c r="Q757" s="3714"/>
      <c r="R757" s="3714"/>
      <c r="S757" s="3714"/>
      <c r="T757" s="3714"/>
      <c r="U757" s="3714"/>
      <c r="V757" s="3714"/>
      <c r="W757" s="3714"/>
      <c r="X757" s="3714"/>
      <c r="Y757" s="3714"/>
      <c r="Z757" s="3714"/>
      <c r="AA757" s="3714"/>
      <c r="AB757" s="3714"/>
      <c r="AC757" s="3714"/>
    </row>
    <row r="758" spans="1:29">
      <c r="A758" s="3714"/>
      <c r="B758" s="3714"/>
      <c r="C758" s="3714"/>
      <c r="D758" s="3714"/>
      <c r="E758" s="3714"/>
      <c r="F758" s="3714"/>
      <c r="G758" s="3714"/>
      <c r="H758" s="3714"/>
      <c r="I758" s="3714"/>
      <c r="J758" s="3714"/>
      <c r="K758" s="3715"/>
      <c r="L758" s="3716"/>
      <c r="M758" s="3714"/>
      <c r="N758" s="3714"/>
      <c r="O758" s="3714"/>
      <c r="P758" s="3756"/>
      <c r="Q758" s="3714"/>
      <c r="R758" s="3714"/>
      <c r="S758" s="3714"/>
      <c r="T758" s="3714"/>
      <c r="U758" s="3714"/>
      <c r="V758" s="3714"/>
      <c r="W758" s="3714"/>
      <c r="X758" s="3714"/>
      <c r="Y758" s="3714"/>
      <c r="Z758" s="3714"/>
      <c r="AA758" s="3714"/>
      <c r="AB758" s="3714"/>
      <c r="AC758" s="3714"/>
    </row>
    <row r="759" spans="1:29">
      <c r="A759" s="3714"/>
      <c r="B759" s="3714"/>
      <c r="C759" s="3714"/>
      <c r="D759" s="3714"/>
      <c r="E759" s="3714"/>
      <c r="F759" s="3714"/>
      <c r="G759" s="3714"/>
      <c r="H759" s="3714"/>
      <c r="I759" s="3714"/>
      <c r="J759" s="3714"/>
      <c r="K759" s="3715"/>
      <c r="L759" s="3716"/>
      <c r="M759" s="3714"/>
      <c r="N759" s="3714"/>
      <c r="O759" s="3714"/>
      <c r="P759" s="3756"/>
      <c r="Q759" s="3714"/>
      <c r="R759" s="3714"/>
      <c r="S759" s="3714"/>
      <c r="T759" s="3714"/>
      <c r="U759" s="3714"/>
      <c r="V759" s="3714"/>
      <c r="W759" s="3714"/>
      <c r="X759" s="3714"/>
      <c r="Y759" s="3714"/>
      <c r="Z759" s="3714"/>
      <c r="AA759" s="3714"/>
      <c r="AB759" s="3714"/>
      <c r="AC759" s="3714"/>
    </row>
    <row r="760" spans="1:29">
      <c r="A760" s="3714"/>
      <c r="B760" s="3714"/>
      <c r="C760" s="3714"/>
      <c r="D760" s="3714"/>
      <c r="E760" s="3714"/>
      <c r="F760" s="3714"/>
      <c r="G760" s="3714"/>
      <c r="H760" s="3714"/>
      <c r="I760" s="3714"/>
      <c r="J760" s="3714"/>
      <c r="K760" s="3715"/>
      <c r="L760" s="3716"/>
      <c r="M760" s="3714"/>
      <c r="N760" s="3714"/>
      <c r="O760" s="3714"/>
      <c r="P760" s="3756"/>
      <c r="Q760" s="3714"/>
      <c r="R760" s="3714"/>
      <c r="S760" s="3714"/>
      <c r="T760" s="3714"/>
      <c r="U760" s="3714"/>
      <c r="V760" s="3714"/>
      <c r="W760" s="3714"/>
      <c r="X760" s="3714"/>
      <c r="Y760" s="3714"/>
      <c r="Z760" s="3714"/>
      <c r="AA760" s="3714"/>
      <c r="AB760" s="3714"/>
      <c r="AC760" s="3714"/>
    </row>
    <row r="761" spans="1:29">
      <c r="A761" s="3714"/>
      <c r="B761" s="3714"/>
      <c r="C761" s="3714"/>
      <c r="D761" s="3714"/>
      <c r="E761" s="3714"/>
      <c r="F761" s="3714"/>
      <c r="G761" s="3714"/>
      <c r="H761" s="3714"/>
      <c r="I761" s="3714"/>
      <c r="J761" s="3714"/>
      <c r="K761" s="3715"/>
      <c r="L761" s="3716"/>
      <c r="M761" s="3714"/>
      <c r="N761" s="3714"/>
      <c r="O761" s="3714"/>
      <c r="P761" s="3756"/>
      <c r="Q761" s="3714"/>
      <c r="R761" s="3714"/>
      <c r="S761" s="3714"/>
      <c r="T761" s="3714"/>
      <c r="U761" s="3714"/>
      <c r="V761" s="3714"/>
      <c r="W761" s="3714"/>
      <c r="X761" s="3714"/>
      <c r="Y761" s="3714"/>
      <c r="Z761" s="3714"/>
      <c r="AA761" s="3714"/>
      <c r="AB761" s="3714"/>
      <c r="AC761" s="3714"/>
    </row>
    <row r="762" spans="1:29">
      <c r="A762" s="3714"/>
      <c r="B762" s="3714"/>
      <c r="C762" s="3714"/>
      <c r="D762" s="3714"/>
      <c r="E762" s="3714"/>
      <c r="F762" s="3714"/>
      <c r="G762" s="3714"/>
      <c r="H762" s="3714"/>
      <c r="I762" s="3714"/>
      <c r="J762" s="3714"/>
      <c r="K762" s="3715"/>
      <c r="L762" s="3716"/>
      <c r="M762" s="3714"/>
      <c r="N762" s="3714"/>
      <c r="O762" s="3714"/>
      <c r="P762" s="3756"/>
      <c r="Q762" s="3714"/>
      <c r="R762" s="3714"/>
      <c r="S762" s="3714"/>
      <c r="T762" s="3714"/>
      <c r="U762" s="3714"/>
      <c r="V762" s="3714"/>
      <c r="W762" s="3714"/>
      <c r="X762" s="3714"/>
      <c r="Y762" s="3714"/>
      <c r="Z762" s="3714"/>
      <c r="AA762" s="3714"/>
      <c r="AB762" s="3714"/>
      <c r="AC762" s="3714"/>
    </row>
    <row r="763" spans="1:29">
      <c r="A763" s="3714"/>
      <c r="B763" s="3714"/>
      <c r="C763" s="3714"/>
      <c r="D763" s="3714"/>
      <c r="E763" s="3714"/>
      <c r="F763" s="3714"/>
      <c r="G763" s="3714"/>
      <c r="H763" s="3714"/>
      <c r="I763" s="3714"/>
      <c r="J763" s="3714"/>
      <c r="K763" s="3715"/>
      <c r="L763" s="3716"/>
      <c r="M763" s="3714"/>
      <c r="N763" s="3714"/>
      <c r="O763" s="3714"/>
      <c r="P763" s="3756"/>
      <c r="Q763" s="3714"/>
      <c r="R763" s="3714"/>
      <c r="S763" s="3714"/>
      <c r="T763" s="3714"/>
      <c r="U763" s="3714"/>
      <c r="V763" s="3714"/>
      <c r="W763" s="3714"/>
      <c r="X763" s="3714"/>
      <c r="Y763" s="3714"/>
      <c r="Z763" s="3714"/>
      <c r="AA763" s="3714"/>
      <c r="AB763" s="3714"/>
      <c r="AC763" s="3714"/>
    </row>
    <row r="764" spans="1:29">
      <c r="A764" s="3714"/>
      <c r="B764" s="3714"/>
      <c r="C764" s="3714"/>
      <c r="D764" s="3714"/>
      <c r="E764" s="3714"/>
      <c r="F764" s="3714"/>
      <c r="G764" s="3714"/>
      <c r="H764" s="3714"/>
      <c r="I764" s="3714"/>
      <c r="J764" s="3714"/>
      <c r="K764" s="3715"/>
      <c r="L764" s="3716"/>
      <c r="M764" s="3714"/>
      <c r="N764" s="3714"/>
      <c r="O764" s="3714"/>
      <c r="P764" s="3756"/>
      <c r="Q764" s="3714"/>
      <c r="R764" s="3714"/>
      <c r="S764" s="3714"/>
      <c r="T764" s="3714"/>
      <c r="U764" s="3714"/>
      <c r="V764" s="3714"/>
      <c r="W764" s="3714"/>
      <c r="X764" s="3714"/>
      <c r="Y764" s="3714"/>
      <c r="Z764" s="3714"/>
      <c r="AA764" s="3714"/>
      <c r="AB764" s="3714"/>
      <c r="AC764" s="3714"/>
    </row>
    <row r="765" spans="1:29">
      <c r="A765" s="3714"/>
      <c r="B765" s="3714"/>
      <c r="C765" s="3714"/>
      <c r="D765" s="3714"/>
      <c r="E765" s="3714"/>
      <c r="F765" s="3714"/>
      <c r="G765" s="3714"/>
      <c r="H765" s="3714"/>
      <c r="I765" s="3714"/>
      <c r="J765" s="3714"/>
      <c r="K765" s="3715"/>
      <c r="L765" s="3716"/>
      <c r="M765" s="3714"/>
      <c r="N765" s="3714"/>
      <c r="O765" s="3714"/>
      <c r="P765" s="3756"/>
      <c r="Q765" s="3714"/>
      <c r="R765" s="3714"/>
      <c r="S765" s="3714"/>
      <c r="T765" s="3714"/>
      <c r="U765" s="3714"/>
      <c r="V765" s="3714"/>
      <c r="W765" s="3714"/>
      <c r="X765" s="3714"/>
      <c r="Y765" s="3714"/>
      <c r="Z765" s="3714"/>
      <c r="AA765" s="3714"/>
      <c r="AB765" s="3714"/>
      <c r="AC765" s="3714"/>
    </row>
    <row r="766" spans="1:29">
      <c r="A766" s="3714"/>
      <c r="B766" s="3714"/>
      <c r="C766" s="3714"/>
      <c r="D766" s="3714"/>
      <c r="E766" s="3714"/>
      <c r="F766" s="3714"/>
      <c r="G766" s="3714"/>
      <c r="H766" s="3714"/>
      <c r="I766" s="3714"/>
      <c r="J766" s="3714"/>
      <c r="K766" s="3715"/>
      <c r="L766" s="3716"/>
      <c r="M766" s="3714"/>
      <c r="N766" s="3714"/>
      <c r="O766" s="3714"/>
      <c r="P766" s="3756"/>
      <c r="Q766" s="3714"/>
      <c r="R766" s="3714"/>
      <c r="S766" s="3714"/>
      <c r="T766" s="3714"/>
      <c r="U766" s="3714"/>
      <c r="V766" s="3714"/>
      <c r="W766" s="3714"/>
      <c r="X766" s="3714"/>
      <c r="Y766" s="3714"/>
      <c r="Z766" s="3714"/>
      <c r="AA766" s="3714"/>
      <c r="AB766" s="3714"/>
      <c r="AC766" s="3714"/>
    </row>
    <row r="767" spans="1:29">
      <c r="A767" s="3714"/>
      <c r="B767" s="3714"/>
      <c r="C767" s="3714"/>
      <c r="D767" s="3714"/>
      <c r="E767" s="3714"/>
      <c r="F767" s="3714"/>
      <c r="G767" s="3714"/>
      <c r="H767" s="3714"/>
      <c r="I767" s="3714"/>
      <c r="J767" s="3714"/>
      <c r="K767" s="3715"/>
      <c r="L767" s="3716"/>
      <c r="M767" s="3714"/>
      <c r="N767" s="3714"/>
      <c r="O767" s="3714"/>
      <c r="P767" s="3756"/>
      <c r="Q767" s="3714"/>
      <c r="R767" s="3714"/>
      <c r="S767" s="3714"/>
      <c r="T767" s="3714"/>
      <c r="U767" s="3714"/>
      <c r="V767" s="3714"/>
      <c r="W767" s="3714"/>
      <c r="X767" s="3714"/>
      <c r="Y767" s="3714"/>
      <c r="Z767" s="3714"/>
      <c r="AA767" s="3714"/>
      <c r="AB767" s="3714"/>
      <c r="AC767" s="3714"/>
    </row>
    <row r="768" spans="1:29">
      <c r="A768" s="3714"/>
      <c r="B768" s="3714"/>
      <c r="C768" s="3714"/>
      <c r="D768" s="3714"/>
      <c r="E768" s="3714"/>
      <c r="F768" s="3714"/>
      <c r="G768" s="3714"/>
      <c r="H768" s="3714"/>
      <c r="I768" s="3714"/>
      <c r="J768" s="3714"/>
      <c r="K768" s="3715"/>
      <c r="L768" s="3716"/>
      <c r="M768" s="3714"/>
      <c r="N768" s="3714"/>
      <c r="O768" s="3714"/>
      <c r="P768" s="3756"/>
      <c r="Q768" s="3714"/>
      <c r="R768" s="3714"/>
      <c r="S768" s="3714"/>
      <c r="T768" s="3714"/>
      <c r="U768" s="3714"/>
      <c r="V768" s="3714"/>
      <c r="W768" s="3714"/>
      <c r="X768" s="3714"/>
      <c r="Y768" s="3714"/>
      <c r="Z768" s="3714"/>
      <c r="AA768" s="3714"/>
      <c r="AB768" s="3714"/>
      <c r="AC768" s="3714"/>
    </row>
    <row r="769" spans="1:29">
      <c r="A769" s="3714"/>
      <c r="B769" s="3714"/>
      <c r="C769" s="3714"/>
      <c r="D769" s="3714"/>
      <c r="E769" s="3714"/>
      <c r="F769" s="3714"/>
      <c r="G769" s="3714"/>
      <c r="H769" s="3714"/>
      <c r="I769" s="3714"/>
      <c r="J769" s="3714"/>
      <c r="K769" s="3715"/>
      <c r="L769" s="3716"/>
      <c r="M769" s="3714"/>
      <c r="N769" s="3714"/>
      <c r="O769" s="3714"/>
      <c r="P769" s="3756"/>
      <c r="Q769" s="3714"/>
      <c r="R769" s="3714"/>
      <c r="S769" s="3714"/>
      <c r="T769" s="3714"/>
      <c r="U769" s="3714"/>
      <c r="V769" s="3714"/>
      <c r="W769" s="3714"/>
      <c r="X769" s="3714"/>
      <c r="Y769" s="3714"/>
      <c r="Z769" s="3714"/>
      <c r="AA769" s="3714"/>
      <c r="AB769" s="3714"/>
      <c r="AC769" s="3714"/>
    </row>
    <row r="770" spans="1:29">
      <c r="A770" s="3714"/>
      <c r="B770" s="3714"/>
      <c r="C770" s="3714"/>
      <c r="D770" s="3714"/>
      <c r="E770" s="3714"/>
      <c r="F770" s="3714"/>
      <c r="G770" s="3714"/>
      <c r="H770" s="3714"/>
      <c r="I770" s="3714"/>
      <c r="J770" s="3714"/>
      <c r="K770" s="3715"/>
      <c r="L770" s="3716"/>
      <c r="M770" s="3714"/>
      <c r="N770" s="3714"/>
      <c r="O770" s="3714"/>
      <c r="P770" s="3756"/>
      <c r="Q770" s="3714"/>
      <c r="R770" s="3714"/>
      <c r="S770" s="3714"/>
      <c r="T770" s="3714"/>
      <c r="U770" s="3714"/>
      <c r="V770" s="3714"/>
      <c r="W770" s="3714"/>
      <c r="X770" s="3714"/>
      <c r="Y770" s="3714"/>
      <c r="Z770" s="3714"/>
      <c r="AA770" s="3714"/>
      <c r="AB770" s="3714"/>
      <c r="AC770" s="3714"/>
    </row>
    <row r="771" spans="1:29">
      <c r="A771" s="3714"/>
      <c r="B771" s="3714"/>
      <c r="C771" s="3714"/>
      <c r="D771" s="3714"/>
      <c r="E771" s="3714"/>
      <c r="F771" s="3714"/>
      <c r="G771" s="3714"/>
      <c r="H771" s="3714"/>
      <c r="I771" s="3714"/>
      <c r="J771" s="3714"/>
      <c r="K771" s="3715"/>
      <c r="L771" s="3716"/>
      <c r="M771" s="3714"/>
      <c r="N771" s="3714"/>
      <c r="O771" s="3714"/>
      <c r="P771" s="3756"/>
      <c r="Q771" s="3714"/>
      <c r="R771" s="3714"/>
      <c r="S771" s="3714"/>
      <c r="T771" s="3714"/>
      <c r="U771" s="3714"/>
      <c r="V771" s="3714"/>
      <c r="W771" s="3714"/>
      <c r="X771" s="3714"/>
      <c r="Y771" s="3714"/>
      <c r="Z771" s="3714"/>
      <c r="AA771" s="3714"/>
      <c r="AB771" s="3714"/>
      <c r="AC771" s="3714"/>
    </row>
    <row r="772" spans="1:29">
      <c r="A772" s="3714"/>
      <c r="B772" s="3714"/>
      <c r="C772" s="3714"/>
      <c r="D772" s="3714"/>
      <c r="E772" s="3714"/>
      <c r="F772" s="3714"/>
      <c r="G772" s="3714"/>
      <c r="H772" s="3714"/>
      <c r="I772" s="3714"/>
      <c r="J772" s="3714"/>
      <c r="K772" s="3715"/>
      <c r="L772" s="3716"/>
      <c r="M772" s="3714"/>
      <c r="N772" s="3714"/>
      <c r="O772" s="3714"/>
      <c r="P772" s="3756"/>
      <c r="Q772" s="3714"/>
      <c r="R772" s="3714"/>
      <c r="S772" s="3714"/>
      <c r="T772" s="3714"/>
      <c r="U772" s="3714"/>
      <c r="V772" s="3714"/>
      <c r="W772" s="3714"/>
      <c r="X772" s="3714"/>
      <c r="Y772" s="3714"/>
      <c r="Z772" s="3714"/>
      <c r="AA772" s="3714"/>
      <c r="AB772" s="3714"/>
      <c r="AC772" s="3714"/>
    </row>
    <row r="773" spans="1:29">
      <c r="A773" s="3714"/>
      <c r="B773" s="3714"/>
      <c r="C773" s="3714"/>
      <c r="D773" s="3714"/>
      <c r="E773" s="3714"/>
      <c r="F773" s="3714"/>
      <c r="G773" s="3714"/>
      <c r="H773" s="3714"/>
      <c r="I773" s="3714"/>
      <c r="J773" s="3714"/>
      <c r="K773" s="3715"/>
      <c r="L773" s="3716"/>
      <c r="M773" s="3714"/>
      <c r="N773" s="3714"/>
      <c r="O773" s="3714"/>
      <c r="P773" s="3756"/>
      <c r="Q773" s="3714"/>
      <c r="R773" s="3714"/>
      <c r="S773" s="3714"/>
      <c r="T773" s="3714"/>
      <c r="U773" s="3714"/>
      <c r="V773" s="3714"/>
      <c r="W773" s="3714"/>
      <c r="X773" s="3714"/>
      <c r="Y773" s="3714"/>
      <c r="Z773" s="3714"/>
      <c r="AA773" s="3714"/>
      <c r="AB773" s="3714"/>
      <c r="AC773" s="3714"/>
    </row>
    <row r="774" spans="1:29">
      <c r="A774" s="3714"/>
      <c r="B774" s="3714"/>
      <c r="C774" s="3714"/>
      <c r="D774" s="3714"/>
      <c r="E774" s="3714"/>
      <c r="F774" s="3714"/>
      <c r="G774" s="3714"/>
      <c r="H774" s="3714"/>
      <c r="I774" s="3714"/>
      <c r="J774" s="3714"/>
      <c r="K774" s="3715"/>
      <c r="L774" s="3716"/>
      <c r="M774" s="3714"/>
      <c r="N774" s="3714"/>
      <c r="O774" s="3714"/>
      <c r="P774" s="3756"/>
      <c r="Q774" s="3714"/>
      <c r="R774" s="3714"/>
      <c r="S774" s="3714"/>
      <c r="T774" s="3714"/>
      <c r="U774" s="3714"/>
      <c r="V774" s="3714"/>
      <c r="W774" s="3714"/>
      <c r="X774" s="3714"/>
      <c r="Y774" s="3714"/>
      <c r="Z774" s="3714"/>
      <c r="AA774" s="3714"/>
      <c r="AB774" s="3714"/>
      <c r="AC774" s="3714"/>
    </row>
    <row r="775" spans="1:29">
      <c r="A775" s="3714"/>
      <c r="B775" s="3714"/>
      <c r="C775" s="3714"/>
      <c r="D775" s="3714"/>
      <c r="E775" s="3714"/>
      <c r="F775" s="3714"/>
      <c r="G775" s="3714"/>
      <c r="H775" s="3714"/>
      <c r="I775" s="3714"/>
      <c r="J775" s="3714"/>
      <c r="K775" s="3715"/>
      <c r="L775" s="3716"/>
      <c r="M775" s="3714"/>
      <c r="N775" s="3714"/>
      <c r="O775" s="3714"/>
      <c r="P775" s="3756"/>
      <c r="Q775" s="3714"/>
      <c r="R775" s="3714"/>
      <c r="S775" s="3714"/>
      <c r="T775" s="3714"/>
      <c r="U775" s="3714"/>
      <c r="V775" s="3714"/>
      <c r="W775" s="3714"/>
      <c r="X775" s="3714"/>
      <c r="Y775" s="3714"/>
      <c r="Z775" s="3714"/>
      <c r="AA775" s="3714"/>
      <c r="AB775" s="3714"/>
      <c r="AC775" s="3714"/>
    </row>
    <row r="776" spans="1:29">
      <c r="A776" s="3714"/>
      <c r="B776" s="3714"/>
      <c r="C776" s="3714"/>
      <c r="D776" s="3714"/>
      <c r="E776" s="3714"/>
      <c r="F776" s="3714"/>
      <c r="G776" s="3714"/>
      <c r="H776" s="3714"/>
      <c r="I776" s="3714"/>
      <c r="J776" s="3714"/>
      <c r="K776" s="3715"/>
      <c r="L776" s="3716"/>
      <c r="M776" s="3714"/>
      <c r="N776" s="3714"/>
      <c r="O776" s="3714"/>
      <c r="P776" s="3756"/>
      <c r="Q776" s="3714"/>
      <c r="R776" s="3714"/>
      <c r="S776" s="3714"/>
      <c r="T776" s="3714"/>
      <c r="U776" s="3714"/>
      <c r="V776" s="3714"/>
      <c r="W776" s="3714"/>
      <c r="X776" s="3714"/>
      <c r="Y776" s="3714"/>
      <c r="Z776" s="3714"/>
      <c r="AA776" s="3714"/>
      <c r="AB776" s="3714"/>
      <c r="AC776" s="3714"/>
    </row>
    <row r="777" spans="1:29">
      <c r="A777" s="3714"/>
      <c r="B777" s="3714"/>
      <c r="C777" s="3714"/>
      <c r="D777" s="3714"/>
      <c r="E777" s="3714"/>
      <c r="F777" s="3714"/>
      <c r="G777" s="3714"/>
      <c r="H777" s="3714"/>
      <c r="I777" s="3714"/>
      <c r="J777" s="3714"/>
      <c r="K777" s="3715"/>
      <c r="L777" s="3716"/>
      <c r="M777" s="3714"/>
      <c r="N777" s="3714"/>
      <c r="O777" s="3714"/>
      <c r="P777" s="3756"/>
      <c r="Q777" s="3714"/>
      <c r="R777" s="3714"/>
      <c r="S777" s="3714"/>
      <c r="T777" s="3714"/>
      <c r="U777" s="3714"/>
      <c r="V777" s="3714"/>
      <c r="W777" s="3714"/>
      <c r="X777" s="3714"/>
      <c r="Y777" s="3714"/>
      <c r="Z777" s="3714"/>
      <c r="AA777" s="3714"/>
      <c r="AB777" s="3714"/>
      <c r="AC777" s="3714"/>
    </row>
    <row r="778" spans="1:29">
      <c r="A778" s="3714"/>
      <c r="B778" s="3714"/>
      <c r="C778" s="3714"/>
      <c r="D778" s="3714"/>
      <c r="E778" s="3714"/>
      <c r="F778" s="3714"/>
      <c r="G778" s="3714"/>
      <c r="H778" s="3714"/>
      <c r="I778" s="3714"/>
      <c r="J778" s="3714"/>
      <c r="K778" s="3715"/>
      <c r="L778" s="3716"/>
      <c r="M778" s="3714"/>
      <c r="N778" s="3714"/>
      <c r="O778" s="3714"/>
      <c r="P778" s="3756"/>
      <c r="Q778" s="3714"/>
      <c r="R778" s="3714"/>
      <c r="S778" s="3714"/>
      <c r="T778" s="3714"/>
      <c r="U778" s="3714"/>
      <c r="V778" s="3714"/>
      <c r="W778" s="3714"/>
      <c r="X778" s="3714"/>
      <c r="Y778" s="3714"/>
      <c r="Z778" s="3714"/>
      <c r="AA778" s="3714"/>
      <c r="AB778" s="3714"/>
      <c r="AC778" s="3714"/>
    </row>
    <row r="779" spans="1:29">
      <c r="A779" s="3714"/>
      <c r="B779" s="3714"/>
      <c r="C779" s="3714"/>
      <c r="D779" s="3714"/>
      <c r="E779" s="3714"/>
      <c r="F779" s="3714"/>
      <c r="G779" s="3714"/>
      <c r="H779" s="3714"/>
      <c r="I779" s="3714"/>
      <c r="J779" s="3714"/>
      <c r="K779" s="3715"/>
      <c r="L779" s="3716"/>
      <c r="M779" s="3714"/>
      <c r="N779" s="3714"/>
      <c r="O779" s="3714"/>
      <c r="P779" s="3756"/>
      <c r="Q779" s="3714"/>
      <c r="R779" s="3714"/>
      <c r="S779" s="3714"/>
      <c r="T779" s="3714"/>
      <c r="U779" s="3714"/>
      <c r="V779" s="3714"/>
      <c r="W779" s="3714"/>
      <c r="X779" s="3714"/>
      <c r="Y779" s="3714"/>
      <c r="Z779" s="3714"/>
      <c r="AA779" s="3714"/>
      <c r="AB779" s="3714"/>
      <c r="AC779" s="3714"/>
    </row>
    <row r="780" spans="1:29">
      <c r="A780" s="3714"/>
      <c r="B780" s="3714"/>
      <c r="C780" s="3714"/>
      <c r="D780" s="3714"/>
      <c r="E780" s="3714"/>
      <c r="F780" s="3714"/>
      <c r="G780" s="3714"/>
      <c r="H780" s="3714"/>
      <c r="I780" s="3714"/>
      <c r="J780" s="3714"/>
      <c r="K780" s="3715"/>
      <c r="L780" s="3716"/>
      <c r="M780" s="3714"/>
      <c r="N780" s="3714"/>
      <c r="O780" s="3714"/>
      <c r="P780" s="3756"/>
      <c r="Q780" s="3714"/>
      <c r="R780" s="3714"/>
      <c r="S780" s="3714"/>
      <c r="T780" s="3714"/>
      <c r="U780" s="3714"/>
      <c r="V780" s="3714"/>
      <c r="W780" s="3714"/>
      <c r="X780" s="3714"/>
      <c r="Y780" s="3714"/>
      <c r="Z780" s="3714"/>
      <c r="AA780" s="3714"/>
      <c r="AB780" s="3714"/>
      <c r="AC780" s="3714"/>
    </row>
    <row r="781" spans="1:29">
      <c r="A781" s="3714"/>
      <c r="B781" s="3714"/>
      <c r="C781" s="3714"/>
      <c r="D781" s="3714"/>
      <c r="E781" s="3714"/>
      <c r="F781" s="3714"/>
      <c r="G781" s="3714"/>
      <c r="H781" s="3714"/>
      <c r="I781" s="3714"/>
      <c r="J781" s="3714"/>
      <c r="K781" s="3715"/>
      <c r="L781" s="3716"/>
      <c r="M781" s="3714"/>
      <c r="N781" s="3714"/>
      <c r="O781" s="3714"/>
      <c r="P781" s="3756"/>
      <c r="Q781" s="3714"/>
      <c r="R781" s="3714"/>
      <c r="S781" s="3714"/>
      <c r="T781" s="3714"/>
      <c r="U781" s="3714"/>
      <c r="V781" s="3714"/>
      <c r="W781" s="3714"/>
      <c r="X781" s="3714"/>
      <c r="Y781" s="3714"/>
      <c r="Z781" s="3714"/>
      <c r="AA781" s="3714"/>
      <c r="AB781" s="3714"/>
      <c r="AC781" s="3714"/>
    </row>
    <row r="782" spans="1:29">
      <c r="A782" s="3714"/>
      <c r="B782" s="3714"/>
      <c r="C782" s="3714"/>
      <c r="D782" s="3714"/>
      <c r="E782" s="3714"/>
      <c r="F782" s="3714"/>
      <c r="G782" s="3714"/>
      <c r="H782" s="3714"/>
      <c r="I782" s="3714"/>
      <c r="J782" s="3714"/>
      <c r="K782" s="3715"/>
      <c r="L782" s="3716"/>
      <c r="M782" s="3714"/>
      <c r="N782" s="3714"/>
      <c r="O782" s="3714"/>
      <c r="P782" s="3756"/>
      <c r="Q782" s="3714"/>
      <c r="R782" s="3714"/>
      <c r="S782" s="3714"/>
      <c r="T782" s="3714"/>
      <c r="U782" s="3714"/>
      <c r="V782" s="3714"/>
      <c r="W782" s="3714"/>
      <c r="X782" s="3714"/>
      <c r="Y782" s="3714"/>
      <c r="Z782" s="3714"/>
      <c r="AA782" s="3714"/>
      <c r="AB782" s="3714"/>
      <c r="AC782" s="3714"/>
    </row>
    <row r="783" spans="1:29">
      <c r="A783" s="3714"/>
      <c r="B783" s="3714"/>
      <c r="C783" s="3714"/>
      <c r="D783" s="3714"/>
      <c r="E783" s="3714"/>
      <c r="F783" s="3714"/>
      <c r="G783" s="3714"/>
      <c r="H783" s="3714"/>
      <c r="I783" s="3714"/>
      <c r="J783" s="3714"/>
      <c r="K783" s="3715"/>
      <c r="L783" s="3716"/>
      <c r="M783" s="3714"/>
      <c r="N783" s="3714"/>
      <c r="O783" s="3714"/>
      <c r="P783" s="3756"/>
      <c r="Q783" s="3714"/>
      <c r="R783" s="3714"/>
      <c r="S783" s="3714"/>
      <c r="T783" s="3714"/>
      <c r="U783" s="3714"/>
      <c r="V783" s="3714"/>
      <c r="W783" s="3714"/>
      <c r="X783" s="3714"/>
      <c r="Y783" s="3714"/>
      <c r="Z783" s="3714"/>
      <c r="AA783" s="3714"/>
      <c r="AB783" s="3714"/>
      <c r="AC783" s="3714"/>
    </row>
    <row r="784" spans="1:29">
      <c r="A784" s="3714"/>
      <c r="B784" s="3714"/>
      <c r="C784" s="3714"/>
      <c r="D784" s="3714"/>
      <c r="E784" s="3714"/>
      <c r="F784" s="3714"/>
      <c r="G784" s="3714"/>
      <c r="H784" s="3714"/>
      <c r="I784" s="3714"/>
      <c r="J784" s="3714"/>
      <c r="K784" s="3715"/>
      <c r="L784" s="3716"/>
      <c r="M784" s="3714"/>
      <c r="N784" s="3714"/>
      <c r="O784" s="3714"/>
      <c r="P784" s="3756"/>
      <c r="Q784" s="3714"/>
      <c r="R784" s="3714"/>
      <c r="S784" s="3714"/>
      <c r="T784" s="3714"/>
      <c r="U784" s="3714"/>
      <c r="V784" s="3714"/>
      <c r="W784" s="3714"/>
      <c r="X784" s="3714"/>
      <c r="Y784" s="3714"/>
      <c r="Z784" s="3714"/>
      <c r="AA784" s="3714"/>
      <c r="AB784" s="3714"/>
      <c r="AC784" s="3714"/>
    </row>
    <row r="785" spans="1:29">
      <c r="A785" s="3714"/>
      <c r="B785" s="3714"/>
      <c r="C785" s="3714"/>
      <c r="D785" s="3714"/>
      <c r="E785" s="3714"/>
      <c r="F785" s="3714"/>
      <c r="G785" s="3714"/>
      <c r="H785" s="3714"/>
      <c r="I785" s="3714"/>
      <c r="J785" s="3714"/>
      <c r="K785" s="3715"/>
      <c r="L785" s="3716"/>
      <c r="M785" s="3714"/>
      <c r="N785" s="3714"/>
      <c r="O785" s="3714"/>
      <c r="P785" s="3756"/>
      <c r="Q785" s="3714"/>
      <c r="R785" s="3714"/>
      <c r="S785" s="3714"/>
      <c r="T785" s="3714"/>
      <c r="U785" s="3714"/>
      <c r="V785" s="3714"/>
      <c r="W785" s="3714"/>
      <c r="X785" s="3714"/>
      <c r="Y785" s="3714"/>
      <c r="Z785" s="3714"/>
      <c r="AA785" s="3714"/>
      <c r="AB785" s="3714"/>
      <c r="AC785" s="3714"/>
    </row>
    <row r="786" spans="1:29">
      <c r="A786" s="3714"/>
      <c r="B786" s="3714"/>
      <c r="C786" s="3714"/>
      <c r="D786" s="3714"/>
      <c r="E786" s="3714"/>
      <c r="F786" s="3714"/>
      <c r="G786" s="3714"/>
      <c r="H786" s="3714"/>
      <c r="I786" s="3714"/>
      <c r="J786" s="3714"/>
      <c r="K786" s="3715"/>
      <c r="L786" s="3716"/>
      <c r="M786" s="3714"/>
      <c r="N786" s="3714"/>
      <c r="O786" s="3714"/>
      <c r="P786" s="3756"/>
      <c r="Q786" s="3714"/>
      <c r="R786" s="3714"/>
      <c r="S786" s="3714"/>
      <c r="T786" s="3714"/>
      <c r="U786" s="3714"/>
      <c r="V786" s="3714"/>
      <c r="W786" s="3714"/>
      <c r="X786" s="3714"/>
      <c r="Y786" s="3714"/>
      <c r="Z786" s="3714"/>
      <c r="AA786" s="3714"/>
      <c r="AB786" s="3714"/>
      <c r="AC786" s="3714"/>
    </row>
    <row r="787" spans="1:29">
      <c r="A787" s="3714"/>
      <c r="B787" s="3714"/>
      <c r="C787" s="3714"/>
      <c r="D787" s="3714"/>
      <c r="E787" s="3714"/>
      <c r="F787" s="3714"/>
      <c r="G787" s="3714"/>
      <c r="H787" s="3714"/>
      <c r="I787" s="3714"/>
      <c r="J787" s="3714"/>
      <c r="K787" s="3715"/>
      <c r="L787" s="3716"/>
      <c r="M787" s="3714"/>
      <c r="N787" s="3714"/>
      <c r="O787" s="3714"/>
      <c r="P787" s="3756"/>
      <c r="Q787" s="3714"/>
      <c r="R787" s="3714"/>
      <c r="S787" s="3714"/>
      <c r="T787" s="3714"/>
      <c r="U787" s="3714"/>
      <c r="V787" s="3714"/>
      <c r="W787" s="3714"/>
      <c r="X787" s="3714"/>
      <c r="Y787" s="3714"/>
      <c r="Z787" s="3714"/>
      <c r="AA787" s="3714"/>
      <c r="AB787" s="3714"/>
      <c r="AC787" s="3714"/>
    </row>
    <row r="788" spans="1:29">
      <c r="A788" s="3714"/>
      <c r="B788" s="3714"/>
      <c r="C788" s="3714"/>
      <c r="D788" s="3714"/>
      <c r="E788" s="3714"/>
      <c r="F788" s="3714"/>
      <c r="G788" s="3714"/>
      <c r="H788" s="3714"/>
      <c r="I788" s="3714"/>
      <c r="J788" s="3714"/>
      <c r="K788" s="3715"/>
      <c r="L788" s="3716"/>
      <c r="M788" s="3714"/>
      <c r="N788" s="3714"/>
      <c r="O788" s="3714"/>
      <c r="P788" s="3756"/>
      <c r="Q788" s="3714"/>
      <c r="R788" s="3714"/>
      <c r="S788" s="3714"/>
      <c r="T788" s="3714"/>
      <c r="U788" s="3714"/>
      <c r="V788" s="3714"/>
      <c r="W788" s="3714"/>
      <c r="X788" s="3714"/>
      <c r="Y788" s="3714"/>
      <c r="Z788" s="3714"/>
      <c r="AA788" s="3714"/>
      <c r="AB788" s="3714"/>
      <c r="AC788" s="3714"/>
    </row>
    <row r="789" spans="1:29">
      <c r="A789" s="3714"/>
      <c r="B789" s="3714"/>
      <c r="C789" s="3714"/>
      <c r="D789" s="3714"/>
      <c r="E789" s="3714"/>
      <c r="F789" s="3714"/>
      <c r="G789" s="3714"/>
      <c r="H789" s="3714"/>
      <c r="I789" s="3714"/>
      <c r="J789" s="3714"/>
      <c r="K789" s="3715"/>
      <c r="L789" s="3716"/>
      <c r="M789" s="3714"/>
      <c r="N789" s="3714"/>
      <c r="O789" s="3714"/>
      <c r="P789" s="3756"/>
      <c r="Q789" s="3714"/>
      <c r="R789" s="3714"/>
      <c r="S789" s="3714"/>
      <c r="T789" s="3714"/>
      <c r="U789" s="3714"/>
      <c r="V789" s="3714"/>
      <c r="W789" s="3714"/>
      <c r="X789" s="3714"/>
      <c r="Y789" s="3714"/>
      <c r="Z789" s="3714"/>
      <c r="AA789" s="3714"/>
      <c r="AB789" s="3714"/>
      <c r="AC789" s="3714"/>
    </row>
    <row r="790" spans="1:29">
      <c r="A790" s="3714"/>
      <c r="B790" s="3714"/>
      <c r="C790" s="3714"/>
      <c r="D790" s="3714"/>
      <c r="E790" s="3714"/>
      <c r="F790" s="3714"/>
      <c r="G790" s="3714"/>
      <c r="H790" s="3714"/>
      <c r="I790" s="3714"/>
      <c r="J790" s="3714"/>
      <c r="K790" s="3715"/>
      <c r="L790" s="3716"/>
      <c r="M790" s="3714"/>
      <c r="N790" s="3714"/>
      <c r="O790" s="3714"/>
      <c r="P790" s="3756"/>
      <c r="Q790" s="3714"/>
      <c r="R790" s="3714"/>
      <c r="S790" s="3714"/>
      <c r="T790" s="3714"/>
      <c r="U790" s="3714"/>
      <c r="V790" s="3714"/>
      <c r="W790" s="3714"/>
      <c r="X790" s="3714"/>
      <c r="Y790" s="3714"/>
      <c r="Z790" s="3714"/>
      <c r="AA790" s="3714"/>
      <c r="AB790" s="3714"/>
      <c r="AC790" s="3714"/>
    </row>
    <row r="791" spans="1:29">
      <c r="A791" s="3714"/>
      <c r="B791" s="3714"/>
      <c r="C791" s="3714"/>
      <c r="D791" s="3714"/>
      <c r="E791" s="3714"/>
      <c r="F791" s="3714"/>
      <c r="G791" s="3714"/>
      <c r="H791" s="3714"/>
      <c r="I791" s="3714"/>
      <c r="J791" s="3714"/>
      <c r="K791" s="3715"/>
      <c r="L791" s="3716"/>
      <c r="M791" s="3714"/>
      <c r="N791" s="3714"/>
      <c r="O791" s="3714"/>
      <c r="P791" s="3756"/>
      <c r="Q791" s="3714"/>
      <c r="R791" s="3714"/>
      <c r="S791" s="3714"/>
      <c r="T791" s="3714"/>
      <c r="U791" s="3714"/>
      <c r="V791" s="3714"/>
      <c r="W791" s="3714"/>
      <c r="X791" s="3714"/>
      <c r="Y791" s="3714"/>
      <c r="Z791" s="3714"/>
      <c r="AA791" s="3714"/>
      <c r="AB791" s="3714"/>
      <c r="AC791" s="3714"/>
    </row>
    <row r="792" spans="1:29">
      <c r="A792" s="3714"/>
      <c r="B792" s="3714"/>
      <c r="C792" s="3714"/>
      <c r="D792" s="3714"/>
      <c r="E792" s="3714"/>
      <c r="F792" s="3714"/>
      <c r="G792" s="3714"/>
      <c r="H792" s="3714"/>
      <c r="I792" s="3714"/>
      <c r="J792" s="3714"/>
      <c r="K792" s="3715"/>
      <c r="L792" s="3716"/>
      <c r="M792" s="3714"/>
      <c r="N792" s="3714"/>
      <c r="O792" s="3714"/>
      <c r="P792" s="3756"/>
      <c r="Q792" s="3714"/>
      <c r="R792" s="3714"/>
      <c r="S792" s="3714"/>
      <c r="T792" s="3714"/>
      <c r="U792" s="3714"/>
      <c r="V792" s="3714"/>
      <c r="W792" s="3714"/>
      <c r="X792" s="3714"/>
      <c r="Y792" s="3714"/>
      <c r="Z792" s="3714"/>
      <c r="AA792" s="3714"/>
      <c r="AB792" s="3714"/>
      <c r="AC792" s="3714"/>
    </row>
    <row r="793" spans="1:29">
      <c r="A793" s="3714"/>
      <c r="B793" s="3714"/>
      <c r="C793" s="3714"/>
      <c r="D793" s="3714"/>
      <c r="E793" s="3714"/>
      <c r="F793" s="3714"/>
      <c r="G793" s="3714"/>
      <c r="H793" s="3714"/>
      <c r="I793" s="3714"/>
      <c r="J793" s="3714"/>
      <c r="K793" s="3715"/>
      <c r="L793" s="3716"/>
      <c r="M793" s="3714"/>
      <c r="N793" s="3714"/>
      <c r="O793" s="3714"/>
      <c r="P793" s="3756"/>
      <c r="Q793" s="3714"/>
      <c r="R793" s="3714"/>
      <c r="S793" s="3714"/>
      <c r="T793" s="3714"/>
      <c r="U793" s="3714"/>
      <c r="V793" s="3714"/>
      <c r="W793" s="3714"/>
      <c r="X793" s="3714"/>
      <c r="Y793" s="3714"/>
      <c r="Z793" s="3714"/>
      <c r="AA793" s="3714"/>
      <c r="AB793" s="3714"/>
      <c r="AC793" s="3714"/>
    </row>
    <row r="794" spans="1:29">
      <c r="A794" s="3714"/>
      <c r="B794" s="3714"/>
      <c r="C794" s="3714"/>
      <c r="D794" s="3714"/>
      <c r="E794" s="3714"/>
      <c r="F794" s="3714"/>
      <c r="G794" s="3714"/>
      <c r="H794" s="3714"/>
      <c r="I794" s="3714"/>
      <c r="J794" s="3714"/>
      <c r="K794" s="3715"/>
      <c r="L794" s="3716"/>
      <c r="M794" s="3714"/>
      <c r="N794" s="3714"/>
      <c r="O794" s="3714"/>
      <c r="P794" s="3756"/>
      <c r="Q794" s="3714"/>
      <c r="R794" s="3714"/>
      <c r="S794" s="3714"/>
      <c r="T794" s="3714"/>
      <c r="U794" s="3714"/>
      <c r="V794" s="3714"/>
      <c r="W794" s="3714"/>
      <c r="X794" s="3714"/>
      <c r="Y794" s="3714"/>
      <c r="Z794" s="3714"/>
      <c r="AA794" s="3714"/>
      <c r="AB794" s="3714"/>
      <c r="AC794" s="3714"/>
    </row>
    <row r="795" spans="1:29">
      <c r="A795" s="3714"/>
      <c r="B795" s="3714"/>
      <c r="C795" s="3714"/>
      <c r="D795" s="3714"/>
      <c r="E795" s="3714"/>
      <c r="F795" s="3714"/>
      <c r="G795" s="3714"/>
      <c r="H795" s="3714"/>
      <c r="I795" s="3714"/>
      <c r="J795" s="3714"/>
      <c r="K795" s="3715"/>
      <c r="L795" s="3716"/>
      <c r="M795" s="3714"/>
      <c r="N795" s="3714"/>
      <c r="O795" s="3714"/>
      <c r="P795" s="3756"/>
      <c r="Q795" s="3714"/>
      <c r="R795" s="3714"/>
      <c r="S795" s="3714"/>
      <c r="T795" s="3714"/>
      <c r="U795" s="3714"/>
      <c r="V795" s="3714"/>
      <c r="W795" s="3714"/>
      <c r="X795" s="3714"/>
      <c r="Y795" s="3714"/>
      <c r="Z795" s="3714"/>
      <c r="AA795" s="3714"/>
      <c r="AB795" s="3714"/>
      <c r="AC795" s="3714"/>
    </row>
    <row r="796" spans="1:29">
      <c r="A796" s="3714"/>
      <c r="B796" s="3714"/>
      <c r="C796" s="3714"/>
      <c r="D796" s="3714"/>
      <c r="E796" s="3714"/>
      <c r="F796" s="3714"/>
      <c r="G796" s="3714"/>
      <c r="H796" s="3714"/>
      <c r="I796" s="3714"/>
      <c r="J796" s="3714"/>
      <c r="K796" s="3715"/>
      <c r="L796" s="3716"/>
      <c r="M796" s="3714"/>
      <c r="N796" s="3714"/>
      <c r="O796" s="3714"/>
      <c r="P796" s="3756"/>
      <c r="Q796" s="3714"/>
      <c r="R796" s="3714"/>
      <c r="S796" s="3714"/>
      <c r="T796" s="3714"/>
      <c r="U796" s="3714"/>
      <c r="V796" s="3714"/>
      <c r="W796" s="3714"/>
      <c r="X796" s="3714"/>
      <c r="Y796" s="3714"/>
      <c r="Z796" s="3714"/>
      <c r="AA796" s="3714"/>
      <c r="AB796" s="3714"/>
      <c r="AC796" s="3714"/>
    </row>
    <row r="797" spans="1:29">
      <c r="A797" s="3714"/>
      <c r="B797" s="3714"/>
      <c r="C797" s="3714"/>
      <c r="D797" s="3714"/>
      <c r="E797" s="3714"/>
      <c r="F797" s="3714"/>
      <c r="G797" s="3714"/>
      <c r="H797" s="3714"/>
      <c r="I797" s="3714"/>
      <c r="J797" s="3714"/>
      <c r="K797" s="3715"/>
      <c r="L797" s="3716"/>
      <c r="M797" s="3714"/>
      <c r="N797" s="3714"/>
      <c r="O797" s="3714"/>
      <c r="P797" s="3756"/>
      <c r="Q797" s="3714"/>
      <c r="R797" s="3714"/>
      <c r="S797" s="3714"/>
      <c r="T797" s="3714"/>
      <c r="U797" s="3714"/>
      <c r="V797" s="3714"/>
      <c r="W797" s="3714"/>
      <c r="X797" s="3714"/>
      <c r="Y797" s="3714"/>
      <c r="Z797" s="3714"/>
      <c r="AA797" s="3714"/>
      <c r="AB797" s="3714"/>
      <c r="AC797" s="3714"/>
    </row>
    <row r="798" spans="1:29">
      <c r="A798" s="3714"/>
      <c r="B798" s="3714"/>
      <c r="C798" s="3714"/>
      <c r="D798" s="3714"/>
      <c r="E798" s="3714"/>
      <c r="F798" s="3714"/>
      <c r="G798" s="3714"/>
      <c r="H798" s="3714"/>
      <c r="I798" s="3714"/>
      <c r="J798" s="3714"/>
      <c r="K798" s="3715"/>
      <c r="L798" s="3716"/>
      <c r="M798" s="3714"/>
      <c r="N798" s="3714"/>
      <c r="O798" s="3714"/>
      <c r="P798" s="3756"/>
      <c r="Q798" s="3714"/>
      <c r="R798" s="3714"/>
      <c r="S798" s="3714"/>
      <c r="T798" s="3714"/>
      <c r="U798" s="3714"/>
      <c r="V798" s="3714"/>
      <c r="W798" s="3714"/>
      <c r="X798" s="3714"/>
      <c r="Y798" s="3714"/>
      <c r="Z798" s="3714"/>
      <c r="AA798" s="3714"/>
      <c r="AB798" s="3714"/>
      <c r="AC798" s="3714"/>
    </row>
    <row r="799" spans="1:29">
      <c r="A799" s="3714"/>
      <c r="B799" s="3714"/>
      <c r="C799" s="3714"/>
      <c r="D799" s="3714"/>
      <c r="E799" s="3714"/>
      <c r="F799" s="3714"/>
      <c r="G799" s="3714"/>
      <c r="H799" s="3714"/>
      <c r="I799" s="3714"/>
      <c r="J799" s="3714"/>
      <c r="K799" s="3715"/>
      <c r="L799" s="3716"/>
      <c r="M799" s="3714"/>
      <c r="N799" s="3714"/>
      <c r="O799" s="3714"/>
      <c r="P799" s="3756"/>
      <c r="Q799" s="3714"/>
      <c r="R799" s="3714"/>
      <c r="S799" s="3714"/>
      <c r="T799" s="3714"/>
      <c r="U799" s="3714"/>
      <c r="V799" s="3714"/>
      <c r="W799" s="3714"/>
      <c r="X799" s="3714"/>
      <c r="Y799" s="3714"/>
      <c r="Z799" s="3714"/>
      <c r="AA799" s="3714"/>
      <c r="AB799" s="3714"/>
      <c r="AC799" s="3714"/>
    </row>
    <row r="800" spans="1:29">
      <c r="A800" s="3714"/>
      <c r="B800" s="3714"/>
      <c r="C800" s="3714"/>
      <c r="D800" s="3714"/>
      <c r="E800" s="3714"/>
      <c r="F800" s="3714"/>
      <c r="G800" s="3714"/>
      <c r="H800" s="3714"/>
      <c r="I800" s="3714"/>
      <c r="J800" s="3714"/>
      <c r="K800" s="3715"/>
      <c r="L800" s="3716"/>
      <c r="M800" s="3714"/>
      <c r="N800" s="3714"/>
      <c r="O800" s="3714"/>
      <c r="P800" s="3756"/>
      <c r="Q800" s="3714"/>
      <c r="R800" s="3714"/>
      <c r="S800" s="3714"/>
      <c r="T800" s="3714"/>
      <c r="U800" s="3714"/>
      <c r="V800" s="3714"/>
      <c r="W800" s="3714"/>
      <c r="X800" s="3714"/>
      <c r="Y800" s="3714"/>
      <c r="Z800" s="3714"/>
      <c r="AA800" s="3714"/>
      <c r="AB800" s="3714"/>
      <c r="AC800" s="3714"/>
    </row>
    <row r="801" spans="1:29">
      <c r="A801" s="3714"/>
      <c r="B801" s="3714"/>
      <c r="C801" s="3714"/>
      <c r="D801" s="3714"/>
      <c r="E801" s="3714"/>
      <c r="F801" s="3714"/>
      <c r="G801" s="3714"/>
      <c r="H801" s="3714"/>
      <c r="I801" s="3714"/>
      <c r="J801" s="3714"/>
      <c r="K801" s="3715"/>
      <c r="L801" s="3716"/>
      <c r="M801" s="3714"/>
      <c r="N801" s="3714"/>
      <c r="O801" s="3714"/>
      <c r="P801" s="3756"/>
      <c r="Q801" s="3714"/>
      <c r="R801" s="3714"/>
      <c r="S801" s="3714"/>
      <c r="T801" s="3714"/>
      <c r="U801" s="3714"/>
      <c r="V801" s="3714"/>
      <c r="W801" s="3714"/>
      <c r="X801" s="3714"/>
      <c r="Y801" s="3714"/>
      <c r="Z801" s="3714"/>
      <c r="AA801" s="3714"/>
      <c r="AB801" s="3714"/>
      <c r="AC801" s="3714"/>
    </row>
    <row r="802" spans="1:29">
      <c r="A802" s="3714"/>
      <c r="B802" s="3714"/>
      <c r="C802" s="3714"/>
      <c r="D802" s="3714"/>
      <c r="E802" s="3714"/>
      <c r="F802" s="3714"/>
      <c r="G802" s="3714"/>
      <c r="H802" s="3714"/>
      <c r="I802" s="3714"/>
      <c r="J802" s="3714"/>
      <c r="K802" s="3715"/>
      <c r="L802" s="3716"/>
      <c r="M802" s="3714"/>
      <c r="N802" s="3714"/>
      <c r="O802" s="3714"/>
      <c r="P802" s="3756"/>
      <c r="Q802" s="3714"/>
      <c r="R802" s="3714"/>
      <c r="S802" s="3714"/>
      <c r="T802" s="3714"/>
      <c r="U802" s="3714"/>
      <c r="V802" s="3714"/>
      <c r="W802" s="3714"/>
      <c r="X802" s="3714"/>
      <c r="Y802" s="3714"/>
      <c r="Z802" s="3714"/>
      <c r="AA802" s="3714"/>
      <c r="AB802" s="3714"/>
      <c r="AC802" s="3714"/>
    </row>
    <row r="803" spans="1:29">
      <c r="A803" s="3714"/>
      <c r="B803" s="3714"/>
      <c r="C803" s="3714"/>
      <c r="D803" s="3714"/>
      <c r="E803" s="3714"/>
      <c r="F803" s="3714"/>
      <c r="G803" s="3714"/>
      <c r="H803" s="3714"/>
      <c r="I803" s="3714"/>
      <c r="J803" s="3714"/>
      <c r="K803" s="3715"/>
      <c r="L803" s="3716"/>
      <c r="M803" s="3714"/>
      <c r="N803" s="3714"/>
      <c r="O803" s="3714"/>
      <c r="P803" s="3756"/>
      <c r="Q803" s="3714"/>
      <c r="R803" s="3714"/>
      <c r="S803" s="3714"/>
      <c r="T803" s="3714"/>
      <c r="U803" s="3714"/>
      <c r="V803" s="3714"/>
      <c r="W803" s="3714"/>
      <c r="X803" s="3714"/>
      <c r="Y803" s="3714"/>
      <c r="Z803" s="3714"/>
      <c r="AA803" s="3714"/>
      <c r="AB803" s="3714"/>
      <c r="AC803" s="3714"/>
    </row>
    <row r="804" spans="1:29">
      <c r="A804" s="3714"/>
      <c r="B804" s="3714"/>
      <c r="C804" s="3714"/>
      <c r="D804" s="3714"/>
      <c r="E804" s="3714"/>
      <c r="F804" s="3714"/>
      <c r="G804" s="3714"/>
      <c r="H804" s="3714"/>
      <c r="I804" s="3714"/>
      <c r="J804" s="3714"/>
      <c r="K804" s="3715"/>
      <c r="L804" s="3716"/>
      <c r="M804" s="3714"/>
      <c r="N804" s="3714"/>
      <c r="O804" s="3714"/>
      <c r="P804" s="3756"/>
      <c r="Q804" s="3714"/>
      <c r="R804" s="3714"/>
      <c r="S804" s="3714"/>
      <c r="T804" s="3714"/>
      <c r="U804" s="3714"/>
      <c r="V804" s="3714"/>
      <c r="W804" s="3714"/>
      <c r="X804" s="3714"/>
      <c r="Y804" s="3714"/>
      <c r="Z804" s="3714"/>
      <c r="AA804" s="3714"/>
      <c r="AB804" s="3714"/>
      <c r="AC804" s="3714"/>
    </row>
    <row r="805" spans="1:29">
      <c r="A805" s="3714"/>
      <c r="B805" s="3714"/>
      <c r="C805" s="3714"/>
      <c r="D805" s="3714"/>
      <c r="E805" s="3714"/>
      <c r="F805" s="3714"/>
      <c r="G805" s="3714"/>
      <c r="H805" s="3714"/>
      <c r="I805" s="3714"/>
      <c r="J805" s="3714"/>
      <c r="K805" s="3715"/>
      <c r="L805" s="3716"/>
      <c r="M805" s="3714"/>
      <c r="N805" s="3714"/>
      <c r="O805" s="3714"/>
      <c r="P805" s="3756"/>
      <c r="Q805" s="3714"/>
      <c r="R805" s="3714"/>
      <c r="S805" s="3714"/>
      <c r="T805" s="3714"/>
      <c r="U805" s="3714"/>
      <c r="V805" s="3714"/>
      <c r="W805" s="3714"/>
      <c r="X805" s="3714"/>
      <c r="Y805" s="3714"/>
      <c r="Z805" s="3714"/>
      <c r="AA805" s="3714"/>
      <c r="AB805" s="3714"/>
      <c r="AC805" s="3714"/>
    </row>
    <row r="806" spans="1:29">
      <c r="A806" s="3714"/>
      <c r="B806" s="3714"/>
      <c r="C806" s="3714"/>
      <c r="D806" s="3714"/>
      <c r="E806" s="3714"/>
      <c r="F806" s="3714"/>
      <c r="G806" s="3714"/>
      <c r="H806" s="3714"/>
      <c r="I806" s="3714"/>
      <c r="J806" s="3714"/>
      <c r="K806" s="3715"/>
      <c r="L806" s="3716"/>
      <c r="M806" s="3714"/>
      <c r="N806" s="3714"/>
      <c r="O806" s="3714"/>
      <c r="P806" s="3756"/>
      <c r="Q806" s="3714"/>
      <c r="R806" s="3714"/>
      <c r="S806" s="3714"/>
      <c r="T806" s="3714"/>
      <c r="U806" s="3714"/>
      <c r="V806" s="3714"/>
      <c r="W806" s="3714"/>
      <c r="X806" s="3714"/>
      <c r="Y806" s="3714"/>
      <c r="Z806" s="3714"/>
      <c r="AA806" s="3714"/>
      <c r="AB806" s="3714"/>
      <c r="AC806" s="3714"/>
    </row>
    <row r="807" spans="1:29">
      <c r="A807" s="3714"/>
      <c r="B807" s="3714"/>
      <c r="C807" s="3714"/>
      <c r="D807" s="3714"/>
      <c r="E807" s="3714"/>
      <c r="F807" s="3714"/>
      <c r="G807" s="3714"/>
      <c r="H807" s="3714"/>
      <c r="I807" s="3714"/>
      <c r="J807" s="3714"/>
      <c r="K807" s="3715"/>
      <c r="L807" s="3716"/>
      <c r="M807" s="3714"/>
      <c r="N807" s="3714"/>
      <c r="O807" s="3714"/>
      <c r="P807" s="3756"/>
      <c r="Q807" s="3714"/>
      <c r="R807" s="3714"/>
      <c r="S807" s="3714"/>
      <c r="T807" s="3714"/>
      <c r="U807" s="3714"/>
      <c r="V807" s="3714"/>
      <c r="W807" s="3714"/>
      <c r="X807" s="3714"/>
      <c r="Y807" s="3714"/>
      <c r="Z807" s="3714"/>
      <c r="AA807" s="3714"/>
      <c r="AB807" s="3714"/>
      <c r="AC807" s="3714"/>
    </row>
    <row r="808" spans="1:29">
      <c r="A808" s="3714"/>
      <c r="B808" s="3714"/>
      <c r="C808" s="3714"/>
      <c r="D808" s="3714"/>
      <c r="E808" s="3714"/>
      <c r="F808" s="3714"/>
      <c r="G808" s="3714"/>
      <c r="H808" s="3714"/>
      <c r="I808" s="3714"/>
      <c r="J808" s="3714"/>
      <c r="K808" s="3715"/>
      <c r="L808" s="3716"/>
      <c r="M808" s="3714"/>
      <c r="N808" s="3714"/>
      <c r="O808" s="3714"/>
      <c r="P808" s="3756"/>
      <c r="Q808" s="3714"/>
      <c r="R808" s="3714"/>
      <c r="S808" s="3714"/>
      <c r="T808" s="3714"/>
      <c r="U808" s="3714"/>
      <c r="V808" s="3714"/>
      <c r="W808" s="3714"/>
      <c r="X808" s="3714"/>
      <c r="Y808" s="3714"/>
      <c r="Z808" s="3714"/>
      <c r="AA808" s="3714"/>
      <c r="AB808" s="3714"/>
      <c r="AC808" s="3714"/>
    </row>
    <row r="809" spans="1:29">
      <c r="A809" s="3714"/>
      <c r="B809" s="3714"/>
      <c r="C809" s="3714"/>
      <c r="D809" s="3714"/>
      <c r="E809" s="3714"/>
      <c r="F809" s="3714"/>
      <c r="G809" s="3714"/>
      <c r="H809" s="3714"/>
      <c r="I809" s="3714"/>
      <c r="J809" s="3714"/>
      <c r="K809" s="3715"/>
      <c r="L809" s="3716"/>
      <c r="M809" s="3714"/>
      <c r="N809" s="3714"/>
      <c r="O809" s="3714"/>
      <c r="P809" s="3756"/>
      <c r="Q809" s="3714"/>
      <c r="R809" s="3714"/>
      <c r="S809" s="3714"/>
      <c r="T809" s="3714"/>
      <c r="U809" s="3714"/>
      <c r="V809" s="3714"/>
      <c r="W809" s="3714"/>
      <c r="X809" s="3714"/>
      <c r="Y809" s="3714"/>
      <c r="Z809" s="3714"/>
      <c r="AA809" s="3714"/>
      <c r="AB809" s="3714"/>
      <c r="AC809" s="3714"/>
    </row>
    <row r="810" spans="1:29">
      <c r="A810" s="3714"/>
      <c r="B810" s="3714"/>
      <c r="C810" s="3714"/>
      <c r="D810" s="3714"/>
      <c r="E810" s="3714"/>
      <c r="F810" s="3714"/>
      <c r="G810" s="3714"/>
      <c r="H810" s="3714"/>
      <c r="I810" s="3714"/>
      <c r="J810" s="3714"/>
      <c r="K810" s="3715"/>
      <c r="L810" s="3716"/>
      <c r="M810" s="3714"/>
      <c r="N810" s="3714"/>
      <c r="O810" s="3714"/>
      <c r="P810" s="3756"/>
      <c r="Q810" s="3714"/>
      <c r="R810" s="3714"/>
      <c r="S810" s="3714"/>
      <c r="T810" s="3714"/>
      <c r="U810" s="3714"/>
      <c r="V810" s="3714"/>
      <c r="W810" s="3714"/>
      <c r="X810" s="3714"/>
      <c r="Y810" s="3714"/>
      <c r="Z810" s="3714"/>
      <c r="AA810" s="3714"/>
      <c r="AB810" s="3714"/>
      <c r="AC810" s="3714"/>
    </row>
    <row r="811" spans="1:29">
      <c r="A811" s="3714"/>
      <c r="B811" s="3714"/>
      <c r="C811" s="3714"/>
      <c r="D811" s="3714"/>
      <c r="E811" s="3714"/>
      <c r="F811" s="3714"/>
      <c r="G811" s="3714"/>
      <c r="H811" s="3714"/>
      <c r="I811" s="3714"/>
      <c r="J811" s="3714"/>
      <c r="K811" s="3715"/>
      <c r="L811" s="3716"/>
      <c r="M811" s="3714"/>
      <c r="N811" s="3714"/>
      <c r="O811" s="3714"/>
      <c r="P811" s="3756"/>
      <c r="Q811" s="3714"/>
      <c r="R811" s="3714"/>
      <c r="S811" s="3714"/>
      <c r="T811" s="3714"/>
      <c r="U811" s="3714"/>
      <c r="V811" s="3714"/>
      <c r="W811" s="3714"/>
      <c r="X811" s="3714"/>
      <c r="Y811" s="3714"/>
      <c r="Z811" s="3714"/>
      <c r="AA811" s="3714"/>
      <c r="AB811" s="3714"/>
      <c r="AC811" s="3714"/>
    </row>
    <row r="812" spans="1:29">
      <c r="A812" s="3714"/>
      <c r="B812" s="3714"/>
      <c r="C812" s="3714"/>
      <c r="D812" s="3714"/>
      <c r="E812" s="3714"/>
      <c r="F812" s="3714"/>
      <c r="G812" s="3714"/>
      <c r="H812" s="3714"/>
      <c r="I812" s="3714"/>
      <c r="J812" s="3714"/>
      <c r="K812" s="3715"/>
      <c r="L812" s="3716"/>
      <c r="M812" s="3714"/>
      <c r="N812" s="3714"/>
      <c r="O812" s="3714"/>
      <c r="P812" s="3756"/>
      <c r="Q812" s="3714"/>
      <c r="R812" s="3714"/>
      <c r="S812" s="3714"/>
      <c r="T812" s="3714"/>
      <c r="U812" s="3714"/>
      <c r="V812" s="3714"/>
      <c r="W812" s="3714"/>
      <c r="X812" s="3714"/>
      <c r="Y812" s="3714"/>
      <c r="Z812" s="3714"/>
      <c r="AA812" s="3714"/>
      <c r="AB812" s="3714"/>
      <c r="AC812" s="3714"/>
    </row>
    <row r="813" spans="1:29">
      <c r="A813" s="3714"/>
      <c r="B813" s="3714"/>
      <c r="C813" s="3714"/>
      <c r="D813" s="3714"/>
      <c r="E813" s="3714"/>
      <c r="F813" s="3714"/>
      <c r="G813" s="3714"/>
      <c r="H813" s="3714"/>
      <c r="I813" s="3714"/>
      <c r="J813" s="3714"/>
      <c r="K813" s="3715"/>
      <c r="L813" s="3716"/>
      <c r="M813" s="3714"/>
      <c r="N813" s="3714"/>
      <c r="O813" s="3714"/>
      <c r="P813" s="3756"/>
      <c r="Q813" s="3714"/>
      <c r="R813" s="3714"/>
      <c r="S813" s="3714"/>
      <c r="T813" s="3714"/>
      <c r="U813" s="3714"/>
      <c r="V813" s="3714"/>
      <c r="W813" s="3714"/>
      <c r="X813" s="3714"/>
      <c r="Y813" s="3714"/>
      <c r="Z813" s="3714"/>
      <c r="AA813" s="3714"/>
      <c r="AB813" s="3714"/>
      <c r="AC813" s="3714"/>
    </row>
    <row r="814" spans="1:29">
      <c r="A814" s="3714"/>
      <c r="B814" s="3714"/>
      <c r="C814" s="3714"/>
      <c r="D814" s="3714"/>
      <c r="E814" s="3714"/>
      <c r="F814" s="3714"/>
      <c r="G814" s="3714"/>
      <c r="H814" s="3714"/>
      <c r="I814" s="3714"/>
      <c r="J814" s="3714"/>
      <c r="K814" s="3715"/>
      <c r="L814" s="3716"/>
      <c r="M814" s="3714"/>
      <c r="N814" s="3714"/>
      <c r="O814" s="3714"/>
      <c r="P814" s="3756"/>
      <c r="Q814" s="3714"/>
      <c r="R814" s="3714"/>
      <c r="S814" s="3714"/>
      <c r="T814" s="3714"/>
      <c r="U814" s="3714"/>
      <c r="V814" s="3714"/>
      <c r="W814" s="3714"/>
      <c r="X814" s="3714"/>
      <c r="Y814" s="3714"/>
      <c r="Z814" s="3714"/>
      <c r="AA814" s="3714"/>
      <c r="AB814" s="3714"/>
      <c r="AC814" s="3714"/>
    </row>
    <row r="815" spans="1:29">
      <c r="A815" s="3714"/>
      <c r="B815" s="3714"/>
      <c r="C815" s="3714"/>
      <c r="D815" s="3714"/>
      <c r="E815" s="3714"/>
      <c r="F815" s="3714"/>
      <c r="G815" s="3714"/>
      <c r="H815" s="3714"/>
      <c r="I815" s="3714"/>
      <c r="J815" s="3714"/>
      <c r="K815" s="3715"/>
      <c r="L815" s="3716"/>
      <c r="M815" s="3714"/>
      <c r="N815" s="3714"/>
      <c r="O815" s="3714"/>
      <c r="P815" s="3756"/>
      <c r="Q815" s="3714"/>
      <c r="R815" s="3714"/>
      <c r="S815" s="3714"/>
      <c r="T815" s="3714"/>
      <c r="U815" s="3714"/>
      <c r="V815" s="3714"/>
      <c r="W815" s="3714"/>
      <c r="X815" s="3714"/>
      <c r="Y815" s="3714"/>
      <c r="Z815" s="3714"/>
      <c r="AA815" s="3714"/>
      <c r="AB815" s="3714"/>
      <c r="AC815" s="3714"/>
    </row>
    <row r="816" spans="1:29">
      <c r="A816" s="3714"/>
      <c r="B816" s="3714"/>
      <c r="C816" s="3714"/>
      <c r="D816" s="3714"/>
      <c r="E816" s="3714"/>
      <c r="F816" s="3714"/>
      <c r="G816" s="3714"/>
      <c r="H816" s="3714"/>
      <c r="I816" s="3714"/>
      <c r="J816" s="3714"/>
      <c r="K816" s="3715"/>
      <c r="L816" s="3716"/>
      <c r="M816" s="3714"/>
      <c r="N816" s="3714"/>
      <c r="O816" s="3714"/>
      <c r="P816" s="3756"/>
      <c r="Q816" s="3714"/>
      <c r="R816" s="3714"/>
      <c r="S816" s="3714"/>
      <c r="T816" s="3714"/>
      <c r="U816" s="3714"/>
      <c r="V816" s="3714"/>
      <c r="W816" s="3714"/>
      <c r="X816" s="3714"/>
      <c r="Y816" s="3714"/>
      <c r="Z816" s="3714"/>
      <c r="AA816" s="3714"/>
      <c r="AB816" s="3714"/>
      <c r="AC816" s="3714"/>
    </row>
    <row r="817" spans="1:29">
      <c r="A817" s="3714"/>
      <c r="B817" s="3714"/>
      <c r="C817" s="3714"/>
      <c r="D817" s="3714"/>
      <c r="E817" s="3714"/>
      <c r="F817" s="3714"/>
      <c r="G817" s="3714"/>
      <c r="H817" s="3714"/>
      <c r="I817" s="3714"/>
      <c r="J817" s="3714"/>
      <c r="K817" s="3715"/>
      <c r="L817" s="3716"/>
      <c r="M817" s="3714"/>
      <c r="N817" s="3714"/>
      <c r="O817" s="3714"/>
      <c r="P817" s="3756"/>
      <c r="Q817" s="3714"/>
      <c r="R817" s="3714"/>
      <c r="S817" s="3714"/>
      <c r="T817" s="3714"/>
      <c r="U817" s="3714"/>
      <c r="V817" s="3714"/>
      <c r="W817" s="3714"/>
      <c r="X817" s="3714"/>
      <c r="Y817" s="3714"/>
      <c r="Z817" s="3714"/>
      <c r="AA817" s="3714"/>
      <c r="AB817" s="3714"/>
      <c r="AC817" s="3714"/>
    </row>
    <row r="818" spans="1:29">
      <c r="A818" s="3714"/>
      <c r="B818" s="3714"/>
      <c r="C818" s="3714"/>
      <c r="D818" s="3714"/>
      <c r="E818" s="3714"/>
      <c r="F818" s="3714"/>
      <c r="G818" s="3714"/>
      <c r="H818" s="3714"/>
      <c r="I818" s="3714"/>
      <c r="J818" s="3714"/>
      <c r="K818" s="3715"/>
      <c r="L818" s="3716"/>
      <c r="M818" s="3714"/>
      <c r="N818" s="3714"/>
      <c r="O818" s="3714"/>
      <c r="P818" s="3756"/>
      <c r="Q818" s="3714"/>
      <c r="R818" s="3714"/>
      <c r="S818" s="3714"/>
      <c r="T818" s="3714"/>
      <c r="U818" s="3714"/>
      <c r="V818" s="3714"/>
      <c r="W818" s="3714"/>
      <c r="X818" s="3714"/>
      <c r="Y818" s="3714"/>
      <c r="Z818" s="3714"/>
      <c r="AA818" s="3714"/>
      <c r="AB818" s="3714"/>
      <c r="AC818" s="3714"/>
    </row>
    <row r="819" spans="1:29">
      <c r="A819" s="3714"/>
      <c r="B819" s="3714"/>
      <c r="C819" s="3714"/>
      <c r="D819" s="3714"/>
      <c r="E819" s="3714"/>
      <c r="F819" s="3714"/>
      <c r="G819" s="3714"/>
      <c r="H819" s="3714"/>
      <c r="I819" s="3714"/>
      <c r="J819" s="3714"/>
      <c r="K819" s="3715"/>
      <c r="L819" s="3716"/>
      <c r="M819" s="3714"/>
      <c r="N819" s="3714"/>
      <c r="O819" s="3714"/>
      <c r="P819" s="3756"/>
      <c r="Q819" s="3714"/>
      <c r="R819" s="3714"/>
      <c r="S819" s="3714"/>
      <c r="T819" s="3714"/>
      <c r="U819" s="3714"/>
      <c r="V819" s="3714"/>
      <c r="W819" s="3714"/>
      <c r="X819" s="3714"/>
      <c r="Y819" s="3714"/>
      <c r="Z819" s="3714"/>
      <c r="AA819" s="3714"/>
      <c r="AB819" s="3714"/>
      <c r="AC819" s="3714"/>
    </row>
    <row r="820" spans="1:29">
      <c r="A820" s="3714"/>
      <c r="B820" s="3714"/>
      <c r="C820" s="3714"/>
      <c r="D820" s="3714"/>
      <c r="E820" s="3714"/>
      <c r="F820" s="3714"/>
      <c r="G820" s="3714"/>
      <c r="H820" s="3714"/>
      <c r="I820" s="3714"/>
      <c r="J820" s="3714"/>
      <c r="K820" s="3715"/>
      <c r="L820" s="3716"/>
      <c r="M820" s="3714"/>
      <c r="N820" s="3714"/>
      <c r="O820" s="3714"/>
      <c r="P820" s="3756"/>
      <c r="Q820" s="3714"/>
      <c r="R820" s="3714"/>
      <c r="S820" s="3714"/>
      <c r="T820" s="3714"/>
      <c r="U820" s="3714"/>
      <c r="V820" s="3714"/>
      <c r="W820" s="3714"/>
      <c r="X820" s="3714"/>
      <c r="Y820" s="3714"/>
      <c r="Z820" s="3714"/>
      <c r="AA820" s="3714"/>
      <c r="AB820" s="3714"/>
      <c r="AC820" s="3714"/>
    </row>
    <row r="821" spans="1:29">
      <c r="A821" s="3714"/>
      <c r="B821" s="3714"/>
      <c r="C821" s="3714"/>
      <c r="D821" s="3714"/>
      <c r="E821" s="3714"/>
      <c r="F821" s="3714"/>
      <c r="G821" s="3714"/>
      <c r="H821" s="3714"/>
      <c r="I821" s="3714"/>
      <c r="J821" s="3714"/>
      <c r="K821" s="3715"/>
      <c r="L821" s="3716"/>
      <c r="M821" s="3714"/>
      <c r="N821" s="3714"/>
      <c r="O821" s="3714"/>
      <c r="P821" s="3756"/>
      <c r="Q821" s="3714"/>
      <c r="R821" s="3714"/>
      <c r="S821" s="3714"/>
      <c r="T821" s="3714"/>
      <c r="U821" s="3714"/>
      <c r="V821" s="3714"/>
      <c r="W821" s="3714"/>
      <c r="X821" s="3714"/>
      <c r="Y821" s="3714"/>
      <c r="Z821" s="3714"/>
      <c r="AA821" s="3714"/>
      <c r="AB821" s="3714"/>
      <c r="AC821" s="3714"/>
    </row>
    <row r="822" spans="1:29">
      <c r="A822" s="3714"/>
      <c r="B822" s="3714"/>
      <c r="C822" s="3714"/>
      <c r="D822" s="3714"/>
      <c r="E822" s="3714"/>
      <c r="F822" s="3714"/>
      <c r="G822" s="3714"/>
      <c r="H822" s="3714"/>
      <c r="I822" s="3714"/>
      <c r="J822" s="3714"/>
      <c r="K822" s="3715"/>
      <c r="L822" s="3716"/>
      <c r="M822" s="3714"/>
      <c r="N822" s="3714"/>
      <c r="O822" s="3714"/>
      <c r="P822" s="3756"/>
      <c r="Q822" s="3714"/>
      <c r="R822" s="3714"/>
      <c r="S822" s="3714"/>
      <c r="T822" s="3714"/>
      <c r="U822" s="3714"/>
      <c r="V822" s="3714"/>
      <c r="W822" s="3714"/>
      <c r="X822" s="3714"/>
      <c r="Y822" s="3714"/>
      <c r="Z822" s="3714"/>
      <c r="AA822" s="3714"/>
      <c r="AB822" s="3714"/>
      <c r="AC822" s="3714"/>
    </row>
    <row r="823" spans="1:29">
      <c r="A823" s="3714"/>
      <c r="B823" s="3714"/>
      <c r="C823" s="3714"/>
      <c r="D823" s="3714"/>
      <c r="E823" s="3714"/>
      <c r="F823" s="3714"/>
      <c r="G823" s="3714"/>
      <c r="H823" s="3714"/>
      <c r="I823" s="3714"/>
      <c r="J823" s="3714"/>
      <c r="K823" s="3715"/>
      <c r="L823" s="3716"/>
      <c r="M823" s="3714"/>
      <c r="N823" s="3714"/>
      <c r="O823" s="3714"/>
      <c r="P823" s="3756"/>
      <c r="Q823" s="3714"/>
      <c r="R823" s="3714"/>
      <c r="S823" s="3714"/>
      <c r="T823" s="3714"/>
      <c r="U823" s="3714"/>
      <c r="V823" s="3714"/>
      <c r="W823" s="3714"/>
      <c r="X823" s="3714"/>
      <c r="Y823" s="3714"/>
      <c r="Z823" s="3714"/>
      <c r="AA823" s="3714"/>
      <c r="AB823" s="3714"/>
      <c r="AC823" s="3714"/>
    </row>
    <row r="824" spans="1:29">
      <c r="A824" s="3714"/>
      <c r="B824" s="3714"/>
      <c r="C824" s="3714"/>
      <c r="D824" s="3714"/>
      <c r="E824" s="3714"/>
      <c r="F824" s="3714"/>
      <c r="G824" s="3714"/>
      <c r="H824" s="3714"/>
      <c r="I824" s="3714"/>
      <c r="J824" s="3714"/>
      <c r="K824" s="3715"/>
      <c r="L824" s="3716"/>
      <c r="M824" s="3714"/>
      <c r="N824" s="3714"/>
      <c r="O824" s="3714"/>
      <c r="P824" s="3756"/>
      <c r="Q824" s="3714"/>
      <c r="R824" s="3714"/>
      <c r="S824" s="3714"/>
      <c r="T824" s="3714"/>
      <c r="U824" s="3714"/>
      <c r="V824" s="3714"/>
      <c r="W824" s="3714"/>
      <c r="X824" s="3714"/>
      <c r="Y824" s="3714"/>
      <c r="Z824" s="3714"/>
      <c r="AA824" s="3714"/>
      <c r="AB824" s="3714"/>
      <c r="AC824" s="3714"/>
    </row>
    <row r="825" spans="1:29">
      <c r="A825" s="3714"/>
      <c r="B825" s="3714"/>
      <c r="C825" s="3714"/>
      <c r="D825" s="3714"/>
      <c r="E825" s="3714"/>
      <c r="F825" s="3714"/>
      <c r="G825" s="3714"/>
      <c r="H825" s="3714"/>
      <c r="I825" s="3714"/>
      <c r="J825" s="3714"/>
      <c r="K825" s="3715"/>
      <c r="L825" s="3716"/>
      <c r="M825" s="3714"/>
      <c r="N825" s="3714"/>
      <c r="O825" s="3714"/>
      <c r="P825" s="3756"/>
      <c r="Q825" s="3714"/>
      <c r="R825" s="3714"/>
      <c r="S825" s="3714"/>
      <c r="T825" s="3714"/>
      <c r="U825" s="3714"/>
      <c r="V825" s="3714"/>
      <c r="W825" s="3714"/>
      <c r="X825" s="3714"/>
      <c r="Y825" s="3714"/>
      <c r="Z825" s="3714"/>
      <c r="AA825" s="3714"/>
      <c r="AB825" s="3714"/>
      <c r="AC825" s="3714"/>
    </row>
    <row r="826" spans="1:29">
      <c r="A826" s="3714"/>
      <c r="B826" s="3714"/>
      <c r="C826" s="3714"/>
      <c r="D826" s="3714"/>
      <c r="E826" s="3714"/>
      <c r="F826" s="3714"/>
      <c r="G826" s="3714"/>
      <c r="H826" s="3714"/>
      <c r="I826" s="3714"/>
      <c r="J826" s="3714"/>
      <c r="K826" s="3715"/>
      <c r="L826" s="3716"/>
      <c r="M826" s="3714"/>
      <c r="N826" s="3714"/>
      <c r="O826" s="3714"/>
      <c r="P826" s="3756"/>
      <c r="Q826" s="3714"/>
      <c r="R826" s="3714"/>
      <c r="S826" s="3714"/>
      <c r="T826" s="3714"/>
      <c r="U826" s="3714"/>
      <c r="V826" s="3714"/>
      <c r="W826" s="3714"/>
      <c r="X826" s="3714"/>
      <c r="Y826" s="3714"/>
      <c r="Z826" s="3714"/>
      <c r="AA826" s="3714"/>
      <c r="AB826" s="3714"/>
      <c r="AC826" s="3714"/>
    </row>
    <row r="827" spans="1:29">
      <c r="A827" s="3714"/>
      <c r="B827" s="3714"/>
      <c r="C827" s="3714"/>
      <c r="D827" s="3714"/>
      <c r="E827" s="3714"/>
      <c r="F827" s="3714"/>
      <c r="G827" s="3714"/>
      <c r="H827" s="3714"/>
      <c r="I827" s="3714"/>
      <c r="J827" s="3714"/>
      <c r="K827" s="3715"/>
      <c r="L827" s="3716"/>
      <c r="M827" s="3714"/>
      <c r="N827" s="3714"/>
      <c r="O827" s="3714"/>
      <c r="P827" s="3756"/>
      <c r="Q827" s="3714"/>
      <c r="R827" s="3714"/>
      <c r="S827" s="3714"/>
      <c r="T827" s="3714"/>
      <c r="U827" s="3714"/>
      <c r="V827" s="3714"/>
      <c r="W827" s="3714"/>
      <c r="X827" s="3714"/>
      <c r="Y827" s="3714"/>
      <c r="Z827" s="3714"/>
      <c r="AA827" s="3714"/>
      <c r="AB827" s="3714"/>
      <c r="AC827" s="3714"/>
    </row>
    <row r="828" spans="1:29">
      <c r="A828" s="3714"/>
      <c r="B828" s="3714"/>
      <c r="C828" s="3714"/>
      <c r="D828" s="3714"/>
      <c r="E828" s="3714"/>
      <c r="F828" s="3714"/>
      <c r="G828" s="3714"/>
      <c r="H828" s="3714"/>
      <c r="I828" s="3714"/>
      <c r="J828" s="3714"/>
      <c r="K828" s="3715"/>
      <c r="L828" s="3716"/>
      <c r="M828" s="3714"/>
      <c r="N828" s="3714"/>
      <c r="O828" s="3714"/>
      <c r="P828" s="3756"/>
      <c r="Q828" s="3714"/>
      <c r="R828" s="3714"/>
      <c r="S828" s="3714"/>
      <c r="T828" s="3714"/>
      <c r="U828" s="3714"/>
      <c r="V828" s="3714"/>
      <c r="W828" s="3714"/>
      <c r="X828" s="3714"/>
      <c r="Y828" s="3714"/>
      <c r="Z828" s="3714"/>
      <c r="AA828" s="3714"/>
      <c r="AB828" s="3714"/>
      <c r="AC828" s="3714"/>
    </row>
    <row r="829" spans="1:29">
      <c r="A829" s="3714"/>
      <c r="B829" s="3714"/>
      <c r="C829" s="3714"/>
      <c r="D829" s="3714"/>
      <c r="E829" s="3714"/>
      <c r="F829" s="3714"/>
      <c r="G829" s="3714"/>
      <c r="H829" s="3714"/>
      <c r="I829" s="3714"/>
      <c r="J829" s="3714"/>
      <c r="K829" s="3715"/>
      <c r="L829" s="3716"/>
      <c r="M829" s="3714"/>
      <c r="N829" s="3714"/>
      <c r="O829" s="3714"/>
      <c r="P829" s="3756"/>
      <c r="Q829" s="3714"/>
      <c r="R829" s="3714"/>
      <c r="S829" s="3714"/>
      <c r="T829" s="3714"/>
      <c r="U829" s="3714"/>
      <c r="V829" s="3714"/>
      <c r="W829" s="3714"/>
      <c r="X829" s="3714"/>
      <c r="Y829" s="3714"/>
      <c r="Z829" s="3714"/>
      <c r="AA829" s="3714"/>
      <c r="AB829" s="3714"/>
      <c r="AC829" s="3714"/>
    </row>
    <row r="830" spans="1:29">
      <c r="A830" s="3714"/>
      <c r="B830" s="3714"/>
      <c r="C830" s="3714"/>
      <c r="D830" s="3714"/>
      <c r="E830" s="3714"/>
      <c r="F830" s="3714"/>
      <c r="G830" s="3714"/>
      <c r="H830" s="3714"/>
      <c r="I830" s="3714"/>
      <c r="J830" s="3714"/>
      <c r="K830" s="3715"/>
      <c r="L830" s="3716"/>
      <c r="M830" s="3714"/>
      <c r="N830" s="3714"/>
      <c r="O830" s="3714"/>
      <c r="P830" s="3756"/>
      <c r="Q830" s="3714"/>
      <c r="R830" s="3714"/>
      <c r="S830" s="3714"/>
      <c r="T830" s="3714"/>
      <c r="U830" s="3714"/>
      <c r="V830" s="3714"/>
      <c r="W830" s="3714"/>
      <c r="X830" s="3714"/>
      <c r="Y830" s="3714"/>
      <c r="Z830" s="3714"/>
      <c r="AA830" s="3714"/>
      <c r="AB830" s="3714"/>
      <c r="AC830" s="3714"/>
    </row>
    <row r="831" spans="1:29">
      <c r="A831" s="3714"/>
      <c r="B831" s="3714"/>
      <c r="C831" s="3714"/>
      <c r="D831" s="3714"/>
      <c r="E831" s="3714"/>
      <c r="F831" s="3714"/>
      <c r="G831" s="3714"/>
      <c r="H831" s="3714"/>
      <c r="I831" s="3714"/>
      <c r="J831" s="3714"/>
      <c r="K831" s="3715"/>
      <c r="L831" s="3716"/>
      <c r="M831" s="3714"/>
      <c r="N831" s="3714"/>
      <c r="O831" s="3714"/>
      <c r="P831" s="3756"/>
      <c r="Q831" s="3714"/>
      <c r="R831" s="3714"/>
      <c r="S831" s="3714"/>
      <c r="T831" s="3714"/>
      <c r="U831" s="3714"/>
      <c r="V831" s="3714"/>
      <c r="W831" s="3714"/>
      <c r="X831" s="3714"/>
      <c r="Y831" s="3714"/>
      <c r="Z831" s="3714"/>
      <c r="AA831" s="3714"/>
      <c r="AB831" s="3714"/>
      <c r="AC831" s="3714"/>
    </row>
    <row r="832" spans="1:29">
      <c r="A832" s="3714"/>
      <c r="B832" s="3714"/>
      <c r="C832" s="3714"/>
      <c r="D832" s="3714"/>
      <c r="E832" s="3714"/>
      <c r="F832" s="3714"/>
      <c r="G832" s="3714"/>
      <c r="H832" s="3714"/>
      <c r="I832" s="3714"/>
      <c r="J832" s="3714"/>
      <c r="K832" s="3715"/>
      <c r="L832" s="3716"/>
      <c r="M832" s="3714"/>
      <c r="N832" s="3714"/>
      <c r="O832" s="3714"/>
      <c r="P832" s="3756"/>
      <c r="Q832" s="3714"/>
      <c r="R832" s="3714"/>
      <c r="S832" s="3714"/>
      <c r="T832" s="3714"/>
      <c r="U832" s="3714"/>
      <c r="V832" s="3714"/>
      <c r="W832" s="3714"/>
      <c r="X832" s="3714"/>
      <c r="Y832" s="3714"/>
      <c r="Z832" s="3714"/>
      <c r="AA832" s="3714"/>
      <c r="AB832" s="3714"/>
      <c r="AC832" s="3714"/>
    </row>
    <row r="833" spans="1:29">
      <c r="A833" s="3714"/>
      <c r="B833" s="3714"/>
      <c r="C833" s="3714"/>
      <c r="D833" s="3714"/>
      <c r="E833" s="3714"/>
      <c r="F833" s="3714"/>
      <c r="G833" s="3714"/>
      <c r="H833" s="3714"/>
      <c r="I833" s="3714"/>
      <c r="J833" s="3714"/>
      <c r="K833" s="3715"/>
      <c r="L833" s="3716"/>
      <c r="M833" s="3714"/>
      <c r="N833" s="3714"/>
      <c r="O833" s="3714"/>
      <c r="P833" s="3756"/>
      <c r="Q833" s="3714"/>
      <c r="R833" s="3714"/>
      <c r="S833" s="3714"/>
      <c r="T833" s="3714"/>
      <c r="U833" s="3714"/>
      <c r="V833" s="3714"/>
      <c r="W833" s="3714"/>
      <c r="X833" s="3714"/>
      <c r="Y833" s="3714"/>
      <c r="Z833" s="3714"/>
      <c r="AA833" s="3714"/>
      <c r="AB833" s="3714"/>
      <c r="AC833" s="3714"/>
    </row>
    <row r="834" spans="1:29">
      <c r="A834" s="3714"/>
      <c r="B834" s="3714"/>
      <c r="C834" s="3714"/>
      <c r="D834" s="3714"/>
      <c r="E834" s="3714"/>
      <c r="F834" s="3714"/>
      <c r="G834" s="3714"/>
      <c r="H834" s="3714"/>
      <c r="I834" s="3714"/>
      <c r="J834" s="3714"/>
      <c r="K834" s="3715"/>
      <c r="L834" s="3716"/>
      <c r="M834" s="3714"/>
      <c r="N834" s="3714"/>
      <c r="O834" s="3714"/>
      <c r="P834" s="3756"/>
      <c r="Q834" s="3714"/>
      <c r="R834" s="3714"/>
      <c r="S834" s="3714"/>
      <c r="T834" s="3714"/>
      <c r="U834" s="3714"/>
      <c r="V834" s="3714"/>
      <c r="W834" s="3714"/>
      <c r="X834" s="3714"/>
      <c r="Y834" s="3714"/>
      <c r="Z834" s="3714"/>
      <c r="AA834" s="3714"/>
      <c r="AB834" s="3714"/>
      <c r="AC834" s="3714"/>
    </row>
    <row r="835" spans="1:29">
      <c r="A835" s="3714"/>
      <c r="B835" s="3714"/>
      <c r="C835" s="3714"/>
      <c r="D835" s="3714"/>
      <c r="E835" s="3714"/>
      <c r="F835" s="3714"/>
      <c r="G835" s="3714"/>
      <c r="H835" s="3714"/>
      <c r="I835" s="3714"/>
      <c r="J835" s="3714"/>
      <c r="K835" s="3715"/>
      <c r="L835" s="3716"/>
      <c r="M835" s="3714"/>
      <c r="N835" s="3714"/>
      <c r="O835" s="3714"/>
      <c r="P835" s="3756"/>
      <c r="Q835" s="3714"/>
      <c r="R835" s="3714"/>
      <c r="S835" s="3714"/>
      <c r="T835" s="3714"/>
      <c r="U835" s="3714"/>
      <c r="V835" s="3714"/>
      <c r="W835" s="3714"/>
      <c r="X835" s="3714"/>
      <c r="Y835" s="3714"/>
      <c r="Z835" s="3714"/>
      <c r="AA835" s="3714"/>
      <c r="AB835" s="3714"/>
      <c r="AC835" s="3714"/>
    </row>
    <row r="836" spans="1:29">
      <c r="A836" s="3714"/>
      <c r="B836" s="3714"/>
      <c r="C836" s="3714"/>
      <c r="D836" s="3714"/>
      <c r="E836" s="3714"/>
      <c r="F836" s="3714"/>
      <c r="G836" s="3714"/>
      <c r="H836" s="3714"/>
      <c r="I836" s="3714"/>
      <c r="J836" s="3714"/>
      <c r="K836" s="3715"/>
      <c r="L836" s="3716"/>
      <c r="M836" s="3714"/>
      <c r="N836" s="3714"/>
      <c r="O836" s="3714"/>
      <c r="P836" s="3756"/>
      <c r="Q836" s="3714"/>
      <c r="R836" s="3714"/>
      <c r="S836" s="3714"/>
      <c r="T836" s="3714"/>
      <c r="U836" s="3714"/>
      <c r="V836" s="3714"/>
      <c r="W836" s="3714"/>
      <c r="X836" s="3714"/>
      <c r="Y836" s="3714"/>
      <c r="Z836" s="3714"/>
      <c r="AA836" s="3714"/>
      <c r="AB836" s="3714"/>
      <c r="AC836" s="3714"/>
    </row>
    <row r="837" spans="1:29">
      <c r="A837" s="3714"/>
      <c r="B837" s="3714"/>
      <c r="C837" s="3714"/>
      <c r="D837" s="3714"/>
      <c r="E837" s="3714"/>
      <c r="F837" s="3714"/>
      <c r="G837" s="3714"/>
      <c r="H837" s="3714"/>
      <c r="I837" s="3714"/>
      <c r="J837" s="3714"/>
      <c r="K837" s="3715"/>
      <c r="L837" s="3716"/>
      <c r="M837" s="3714"/>
      <c r="N837" s="3714"/>
      <c r="O837" s="3714"/>
      <c r="P837" s="3756"/>
      <c r="Q837" s="3714"/>
      <c r="R837" s="3714"/>
      <c r="S837" s="3714"/>
      <c r="T837" s="3714"/>
      <c r="U837" s="3714"/>
      <c r="V837" s="3714"/>
      <c r="W837" s="3714"/>
      <c r="X837" s="3714"/>
      <c r="Y837" s="3714"/>
      <c r="Z837" s="3714"/>
      <c r="AA837" s="3714"/>
      <c r="AB837" s="3714"/>
      <c r="AC837" s="3714"/>
    </row>
    <row r="838" spans="1:29">
      <c r="A838" s="3714"/>
      <c r="B838" s="3714"/>
      <c r="C838" s="3714"/>
      <c r="D838" s="3714"/>
      <c r="E838" s="3714"/>
      <c r="F838" s="3714"/>
      <c r="G838" s="3714"/>
      <c r="H838" s="3714"/>
      <c r="I838" s="3714"/>
      <c r="J838" s="3714"/>
      <c r="K838" s="3715"/>
      <c r="L838" s="3716"/>
      <c r="M838" s="3714"/>
      <c r="N838" s="3714"/>
      <c r="O838" s="3714"/>
      <c r="P838" s="3756"/>
      <c r="Q838" s="3714"/>
      <c r="R838" s="3714"/>
      <c r="S838" s="3714"/>
      <c r="T838" s="3714"/>
      <c r="U838" s="3714"/>
      <c r="V838" s="3714"/>
      <c r="W838" s="3714"/>
      <c r="X838" s="3714"/>
      <c r="Y838" s="3714"/>
      <c r="Z838" s="3714"/>
      <c r="AA838" s="3714"/>
      <c r="AB838" s="3714"/>
      <c r="AC838" s="3714"/>
    </row>
    <row r="839" spans="1:29">
      <c r="A839" s="3714"/>
      <c r="B839" s="3714"/>
      <c r="C839" s="3714"/>
      <c r="D839" s="3714"/>
      <c r="E839" s="3714"/>
      <c r="F839" s="3714"/>
      <c r="G839" s="3714"/>
      <c r="H839" s="3714"/>
      <c r="I839" s="3714"/>
      <c r="J839" s="3714"/>
      <c r="K839" s="3715"/>
      <c r="L839" s="3716"/>
      <c r="M839" s="3714"/>
      <c r="N839" s="3714"/>
      <c r="O839" s="3714"/>
      <c r="P839" s="3756"/>
      <c r="Q839" s="3714"/>
      <c r="R839" s="3714"/>
      <c r="S839" s="3714"/>
      <c r="T839" s="3714"/>
      <c r="U839" s="3714"/>
      <c r="V839" s="3714"/>
      <c r="W839" s="3714"/>
      <c r="X839" s="3714"/>
      <c r="Y839" s="3714"/>
      <c r="Z839" s="3714"/>
      <c r="AA839" s="3714"/>
      <c r="AB839" s="3714"/>
      <c r="AC839" s="3714"/>
    </row>
    <row r="840" spans="1:29">
      <c r="A840" s="3714"/>
      <c r="B840" s="3714"/>
      <c r="C840" s="3714"/>
      <c r="D840" s="3714"/>
      <c r="E840" s="3714"/>
      <c r="F840" s="3714"/>
      <c r="G840" s="3714"/>
      <c r="H840" s="3714"/>
      <c r="I840" s="3714"/>
      <c r="J840" s="3714"/>
      <c r="K840" s="3715"/>
      <c r="L840" s="3716"/>
      <c r="M840" s="3714"/>
      <c r="N840" s="3714"/>
      <c r="O840" s="3714"/>
      <c r="P840" s="3756"/>
      <c r="Q840" s="3714"/>
      <c r="R840" s="3714"/>
      <c r="S840" s="3714"/>
      <c r="T840" s="3714"/>
      <c r="U840" s="3714"/>
      <c r="V840" s="3714"/>
      <c r="W840" s="3714"/>
      <c r="X840" s="3714"/>
      <c r="Y840" s="3714"/>
      <c r="Z840" s="3714"/>
      <c r="AA840" s="3714"/>
      <c r="AB840" s="3714"/>
      <c r="AC840" s="3714"/>
    </row>
    <row r="841" spans="1:29">
      <c r="A841" s="3714"/>
      <c r="B841" s="3714"/>
      <c r="C841" s="3714"/>
      <c r="D841" s="3714"/>
      <c r="E841" s="3714"/>
      <c r="F841" s="3714"/>
      <c r="G841" s="3714"/>
      <c r="H841" s="3714"/>
      <c r="I841" s="3714"/>
      <c r="J841" s="3714"/>
      <c r="K841" s="3715"/>
      <c r="L841" s="3716"/>
      <c r="M841" s="3714"/>
      <c r="N841" s="3714"/>
      <c r="O841" s="3714"/>
      <c r="P841" s="3756"/>
      <c r="Q841" s="3714"/>
      <c r="R841" s="3714"/>
      <c r="S841" s="3714"/>
      <c r="T841" s="3714"/>
      <c r="U841" s="3714"/>
      <c r="V841" s="3714"/>
      <c r="W841" s="3714"/>
      <c r="X841" s="3714"/>
      <c r="Y841" s="3714"/>
      <c r="Z841" s="3714"/>
      <c r="AA841" s="3714"/>
      <c r="AB841" s="3714"/>
      <c r="AC841" s="3714"/>
    </row>
    <row r="842" spans="1:29">
      <c r="A842" s="3714"/>
      <c r="B842" s="3714"/>
      <c r="C842" s="3714"/>
      <c r="D842" s="3714"/>
      <c r="E842" s="3714"/>
      <c r="F842" s="3714"/>
      <c r="G842" s="3714"/>
      <c r="H842" s="3714"/>
      <c r="I842" s="3714"/>
      <c r="J842" s="3714"/>
      <c r="K842" s="3715"/>
      <c r="L842" s="3716"/>
      <c r="M842" s="3714"/>
      <c r="N842" s="3714"/>
      <c r="O842" s="3714"/>
      <c r="P842" s="3756"/>
      <c r="Q842" s="3714"/>
      <c r="R842" s="3714"/>
      <c r="S842" s="3714"/>
      <c r="T842" s="3714"/>
      <c r="U842" s="3714"/>
      <c r="V842" s="3714"/>
      <c r="W842" s="3714"/>
      <c r="X842" s="3714"/>
      <c r="Y842" s="3714"/>
      <c r="Z842" s="3714"/>
      <c r="AA842" s="3714"/>
      <c r="AB842" s="3714"/>
      <c r="AC842" s="3714"/>
    </row>
    <row r="843" spans="1:29">
      <c r="A843" s="3714"/>
      <c r="B843" s="3714"/>
      <c r="C843" s="3714"/>
      <c r="D843" s="3714"/>
      <c r="E843" s="3714"/>
      <c r="F843" s="3714"/>
      <c r="G843" s="3714"/>
      <c r="H843" s="3714"/>
      <c r="I843" s="3714"/>
      <c r="J843" s="3714"/>
      <c r="K843" s="3715"/>
      <c r="L843" s="3716"/>
      <c r="M843" s="3714"/>
      <c r="N843" s="3714"/>
      <c r="O843" s="3714"/>
      <c r="P843" s="3756"/>
      <c r="Q843" s="3714"/>
      <c r="R843" s="3714"/>
      <c r="S843" s="3714"/>
      <c r="T843" s="3714"/>
      <c r="U843" s="3714"/>
      <c r="V843" s="3714"/>
      <c r="W843" s="3714"/>
      <c r="X843" s="3714"/>
      <c r="Y843" s="3714"/>
      <c r="Z843" s="3714"/>
      <c r="AA843" s="3714"/>
      <c r="AB843" s="3714"/>
      <c r="AC843" s="3714"/>
    </row>
    <row r="844" spans="1:29">
      <c r="A844" s="3714"/>
      <c r="B844" s="3714"/>
      <c r="C844" s="3714"/>
      <c r="D844" s="3714"/>
      <c r="E844" s="3714"/>
      <c r="F844" s="3714"/>
      <c r="G844" s="3714"/>
      <c r="H844" s="3714"/>
      <c r="I844" s="3714"/>
      <c r="J844" s="3714"/>
      <c r="K844" s="3715"/>
      <c r="L844" s="3716"/>
      <c r="M844" s="3714"/>
      <c r="N844" s="3714"/>
      <c r="O844" s="3714"/>
      <c r="P844" s="3756"/>
      <c r="Q844" s="3714"/>
      <c r="R844" s="3714"/>
      <c r="S844" s="3714"/>
      <c r="T844" s="3714"/>
      <c r="U844" s="3714"/>
      <c r="V844" s="3714"/>
      <c r="W844" s="3714"/>
      <c r="X844" s="3714"/>
      <c r="Y844" s="3714"/>
      <c r="Z844" s="3714"/>
      <c r="AA844" s="3714"/>
      <c r="AB844" s="3714"/>
      <c r="AC844" s="3714"/>
    </row>
    <row r="845" spans="1:29">
      <c r="A845" s="3714"/>
      <c r="B845" s="3714"/>
      <c r="C845" s="3714"/>
      <c r="D845" s="3714"/>
      <c r="E845" s="3714"/>
      <c r="F845" s="3714"/>
      <c r="G845" s="3714"/>
      <c r="H845" s="3714"/>
      <c r="I845" s="3714"/>
      <c r="J845" s="3714"/>
      <c r="K845" s="3715"/>
      <c r="L845" s="3716"/>
      <c r="M845" s="3714"/>
      <c r="N845" s="3714"/>
      <c r="O845" s="3714"/>
      <c r="P845" s="3756"/>
      <c r="Q845" s="3714"/>
      <c r="R845" s="3714"/>
      <c r="S845" s="3714"/>
      <c r="T845" s="3714"/>
      <c r="U845" s="3714"/>
      <c r="V845" s="3714"/>
      <c r="W845" s="3714"/>
      <c r="X845" s="3714"/>
      <c r="Y845" s="3714"/>
      <c r="Z845" s="3714"/>
      <c r="AA845" s="3714"/>
      <c r="AB845" s="3714"/>
      <c r="AC845" s="3714"/>
    </row>
    <row r="846" spans="1:29">
      <c r="A846" s="3714"/>
      <c r="B846" s="3714"/>
      <c r="C846" s="3714"/>
      <c r="D846" s="3714"/>
      <c r="E846" s="3714"/>
      <c r="F846" s="3714"/>
      <c r="G846" s="3714"/>
      <c r="H846" s="3714"/>
      <c r="I846" s="3714"/>
      <c r="J846" s="3714"/>
      <c r="K846" s="3715"/>
      <c r="L846" s="3716"/>
      <c r="M846" s="3714"/>
      <c r="N846" s="3714"/>
      <c r="O846" s="3714"/>
      <c r="P846" s="3756"/>
      <c r="Q846" s="3714"/>
      <c r="R846" s="3714"/>
      <c r="S846" s="3714"/>
      <c r="T846" s="3714"/>
      <c r="U846" s="3714"/>
      <c r="V846" s="3714"/>
      <c r="W846" s="3714"/>
      <c r="X846" s="3714"/>
      <c r="Y846" s="3714"/>
      <c r="Z846" s="3714"/>
      <c r="AA846" s="3714"/>
      <c r="AB846" s="3714"/>
      <c r="AC846" s="3714"/>
    </row>
    <row r="847" spans="1:29">
      <c r="A847" s="3714"/>
      <c r="B847" s="3714"/>
      <c r="C847" s="3714"/>
      <c r="D847" s="3714"/>
      <c r="E847" s="3714"/>
      <c r="F847" s="3714"/>
      <c r="G847" s="3714"/>
      <c r="H847" s="3714"/>
      <c r="I847" s="3714"/>
      <c r="J847" s="3714"/>
      <c r="K847" s="3715"/>
      <c r="L847" s="3716"/>
      <c r="M847" s="3714"/>
      <c r="N847" s="3714"/>
      <c r="O847" s="3714"/>
      <c r="P847" s="3756"/>
      <c r="Q847" s="3714"/>
      <c r="R847" s="3714"/>
      <c r="S847" s="3714"/>
      <c r="T847" s="3714"/>
      <c r="U847" s="3714"/>
      <c r="V847" s="3714"/>
      <c r="W847" s="3714"/>
      <c r="X847" s="3714"/>
      <c r="Y847" s="3714"/>
      <c r="Z847" s="3714"/>
      <c r="AA847" s="3714"/>
      <c r="AB847" s="3714"/>
      <c r="AC847" s="3714"/>
    </row>
    <row r="848" spans="1:29">
      <c r="A848" s="3714"/>
      <c r="B848" s="3714"/>
      <c r="C848" s="3714"/>
      <c r="D848" s="3714"/>
      <c r="E848" s="3714"/>
      <c r="F848" s="3714"/>
      <c r="G848" s="3714"/>
      <c r="H848" s="3714"/>
      <c r="I848" s="3714"/>
      <c r="J848" s="3714"/>
      <c r="K848" s="3715"/>
      <c r="L848" s="3716"/>
      <c r="M848" s="3714"/>
      <c r="N848" s="3714"/>
      <c r="O848" s="3714"/>
      <c r="P848" s="3756"/>
      <c r="Q848" s="3714"/>
      <c r="R848" s="3714"/>
      <c r="S848" s="3714"/>
      <c r="T848" s="3714"/>
      <c r="U848" s="3714"/>
      <c r="V848" s="3714"/>
      <c r="W848" s="3714"/>
      <c r="X848" s="3714"/>
      <c r="Y848" s="3714"/>
      <c r="Z848" s="3714"/>
      <c r="AA848" s="3714"/>
      <c r="AB848" s="3714"/>
      <c r="AC848" s="3714"/>
    </row>
    <row r="849" spans="1:29">
      <c r="A849" s="3714"/>
      <c r="B849" s="3714"/>
      <c r="C849" s="3714"/>
      <c r="D849" s="3714"/>
      <c r="E849" s="3714"/>
      <c r="F849" s="3714"/>
      <c r="G849" s="3714"/>
      <c r="H849" s="3714"/>
      <c r="I849" s="3714"/>
      <c r="J849" s="3714"/>
      <c r="K849" s="3715"/>
      <c r="L849" s="3716"/>
      <c r="M849" s="3714"/>
      <c r="N849" s="3714"/>
      <c r="O849" s="3714"/>
      <c r="P849" s="3756"/>
      <c r="Q849" s="3714"/>
      <c r="R849" s="3714"/>
      <c r="S849" s="3714"/>
      <c r="T849" s="3714"/>
      <c r="U849" s="3714"/>
      <c r="V849" s="3714"/>
      <c r="W849" s="3714"/>
      <c r="X849" s="3714"/>
      <c r="Y849" s="3714"/>
      <c r="Z849" s="3714"/>
      <c r="AA849" s="3714"/>
      <c r="AB849" s="3714"/>
      <c r="AC849" s="3714"/>
    </row>
    <row r="850" spans="1:29">
      <c r="A850" s="3714"/>
      <c r="B850" s="3714"/>
      <c r="C850" s="3714"/>
      <c r="D850" s="3714"/>
      <c r="E850" s="3714"/>
      <c r="F850" s="3714"/>
      <c r="G850" s="3714"/>
      <c r="H850" s="3714"/>
      <c r="I850" s="3714"/>
      <c r="J850" s="3714"/>
      <c r="K850" s="3715"/>
      <c r="L850" s="3716"/>
      <c r="M850" s="3714"/>
      <c r="N850" s="3714"/>
      <c r="O850" s="3714"/>
      <c r="P850" s="3756"/>
      <c r="Q850" s="3714"/>
      <c r="R850" s="3714"/>
      <c r="S850" s="3714"/>
      <c r="T850" s="3714"/>
      <c r="U850" s="3714"/>
      <c r="V850" s="3714"/>
      <c r="W850" s="3714"/>
      <c r="X850" s="3714"/>
      <c r="Y850" s="3714"/>
      <c r="Z850" s="3714"/>
      <c r="AA850" s="3714"/>
      <c r="AB850" s="3714"/>
      <c r="AC850" s="3714"/>
    </row>
    <row r="851" spans="1:29">
      <c r="A851" s="3714"/>
      <c r="B851" s="3714"/>
      <c r="C851" s="3714"/>
      <c r="D851" s="3714"/>
      <c r="E851" s="3714"/>
      <c r="F851" s="3714"/>
      <c r="G851" s="3714"/>
      <c r="H851" s="3714"/>
      <c r="I851" s="3714"/>
      <c r="J851" s="3714"/>
      <c r="K851" s="3715"/>
      <c r="L851" s="3716"/>
      <c r="M851" s="3714"/>
      <c r="N851" s="3714"/>
      <c r="O851" s="3714"/>
      <c r="P851" s="3756"/>
      <c r="Q851" s="3714"/>
      <c r="R851" s="3714"/>
      <c r="S851" s="3714"/>
      <c r="T851" s="3714"/>
      <c r="U851" s="3714"/>
      <c r="V851" s="3714"/>
      <c r="W851" s="3714"/>
      <c r="X851" s="3714"/>
      <c r="Y851" s="3714"/>
      <c r="Z851" s="3714"/>
      <c r="AA851" s="3714"/>
      <c r="AB851" s="3714"/>
      <c r="AC851" s="3714"/>
    </row>
    <row r="852" spans="1:29">
      <c r="A852" s="3714"/>
      <c r="B852" s="3714"/>
      <c r="C852" s="3714"/>
      <c r="D852" s="3714"/>
      <c r="E852" s="3714"/>
      <c r="F852" s="3714"/>
      <c r="G852" s="3714"/>
      <c r="H852" s="3714"/>
      <c r="I852" s="3714"/>
      <c r="J852" s="3714"/>
      <c r="K852" s="3715"/>
      <c r="L852" s="3716"/>
      <c r="M852" s="3714"/>
      <c r="N852" s="3714"/>
      <c r="O852" s="3714"/>
      <c r="P852" s="3756"/>
      <c r="Q852" s="3714"/>
      <c r="R852" s="3714"/>
      <c r="S852" s="3714"/>
      <c r="T852" s="3714"/>
      <c r="U852" s="3714"/>
      <c r="V852" s="3714"/>
      <c r="W852" s="3714"/>
      <c r="X852" s="3714"/>
      <c r="Y852" s="3714"/>
      <c r="Z852" s="3714"/>
      <c r="AA852" s="3714"/>
      <c r="AB852" s="3714"/>
      <c r="AC852" s="3714"/>
    </row>
    <row r="853" spans="1:29">
      <c r="A853" s="3714"/>
      <c r="B853" s="3714"/>
      <c r="C853" s="3714"/>
      <c r="D853" s="3714"/>
      <c r="E853" s="3714"/>
      <c r="F853" s="3714"/>
      <c r="G853" s="3714"/>
      <c r="H853" s="3714"/>
      <c r="I853" s="3714"/>
      <c r="J853" s="3714"/>
      <c r="K853" s="3715"/>
      <c r="L853" s="3716"/>
      <c r="M853" s="3714"/>
      <c r="N853" s="3714"/>
      <c r="O853" s="3714"/>
      <c r="P853" s="3756"/>
      <c r="Q853" s="3714"/>
      <c r="R853" s="3714"/>
      <c r="S853" s="3714"/>
      <c r="T853" s="3714"/>
      <c r="U853" s="3714"/>
      <c r="V853" s="3714"/>
      <c r="W853" s="3714"/>
      <c r="X853" s="3714"/>
      <c r="Y853" s="3714"/>
      <c r="Z853" s="3714"/>
      <c r="AA853" s="3714"/>
      <c r="AB853" s="3714"/>
      <c r="AC853" s="371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32" priority="23" stopIfTrue="1" operator="containsText" text="超过">
      <formula>NOT(ISERROR(SEARCH("超过",F53)))</formula>
    </cfRule>
  </conditionalFormatting>
  <conditionalFormatting sqref="H55">
    <cfRule type="containsText" dxfId="131" priority="22" stopIfTrue="1" operator="containsText" text="超过">
      <formula>NOT(ISERROR(SEARCH("超过",H55)))</formula>
    </cfRule>
  </conditionalFormatting>
  <conditionalFormatting sqref="F55">
    <cfRule type="containsText" dxfId="130" priority="21" stopIfTrue="1" operator="containsText" text="超过">
      <formula>NOT(ISERROR(SEARCH("超过",F55)))</formula>
    </cfRule>
  </conditionalFormatting>
  <conditionalFormatting sqref="F54 H54">
    <cfRule type="containsText" dxfId="129" priority="20" stopIfTrue="1" operator="containsText" text="超过">
      <formula>NOT(ISERROR(SEARCH("超过",F54)))</formula>
    </cfRule>
  </conditionalFormatting>
  <conditionalFormatting sqref="E53">
    <cfRule type="expression" dxfId="128" priority="19" stopIfTrue="1">
      <formula>$F$53="超过30%"</formula>
    </cfRule>
  </conditionalFormatting>
  <conditionalFormatting sqref="E54">
    <cfRule type="expression" dxfId="127" priority="18" stopIfTrue="1">
      <formula>$F$54="超过20%"</formula>
    </cfRule>
  </conditionalFormatting>
  <conditionalFormatting sqref="E55">
    <cfRule type="expression" dxfId="126" priority="17" stopIfTrue="1">
      <formula>$F$55="超过30%"</formula>
    </cfRule>
  </conditionalFormatting>
  <conditionalFormatting sqref="G55">
    <cfRule type="expression" dxfId="125" priority="16" stopIfTrue="1">
      <formula>$H$55="超过30%"</formula>
    </cfRule>
  </conditionalFormatting>
  <conditionalFormatting sqref="G53">
    <cfRule type="expression" dxfId="124" priority="15" stopIfTrue="1">
      <formula>$H$53="超过30%"</formula>
    </cfRule>
  </conditionalFormatting>
  <conditionalFormatting sqref="G54">
    <cfRule type="expression" dxfId="123" priority="14" stopIfTrue="1">
      <formula>$H$54="超过20%"</formula>
    </cfRule>
  </conditionalFormatting>
  <conditionalFormatting sqref="J53">
    <cfRule type="containsText" dxfId="122" priority="13" stopIfTrue="1" operator="containsText" text="超过">
      <formula>NOT(ISERROR(SEARCH("超过",J53)))</formula>
    </cfRule>
  </conditionalFormatting>
  <conditionalFormatting sqref="J55">
    <cfRule type="containsText" dxfId="121" priority="12" stopIfTrue="1" operator="containsText" text="超过">
      <formula>NOT(ISERROR(SEARCH("超过",J55)))</formula>
    </cfRule>
  </conditionalFormatting>
  <conditionalFormatting sqref="J54">
    <cfRule type="containsText" dxfId="120" priority="11" stopIfTrue="1" operator="containsText" text="超过">
      <formula>NOT(ISERROR(SEARCH("超过",J54)))</formula>
    </cfRule>
  </conditionalFormatting>
  <conditionalFormatting sqref="I53">
    <cfRule type="expression" dxfId="119" priority="10" stopIfTrue="1">
      <formula>$J$53="超过30%"</formula>
    </cfRule>
  </conditionalFormatting>
  <conditionalFormatting sqref="I54">
    <cfRule type="expression" dxfId="118" priority="9" stopIfTrue="1">
      <formula>$J$53+$J$54="超过20%"</formula>
    </cfRule>
  </conditionalFormatting>
  <conditionalFormatting sqref="I55">
    <cfRule type="expression" dxfId="117" priority="8" stopIfTrue="1">
      <formula>$J$55="超过30%"</formula>
    </cfRule>
  </conditionalFormatting>
  <conditionalFormatting sqref="F49">
    <cfRule type="expression" dxfId="116" priority="7">
      <formula>$D$49="简单平均"</formula>
    </cfRule>
  </conditionalFormatting>
  <conditionalFormatting sqref="H49">
    <cfRule type="expression" dxfId="115" priority="6">
      <formula>$D$49="简单平均"</formula>
    </cfRule>
  </conditionalFormatting>
  <conditionalFormatting sqref="J49">
    <cfRule type="expression" dxfId="114" priority="5">
      <formula>$D$49="简单平均"</formula>
    </cfRule>
  </conditionalFormatting>
  <conditionalFormatting sqref="F7:F36 H7:H36 J7:J36 F38:F47 H38:H47 J38:J47">
    <cfRule type="cellIs" dxfId="113" priority="4" operator="notEqual">
      <formula>100</formula>
    </cfRule>
  </conditionalFormatting>
  <conditionalFormatting sqref="F37">
    <cfRule type="cellIs" dxfId="112" priority="3" operator="notEqual">
      <formula>100</formula>
    </cfRule>
  </conditionalFormatting>
  <conditionalFormatting sqref="H37">
    <cfRule type="cellIs" dxfId="111" priority="2" operator="notEqual">
      <formula>100</formula>
    </cfRule>
  </conditionalFormatting>
  <conditionalFormatting sqref="J37">
    <cfRule type="cellIs" dxfId="110"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87"/>
  <sheetViews>
    <sheetView workbookViewId="0">
      <selection activeCell="F36" sqref="F36"/>
    </sheetView>
  </sheetViews>
  <sheetFormatPr defaultRowHeight="13.5"/>
  <cols>
    <col min="1" max="16384" width="9" style="3361"/>
  </cols>
  <sheetData>
    <row r="1" spans="1:1">
      <c r="A1" s="3361" t="s">
        <v>3217</v>
      </c>
    </row>
    <row r="2" spans="1:1">
      <c r="A2" s="3361">
        <v>33000</v>
      </c>
    </row>
    <row r="40" spans="1:1">
      <c r="A40" s="3361" t="s">
        <v>3218</v>
      </c>
    </row>
    <row r="41" spans="1:1">
      <c r="A41" s="3361">
        <v>37523</v>
      </c>
    </row>
    <row r="86" spans="1:1">
      <c r="A86" s="3361" t="s">
        <v>3219</v>
      </c>
    </row>
    <row r="87" spans="1:1">
      <c r="A87" s="3361">
        <v>36800</v>
      </c>
    </row>
  </sheetData>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46">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1109326</v>
      </c>
      <c r="C2" s="3251"/>
      <c r="D2" s="3252"/>
      <c r="E2" s="3253"/>
      <c r="F2" s="3253"/>
      <c r="G2" s="3247"/>
      <c r="H2" s="1938"/>
      <c r="I2" s="1938"/>
      <c r="J2" s="1938"/>
      <c r="K2" s="1939"/>
      <c r="L2" s="1938"/>
      <c r="M2" s="1938"/>
    </row>
    <row r="3" spans="1:33" ht="18" customHeight="1" thickBot="1">
      <c r="A3" s="820" t="s">
        <v>1715</v>
      </c>
      <c r="B3" s="821">
        <f ca="1">IF(ISERROR(B2*10000/F43),0,ROUND(B2*10000/F43,0))</f>
        <v>36720</v>
      </c>
      <c r="C3" s="3251"/>
      <c r="D3" s="3252"/>
      <c r="E3" s="3253"/>
      <c r="F3" s="3253"/>
      <c r="G3" s="3247"/>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65580</v>
      </c>
      <c r="D5" s="2347" t="s">
        <v>2440</v>
      </c>
      <c r="E5" s="2341"/>
      <c r="F5" s="2342"/>
      <c r="G5" s="1943"/>
      <c r="H5" s="769">
        <v>1</v>
      </c>
      <c r="I5" s="770" t="s">
        <v>2437</v>
      </c>
      <c r="J5" s="54">
        <f ca="1">J6+J10+J12</f>
        <v>0</v>
      </c>
      <c r="K5" s="2347" t="s">
        <v>2440</v>
      </c>
      <c r="L5" s="2341"/>
      <c r="M5" s="2342"/>
    </row>
    <row r="6" spans="1:33" ht="18" customHeight="1">
      <c r="A6" s="1743" t="s">
        <v>1812</v>
      </c>
      <c r="B6" s="4056" t="s">
        <v>2442</v>
      </c>
      <c r="C6" s="771">
        <f ca="1">ROUND(F6*F8*F7*(1-F9)/10000,0)</f>
        <v>65498</v>
      </c>
      <c r="D6" s="2348" t="s">
        <v>2441</v>
      </c>
      <c r="E6" s="772" t="s">
        <v>1726</v>
      </c>
      <c r="F6" s="773">
        <f ca="1">INDIRECT("'数据-取费表'!u"&amp;$G$1)</f>
        <v>6.6</v>
      </c>
      <c r="G6" s="1943"/>
      <c r="H6" s="2355" t="s">
        <v>2447</v>
      </c>
      <c r="I6" s="4056" t="s">
        <v>2442</v>
      </c>
      <c r="J6" s="771">
        <f ca="1">ROUND(M6*M8*M7*(1-M9)/10000,0)</f>
        <v>0</v>
      </c>
      <c r="K6" s="337" t="s">
        <v>1725</v>
      </c>
      <c r="L6" s="772" t="s">
        <v>1726</v>
      </c>
      <c r="M6" s="773">
        <f ca="1">INDIRECT("'数据-取费表'!z"&amp;$G$1)</f>
        <v>0</v>
      </c>
    </row>
    <row r="7" spans="1:33" ht="18" customHeight="1">
      <c r="A7" s="2351"/>
      <c r="B7" s="4057"/>
      <c r="C7" s="776"/>
      <c r="D7" s="777"/>
      <c r="E7" s="772" t="s">
        <v>1727</v>
      </c>
      <c r="F7" s="3360">
        <f ca="1">IF(INDIRECT("'数据-取费表'!ah"&amp;$G$1)="",INDIRECT("'数据-取费表'!k"&amp;$G$1),INDIRECT("'数据-取费表'!ah"&amp;$G$1))</f>
        <v>302100</v>
      </c>
      <c r="G7" s="1943"/>
      <c r="H7" s="2340"/>
      <c r="I7" s="4057"/>
      <c r="J7" s="776"/>
      <c r="K7" s="777"/>
      <c r="L7" s="772" t="s">
        <v>1727</v>
      </c>
      <c r="M7" s="773">
        <f ca="1">F7</f>
        <v>302100</v>
      </c>
    </row>
    <row r="8" spans="1:33" ht="18" customHeight="1">
      <c r="A8" s="2344"/>
      <c r="B8" s="4058"/>
      <c r="C8" s="776"/>
      <c r="D8" s="777"/>
      <c r="E8" s="772" t="s">
        <v>1728</v>
      </c>
      <c r="F8" s="773">
        <f ca="1">INDIRECT("'数据-取费表'!ai"&amp;$G$1)</f>
        <v>365</v>
      </c>
      <c r="G8" s="1943"/>
      <c r="H8" s="2340"/>
      <c r="I8" s="4058"/>
      <c r="J8" s="776"/>
      <c r="K8" s="777"/>
      <c r="L8" s="772" t="s">
        <v>1728</v>
      </c>
      <c r="M8" s="773">
        <f ca="1">INDIRECT("'数据-取费表'!ai"&amp;$G$1)</f>
        <v>365</v>
      </c>
    </row>
    <row r="9" spans="1:33" ht="18" customHeight="1">
      <c r="A9" s="774"/>
      <c r="B9" s="4059"/>
      <c r="C9" s="776"/>
      <c r="D9" s="777"/>
      <c r="E9" s="772" t="s">
        <v>1729</v>
      </c>
      <c r="F9" s="782">
        <f ca="1">INDIRECT("'数据-取费表'!w"&amp;$G$1)</f>
        <v>0.1</v>
      </c>
      <c r="G9" s="1943"/>
      <c r="H9" s="2356"/>
      <c r="I9" s="4058"/>
      <c r="J9" s="776"/>
      <c r="K9" s="777"/>
      <c r="L9" s="783" t="s">
        <v>1729</v>
      </c>
      <c r="M9" s="784">
        <f ca="1">INDIRECT("'数据-取费表'!ab"&amp;$G$1)</f>
        <v>0</v>
      </c>
    </row>
    <row r="10" spans="1:33" ht="18" customHeight="1">
      <c r="A10" s="1743" t="s">
        <v>2445</v>
      </c>
      <c r="B10" s="2345" t="s">
        <v>2438</v>
      </c>
      <c r="C10" s="787">
        <f ca="1">ROUND(IF(F10="押一",C6/12*F11,IF(F10="押二",C6/12*2*F11,IF(F10="押三",C6/12*3*F11,C11*F11))),0)</f>
        <v>82</v>
      </c>
      <c r="D10" s="2352" t="s">
        <v>2933</v>
      </c>
      <c r="E10" s="2349" t="s">
        <v>2443</v>
      </c>
      <c r="F10" s="2463" t="s">
        <v>3162</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239916</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151050</v>
      </c>
      <c r="D14" s="1891" t="s">
        <v>1733</v>
      </c>
      <c r="E14" s="1892"/>
      <c r="F14" s="793"/>
      <c r="G14" s="1943"/>
      <c r="H14" s="1576" t="s">
        <v>1818</v>
      </c>
      <c r="I14" s="2109" t="s">
        <v>2803</v>
      </c>
      <c r="J14" s="52">
        <f ca="1">C29</f>
        <v>239916</v>
      </c>
      <c r="K14" s="25"/>
      <c r="L14" s="789"/>
      <c r="M14" s="790"/>
    </row>
    <row r="15" spans="1:33" s="1945" customFormat="1" ht="18" customHeight="1" thickBot="1">
      <c r="A15" s="1575" t="s">
        <v>1873</v>
      </c>
      <c r="B15" s="772" t="s">
        <v>639</v>
      </c>
      <c r="C15" s="52">
        <f ca="1">ROUND(C14*F15,0)</f>
        <v>4532</v>
      </c>
      <c r="D15" s="794" t="s">
        <v>1734</v>
      </c>
      <c r="E15" s="794" t="s">
        <v>1735</v>
      </c>
      <c r="F15" s="795">
        <f>'数据-取费表'!B33</f>
        <v>0.03</v>
      </c>
      <c r="G15" s="3248"/>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3699</v>
      </c>
      <c r="K16" s="1734" t="s">
        <v>1738</v>
      </c>
      <c r="L16" s="2337"/>
      <c r="M16" s="2342"/>
    </row>
    <row r="17" spans="1:33" s="1945" customFormat="1" ht="18" customHeight="1">
      <c r="A17" s="1575" t="s">
        <v>1875</v>
      </c>
      <c r="B17" s="772" t="s">
        <v>645</v>
      </c>
      <c r="C17" s="52">
        <f ca="1">ROUND(F17*(F43+INDIRECT("'数据-取费表'!S"&amp;$G$1))/10000,0)</f>
        <v>6042</v>
      </c>
      <c r="D17" s="772" t="s">
        <v>1739</v>
      </c>
      <c r="E17" s="772" t="s">
        <v>1740</v>
      </c>
      <c r="F17" s="55">
        <f>'数据-取费表'!B35</f>
        <v>200</v>
      </c>
      <c r="G17" s="3248"/>
      <c r="H17" s="1576" t="s">
        <v>1818</v>
      </c>
      <c r="I17" s="772" t="s">
        <v>648</v>
      </c>
      <c r="J17" s="3008">
        <f ca="1">ROUND(IF(AND(项目基本情况!B11="自然人",项目基本情况!B10="北京市"),J6*M17/(1+'数据-取费表'!C42),J18+J19+J20),0)</f>
        <v>2020</v>
      </c>
      <c r="K17" s="2336" t="s">
        <v>1741</v>
      </c>
      <c r="L17" s="2335"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2266</v>
      </c>
      <c r="D18" s="772" t="s">
        <v>1734</v>
      </c>
      <c r="E18" s="772" t="s">
        <v>1735</v>
      </c>
      <c r="F18" s="797">
        <f>'数据-取费表'!B36</f>
        <v>1.4999999999999999E-2</v>
      </c>
      <c r="G18" s="3248"/>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163890</v>
      </c>
      <c r="D19" s="257" t="s">
        <v>1745</v>
      </c>
      <c r="E19" s="1894"/>
      <c r="F19" s="55"/>
      <c r="G19" s="1943"/>
      <c r="H19" s="1575" t="s">
        <v>1873</v>
      </c>
      <c r="I19" s="772" t="s">
        <v>1746</v>
      </c>
      <c r="J19" s="52">
        <f ca="1">IF(K19="按租金收入计税",ROUND(J6*M19/(1+'数据-取费表'!C42),1),ROUND(C29*F33*0.7,1))</f>
        <v>2015.3</v>
      </c>
      <c r="K19" s="798" t="s">
        <v>657</v>
      </c>
      <c r="L19" s="772" t="s">
        <v>1735</v>
      </c>
      <c r="M19" s="797">
        <f>IF(K19="按租金收入计税",'数据-取费表'!B51,'数据-取费表'!B50)</f>
        <v>1.2E-2</v>
      </c>
    </row>
    <row r="20" spans="1:33" s="1945" customFormat="1" ht="18" customHeight="1">
      <c r="A20" s="1576" t="s">
        <v>1877</v>
      </c>
      <c r="B20" s="772" t="s">
        <v>658</v>
      </c>
      <c r="C20" s="52">
        <f ca="1">ROUND(C19*F20,0)</f>
        <v>3278</v>
      </c>
      <c r="D20" s="799" t="s">
        <v>1747</v>
      </c>
      <c r="E20" s="772" t="s">
        <v>1735</v>
      </c>
      <c r="F20" s="797">
        <f>'数据-取费表'!B37</f>
        <v>0.02</v>
      </c>
      <c r="G20" s="3248"/>
      <c r="H20" s="1578" t="s">
        <v>1868</v>
      </c>
      <c r="I20" s="337" t="s">
        <v>1748</v>
      </c>
      <c r="J20" s="53">
        <f ca="1">ROUND(M20*M21/10000,0)</f>
        <v>5</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0.02</v>
      </c>
      <c r="G21" s="3248"/>
      <c r="H21" s="2357"/>
      <c r="I21" s="781"/>
      <c r="J21" s="68"/>
      <c r="K21" s="803"/>
      <c r="L21" s="772" t="s">
        <v>1754</v>
      </c>
      <c r="M21" s="773">
        <f ca="1">INDIRECT("'数据-取费表'!r"&amp;$G$1)</f>
        <v>31736.79</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1679</v>
      </c>
      <c r="K22" s="2335" t="s">
        <v>1757</v>
      </c>
      <c r="L22" s="772" t="s">
        <v>1735</v>
      </c>
      <c r="M22" s="804">
        <f ca="1">INDIRECT("'数据-取费表'!Ak"&amp;$G$1)</f>
        <v>7.0000000000000001E-3</v>
      </c>
    </row>
    <row r="23" spans="1:33" s="1945" customFormat="1" ht="18" customHeight="1">
      <c r="A23" s="1575" t="s">
        <v>1819</v>
      </c>
      <c r="B23" s="772" t="s">
        <v>2514</v>
      </c>
      <c r="C23" s="52">
        <f ca="1">ROUND(IF('数据-取费表'!B22&lt;=1,(C19+C20)*F24*F23/2,(C19+C20)*(POWER((1+F24),F23/2)-1)),0)</f>
        <v>12051</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2335" t="s">
        <v>1759</v>
      </c>
      <c r="L23" s="772" t="s">
        <v>1735</v>
      </c>
      <c r="M23" s="805">
        <f ca="1">INDIRECT("'数据-取费表'!Al"&amp;$G$1)</f>
        <v>8.0000000000000004E-4</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1761</v>
      </c>
      <c r="F24" s="806">
        <f ca="1">'数据-取费表'!B40</f>
        <v>4.7500000000000001E-2</v>
      </c>
      <c r="G24" s="3248"/>
      <c r="H24" s="2402" t="s">
        <v>1879</v>
      </c>
      <c r="I24" s="2397" t="s">
        <v>658</v>
      </c>
      <c r="J24" s="2395">
        <f ca="1">ROUND(J5*M24,0)</f>
        <v>0</v>
      </c>
      <c r="K24" s="2396" t="s">
        <v>1762</v>
      </c>
      <c r="L24" s="2397" t="s">
        <v>1735</v>
      </c>
      <c r="M24" s="2393">
        <f ca="1">INDIRECT("'数据-取费表'!Am"&amp;$G$1)</f>
        <v>8.0000000000000002E-3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-3699</v>
      </c>
      <c r="K25" s="2399" t="s">
        <v>1765</v>
      </c>
      <c r="L25" s="2400"/>
      <c r="M25" s="2401"/>
    </row>
    <row r="26" spans="1:33" ht="18" customHeight="1">
      <c r="A26" s="1575" t="s">
        <v>1819</v>
      </c>
      <c r="B26" s="772" t="s">
        <v>2419</v>
      </c>
      <c r="C26" s="52">
        <f ca="1">ROUND((C19+C20)*F26,0)</f>
        <v>41792</v>
      </c>
      <c r="D26" s="799" t="s">
        <v>1766</v>
      </c>
      <c r="E26" s="783" t="s">
        <v>1767</v>
      </c>
      <c r="F26" s="782">
        <f ca="1">INDIRECT("'数据-取费表'!q"&amp;$G$1)</f>
        <v>0.25</v>
      </c>
      <c r="G26" s="1943"/>
      <c r="H26" s="2353" t="s">
        <v>1768</v>
      </c>
      <c r="I26" s="2110" t="s">
        <v>2804</v>
      </c>
      <c r="J26" s="771">
        <f ca="1">IF(J5&lt;&gt;0,ROUND(J25*(1-((1+M28)/(1+M26))^M27)/(M26-M28),0),0)</f>
        <v>0</v>
      </c>
      <c r="K26" s="801" t="s">
        <v>1769</v>
      </c>
      <c r="L26" s="772" t="s">
        <v>2401</v>
      </c>
      <c r="M26" s="782">
        <f ca="1">INDIRECT("'数据-取费表'!I"&amp;$G$1)</f>
        <v>4.2000000000000003E-2</v>
      </c>
    </row>
    <row r="27" spans="1:33" ht="18" customHeight="1">
      <c r="A27" s="1575" t="s">
        <v>1820</v>
      </c>
      <c r="B27" s="772" t="s">
        <v>678</v>
      </c>
      <c r="C27" s="52">
        <f ca="1">ROUND(F21*F26,4)</f>
        <v>5.0000000000000001E-3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48"/>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239916</v>
      </c>
      <c r="D29" s="2396"/>
      <c r="E29" s="2397"/>
      <c r="F29" s="2398"/>
      <c r="G29" s="3248"/>
      <c r="H29" s="810" t="s">
        <v>1775</v>
      </c>
      <c r="I29" s="811" t="s">
        <v>1776</v>
      </c>
      <c r="J29" s="812">
        <f ca="1">ROUND(J26/(1+F40)^F41,0)</f>
        <v>0</v>
      </c>
      <c r="K29" s="813" t="s">
        <v>1777</v>
      </c>
      <c r="L29" s="814"/>
      <c r="M29" s="815">
        <f ca="1">INDIRECT("'数据-取费表'!k"&amp;$G$1)</f>
        <v>302100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7854</v>
      </c>
      <c r="D30" s="1734" t="s">
        <v>1779</v>
      </c>
      <c r="E30" s="2337"/>
      <c r="F30" s="2342"/>
      <c r="G30" s="1943"/>
      <c r="H30" s="1946"/>
      <c r="I30" s="1947"/>
      <c r="J30" s="1948"/>
      <c r="K30" s="1949"/>
      <c r="L30" s="1950"/>
      <c r="M30" s="1951"/>
    </row>
    <row r="31" spans="1:33" ht="18" customHeight="1">
      <c r="A31" s="1576" t="s">
        <v>1818</v>
      </c>
      <c r="B31" s="772" t="s">
        <v>648</v>
      </c>
      <c r="C31" s="3008">
        <f ca="1">ROUND(IF(AND(项目基本情况!B11="自然人",项目基本情况!B10="北京市"),C6*F31/(1+'数据-取费表'!C42),C32+C33+C34),0)</f>
        <v>5458</v>
      </c>
      <c r="D31" s="1891" t="s">
        <v>1780</v>
      </c>
      <c r="E31" s="1889" t="s">
        <v>1781</v>
      </c>
      <c r="F31" s="3007">
        <f ca="1">IF(项目基本情况!B11="企业","——",IF('数据-取费表'!B10="住宅",IF(F6*F7*F8/12/(1+'数据-取费表'!F30)&gt;100000,4%,2.5%),IF(F6*F7*F8/12/(1+'数据-取费表'!F30)&gt;100000,12%,7%)))</f>
        <v>0.12</v>
      </c>
      <c r="G31" s="1943"/>
      <c r="H31" s="3245" t="s">
        <v>2988</v>
      </c>
      <c r="I31" s="1947"/>
      <c r="J31" s="1948"/>
      <c r="K31" s="1949"/>
      <c r="L31" s="1950"/>
      <c r="M31" s="1951"/>
    </row>
    <row r="32" spans="1:33" ht="18" customHeight="1">
      <c r="A32" s="1575" t="s">
        <v>1819</v>
      </c>
      <c r="B32" s="772" t="s">
        <v>1782</v>
      </c>
      <c r="C32" s="52">
        <f ca="1">ROUND(C6*F32/(1+'数据-取费表'!C42),1)</f>
        <v>3430.8</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2015.3</v>
      </c>
      <c r="D33" s="798" t="s">
        <v>1668</v>
      </c>
      <c r="E33" s="772" t="s">
        <v>1784</v>
      </c>
      <c r="F33" s="797">
        <f>IF(D33="按租金收入计税",'数据-取费表'!B51,'数据-取费表'!B50)</f>
        <v>1.2E-2</v>
      </c>
      <c r="G33" s="1943"/>
      <c r="H33" s="1958"/>
      <c r="I33" s="1958"/>
      <c r="J33" s="1958"/>
      <c r="K33" s="1959"/>
      <c r="L33" s="1958"/>
      <c r="M33" s="1958"/>
    </row>
    <row r="34" spans="1:18" ht="18" customHeight="1">
      <c r="A34" s="1578" t="s">
        <v>1821</v>
      </c>
      <c r="B34" s="337" t="s">
        <v>1786</v>
      </c>
      <c r="C34" s="53">
        <f>ROUND(F34*F35/10000,1)</f>
        <v>12.2</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f>
        <v>81070.106</v>
      </c>
      <c r="G35" s="1943"/>
      <c r="H35" s="1946"/>
      <c r="I35" s="824" t="s">
        <v>1802</v>
      </c>
      <c r="J35" s="825">
        <f ca="1">ROUND(C13*J36,0)</f>
        <v>0</v>
      </c>
      <c r="K35" s="1959"/>
      <c r="L35" s="1958"/>
      <c r="M35" s="1958"/>
    </row>
    <row r="36" spans="1:18" ht="18" customHeight="1">
      <c r="A36" s="1576" t="s">
        <v>1877</v>
      </c>
      <c r="B36" s="772" t="s">
        <v>1790</v>
      </c>
      <c r="C36" s="52">
        <f ca="1">ROUND(C29*F36,1)</f>
        <v>1679.4</v>
      </c>
      <c r="D36" s="1889" t="s">
        <v>1791</v>
      </c>
      <c r="E36" s="772" t="s">
        <v>1784</v>
      </c>
      <c r="F36" s="804">
        <f ca="1">INDIRECT("'数据-取费表'!Ak"&amp;$G$1)</f>
        <v>7.0000000000000001E-3</v>
      </c>
      <c r="G36" s="1943"/>
      <c r="H36" s="1958"/>
      <c r="I36" s="826" t="s">
        <v>1803</v>
      </c>
      <c r="J36" s="827">
        <f ca="1">INDIRECT("'数据-取费表'!j"&amp;$G$1)</f>
        <v>0</v>
      </c>
      <c r="K36" s="1962"/>
      <c r="L36" s="1958"/>
      <c r="M36" s="1958"/>
    </row>
    <row r="37" spans="1:18" ht="18" customHeight="1">
      <c r="A37" s="1576" t="s">
        <v>1878</v>
      </c>
      <c r="B37" s="772" t="s">
        <v>671</v>
      </c>
      <c r="C37" s="52">
        <f ca="1">ROUND(C13*F37,1)</f>
        <v>191.9</v>
      </c>
      <c r="D37" s="1889" t="s">
        <v>1792</v>
      </c>
      <c r="E37" s="772" t="s">
        <v>1784</v>
      </c>
      <c r="F37" s="805">
        <f ca="1">INDIRECT("'数据-取费表'!Al"&amp;$G$1)</f>
        <v>8.0000000000000004E-4</v>
      </c>
      <c r="G37" s="1943"/>
      <c r="H37" s="1958"/>
      <c r="I37" s="828" t="s">
        <v>1804</v>
      </c>
      <c r="J37" s="829"/>
      <c r="K37" s="1962"/>
      <c r="L37" s="1958"/>
      <c r="M37" s="1958"/>
    </row>
    <row r="38" spans="1:18" ht="18" customHeight="1" thickBot="1">
      <c r="A38" s="2402" t="s">
        <v>1879</v>
      </c>
      <c r="B38" s="2397" t="s">
        <v>658</v>
      </c>
      <c r="C38" s="2395">
        <f ca="1">ROUND(C5*F38,1)</f>
        <v>524.6</v>
      </c>
      <c r="D38" s="2396" t="s">
        <v>1793</v>
      </c>
      <c r="E38" s="2397" t="s">
        <v>1784</v>
      </c>
      <c r="F38" s="2393">
        <f ca="1">INDIRECT("'数据-取费表'!Am"&amp;$G$1)</f>
        <v>8.0000000000000002E-3</v>
      </c>
      <c r="G38" s="1943"/>
      <c r="H38" s="1958"/>
      <c r="I38" s="830" t="s">
        <v>1805</v>
      </c>
      <c r="J38" s="831"/>
      <c r="K38" s="1963"/>
      <c r="L38" s="1958"/>
      <c r="M38" s="1958"/>
    </row>
    <row r="39" spans="1:18" ht="24.6" customHeight="1" thickTop="1">
      <c r="A39" s="1742" t="s">
        <v>1882</v>
      </c>
      <c r="B39" s="2721" t="s">
        <v>2799</v>
      </c>
      <c r="C39" s="780">
        <f ca="1">C5-C30</f>
        <v>57726</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1109326</v>
      </c>
      <c r="D40" s="801" t="s">
        <v>1795</v>
      </c>
      <c r="E40" s="772" t="s">
        <v>2401</v>
      </c>
      <c r="F40" s="782">
        <f ca="1">INDIRECT("'数据-取费表'!I"&amp;$G$1)</f>
        <v>4.2000000000000003E-2</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0.216</v>
      </c>
      <c r="K42" s="1962"/>
      <c r="L42" s="1898"/>
      <c r="M42" s="1898"/>
    </row>
    <row r="43" spans="1:18" ht="18" customHeight="1" thickBot="1">
      <c r="A43" s="810" t="s">
        <v>1775</v>
      </c>
      <c r="B43" s="811" t="s">
        <v>1798</v>
      </c>
      <c r="C43" s="812">
        <f ca="1">ROUND(C40*10000/F43,0)</f>
        <v>36720</v>
      </c>
      <c r="D43" s="813" t="s">
        <v>1799</v>
      </c>
      <c r="E43" s="814" t="s">
        <v>1800</v>
      </c>
      <c r="F43" s="815">
        <f ca="1">INDIRECT("'数据-取费表'!k"&amp;$G$1)</f>
        <v>302100</v>
      </c>
      <c r="G43" s="1943"/>
      <c r="H43" s="1898"/>
      <c r="I43" s="834" t="s">
        <v>1810</v>
      </c>
      <c r="J43" s="835">
        <f ca="1">1-J42</f>
        <v>0.78400000000000003</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-1184253</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3076</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0"/>
      <c r="O48" s="2251" t="s">
        <v>2361</v>
      </c>
      <c r="P48" s="2252" t="s">
        <v>2387</v>
      </c>
      <c r="Q48" s="2253">
        <f ca="1">C40+J29</f>
        <v>1109326</v>
      </c>
      <c r="R48" s="2252" t="s">
        <v>2362</v>
      </c>
    </row>
    <row r="49" spans="1:18" s="1940" customFormat="1" ht="18" customHeight="1" thickBot="1">
      <c r="A49" s="774"/>
      <c r="B49" s="775"/>
      <c r="C49" s="776"/>
      <c r="D49" s="777"/>
      <c r="E49" s="772" t="s">
        <v>1727</v>
      </c>
      <c r="F49" s="773">
        <f ca="1">F7</f>
        <v>302100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239916</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3463560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4134" t="s">
        <v>2926</v>
      </c>
      <c r="L53" s="4135"/>
      <c r="M53" s="3250"/>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1109326</v>
      </c>
      <c r="R54" s="2256" t="s">
        <v>2374</v>
      </c>
    </row>
    <row r="55" spans="1:18" s="1940" customFormat="1" ht="18" customHeight="1" thickTop="1" thickBot="1">
      <c r="A55" s="785">
        <v>2</v>
      </c>
      <c r="B55" s="786" t="s">
        <v>636</v>
      </c>
      <c r="C55" s="787">
        <f ca="1">C13</f>
        <v>239916</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2287</v>
      </c>
      <c r="C56" s="52">
        <f ca="1">C29</f>
        <v>239916</v>
      </c>
      <c r="D56" s="2479"/>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3899</v>
      </c>
      <c r="D57" s="25" t="s">
        <v>1738</v>
      </c>
      <c r="E57" s="2480"/>
      <c r="F57" s="55"/>
      <c r="I57" s="2817" t="s">
        <v>2340</v>
      </c>
      <c r="J57" s="2818" t="str">
        <f ca="1">IF(OR(M47="住宅",J51&lt;L48,J56="是"),"——",J51-L48)</f>
        <v>——</v>
      </c>
      <c r="K57" s="2797" t="s">
        <v>2345</v>
      </c>
      <c r="L57" s="1820" t="str">
        <f ca="1">IF(L48&lt;J51,"——",IF(L55="比较法",L49,IF(L55="基准地价",L50,L51)))</f>
        <v>——</v>
      </c>
      <c r="M57" s="3250"/>
      <c r="O57" s="2251" t="s">
        <v>2361</v>
      </c>
      <c r="P57" s="2252" t="s">
        <v>2391</v>
      </c>
      <c r="Q57" s="2253">
        <f ca="1">C40+J29</f>
        <v>1109326</v>
      </c>
      <c r="R57" s="2252" t="s">
        <v>2362</v>
      </c>
    </row>
    <row r="58" spans="1:18" s="1940" customFormat="1" ht="28.5" customHeight="1" thickBot="1">
      <c r="A58" s="1576" t="s">
        <v>1812</v>
      </c>
      <c r="B58" s="772" t="s">
        <v>648</v>
      </c>
      <c r="C58" s="3008">
        <f ca="1">ROUND(IF(AND(项目基本情况!B11="自然人",项目基本情况!B10="北京市"),C48*F58/(1+'数据-取费表'!C42),C59+C60+C61),0)</f>
        <v>2028</v>
      </c>
      <c r="D58" s="2478" t="s">
        <v>649</v>
      </c>
      <c r="E58" s="2479"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2015.3</v>
      </c>
      <c r="D60" s="2479" t="str">
        <f>D33</f>
        <v>按房产原值计税</v>
      </c>
      <c r="E60" s="772" t="s">
        <v>1735</v>
      </c>
      <c r="F60" s="797">
        <f t="shared" si="0"/>
        <v>1.2E-2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12.2</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81070.106</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1679.4</v>
      </c>
      <c r="D63" s="2479" t="s">
        <v>1791</v>
      </c>
      <c r="E63" s="772" t="s">
        <v>1735</v>
      </c>
      <c r="F63" s="804">
        <f t="shared" ca="1" si="0"/>
        <v>7.0000000000000001E-3</v>
      </c>
      <c r="I63" s="2822" t="s">
        <v>2352</v>
      </c>
      <c r="J63" s="2823">
        <v>70</v>
      </c>
      <c r="K63" s="2823">
        <v>50</v>
      </c>
      <c r="L63" s="2823">
        <v>80</v>
      </c>
      <c r="M63" s="2825">
        <v>0.02</v>
      </c>
      <c r="O63" s="2251" t="s">
        <v>2373</v>
      </c>
      <c r="P63" s="2252" t="s">
        <v>2390</v>
      </c>
      <c r="Q63" s="2253">
        <f ca="1">Q57+Q58</f>
        <v>1109326</v>
      </c>
      <c r="R63" s="2256" t="s">
        <v>2374</v>
      </c>
    </row>
    <row r="64" spans="1:18" s="1940" customFormat="1" ht="16.5" thickBot="1">
      <c r="A64" s="1576" t="s">
        <v>1878</v>
      </c>
      <c r="B64" s="772" t="s">
        <v>671</v>
      </c>
      <c r="C64" s="52">
        <f ca="1">ROUND(C55*F64,1)</f>
        <v>191.9</v>
      </c>
      <c r="D64" s="2479" t="s">
        <v>672</v>
      </c>
      <c r="E64" s="772" t="s">
        <v>1735</v>
      </c>
      <c r="F64" s="805">
        <f t="shared" ca="1" si="0"/>
        <v>8.0000000000000004E-4</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8.0000000000000002E-3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-3899</v>
      </c>
      <c r="D66" s="2478" t="s">
        <v>692</v>
      </c>
      <c r="E66" s="2477"/>
      <c r="F66" s="807"/>
      <c r="K66" s="1966"/>
      <c r="O66" s="2251" t="s">
        <v>2361</v>
      </c>
      <c r="P66" s="2252" t="s">
        <v>2391</v>
      </c>
      <c r="Q66" s="2253">
        <f ca="1">C40+J29</f>
        <v>1109326</v>
      </c>
      <c r="R66" s="2252" t="s">
        <v>2362</v>
      </c>
    </row>
    <row r="67" spans="1:18" s="1940" customFormat="1" ht="20.25" thickBot="1">
      <c r="A67" s="769" t="s">
        <v>1768</v>
      </c>
      <c r="B67" s="2110" t="s">
        <v>2286</v>
      </c>
      <c r="C67" s="771">
        <f ca="1">ROUND(C66*(1-((1+F69)/(1+F67))^F68)/(F67-F69),0)</f>
        <v>-74927</v>
      </c>
      <c r="D67" s="801" t="s">
        <v>696</v>
      </c>
      <c r="E67" s="772" t="s">
        <v>697</v>
      </c>
      <c r="F67" s="782">
        <f ca="1">F40</f>
        <v>4.2000000000000003E-2</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3463560</v>
      </c>
      <c r="R68" s="2259" t="s">
        <v>2398</v>
      </c>
    </row>
    <row r="69" spans="1:18" ht="20.25" thickBot="1">
      <c r="A69" s="778"/>
      <c r="B69" s="779"/>
      <c r="C69" s="780"/>
      <c r="D69" s="803"/>
      <c r="E69" s="772" t="s">
        <v>702</v>
      </c>
      <c r="F69" s="2224"/>
      <c r="O69" s="2254" t="s">
        <v>2366</v>
      </c>
      <c r="P69" s="2260" t="s">
        <v>2380</v>
      </c>
      <c r="Q69" s="2253">
        <f ca="1">ROUND(Q70-Q71*Q72,0)</f>
        <v>57726</v>
      </c>
      <c r="R69" s="2256"/>
    </row>
    <row r="70" spans="1:18" ht="15.75" thickBot="1">
      <c r="A70" s="810" t="s">
        <v>1775</v>
      </c>
      <c r="B70" s="811" t="s">
        <v>1798</v>
      </c>
      <c r="C70" s="812">
        <f ca="1">ROUND(C67*10000/F70,0)</f>
        <v>-2480</v>
      </c>
      <c r="D70" s="813" t="s">
        <v>1799</v>
      </c>
      <c r="E70" s="814" t="s">
        <v>1800</v>
      </c>
      <c r="F70" s="815">
        <f ca="1">F43</f>
        <v>302100</v>
      </c>
      <c r="O70" s="2254" t="s">
        <v>2381</v>
      </c>
      <c r="P70" s="2260" t="s">
        <v>2382</v>
      </c>
      <c r="Q70" s="2253">
        <f ca="1">C39</f>
        <v>57726</v>
      </c>
      <c r="R70" s="2252" t="s">
        <v>2362</v>
      </c>
    </row>
    <row r="71" spans="1:18" ht="15.75" thickBot="1">
      <c r="O71" s="2254" t="s">
        <v>2383</v>
      </c>
      <c r="P71" s="2260" t="s">
        <v>2384</v>
      </c>
      <c r="Q71" s="2253">
        <f ca="1">C13</f>
        <v>239916</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1109326</v>
      </c>
      <c r="R76" s="2256" t="s">
        <v>2374</v>
      </c>
    </row>
  </sheetData>
  <sheetProtection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zoomScaleSheetLayoutView="80" workbookViewId="0">
      <selection activeCell="L42" sqref="L42"/>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511</v>
      </c>
      <c r="B3" s="502">
        <f>C49</f>
        <v>6.6</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974" t="s">
        <v>514</v>
      </c>
      <c r="D4" s="3975"/>
      <c r="E4" s="4008" t="s">
        <v>515</v>
      </c>
      <c r="F4" s="4009"/>
      <c r="G4" s="3974" t="s">
        <v>516</v>
      </c>
      <c r="H4" s="3975"/>
      <c r="I4" s="3974" t="s">
        <v>517</v>
      </c>
      <c r="J4" s="3975"/>
      <c r="K4" s="506" t="s">
        <v>518</v>
      </c>
      <c r="L4" s="2013"/>
      <c r="M4" s="2014"/>
      <c r="N4" s="2014"/>
      <c r="O4" s="2014"/>
      <c r="P4" s="3976" t="s">
        <v>519</v>
      </c>
      <c r="Q4" s="3977"/>
      <c r="R4" s="3982" t="s">
        <v>515</v>
      </c>
      <c r="S4" s="3983"/>
      <c r="T4" s="3982" t="s">
        <v>516</v>
      </c>
      <c r="U4" s="3983"/>
      <c r="V4" s="3969" t="s">
        <v>517</v>
      </c>
      <c r="W4" s="3969"/>
      <c r="X4" s="1500"/>
      <c r="Y4" s="3982" t="s">
        <v>519</v>
      </c>
      <c r="Z4" s="3983"/>
      <c r="AA4" s="3971" t="s">
        <v>515</v>
      </c>
      <c r="AB4" s="3969" t="s">
        <v>516</v>
      </c>
      <c r="AC4" s="3971" t="s">
        <v>517</v>
      </c>
    </row>
    <row r="5" spans="1:29" ht="15">
      <c r="A5" s="507"/>
      <c r="B5" s="508"/>
      <c r="C5" s="3990" t="s">
        <v>2892</v>
      </c>
      <c r="D5" s="3991"/>
      <c r="E5" s="4010" t="str">
        <f>商业租金案例截图及地图!H1</f>
        <v>复兴里</v>
      </c>
      <c r="F5" s="4011"/>
      <c r="G5" s="3990" t="str">
        <f>商业租金案例截图及地图!H16</f>
        <v>格瑞雅居</v>
      </c>
      <c r="H5" s="3991"/>
      <c r="I5" s="4136" t="s">
        <v>3132</v>
      </c>
      <c r="J5" s="3991"/>
      <c r="K5" s="506"/>
      <c r="L5" s="2013"/>
      <c r="M5" s="2014"/>
      <c r="N5" s="2014"/>
      <c r="O5" s="2014"/>
      <c r="P5" s="3978"/>
      <c r="Q5" s="3979"/>
      <c r="R5" s="3984"/>
      <c r="S5" s="3985"/>
      <c r="T5" s="3984"/>
      <c r="U5" s="3985"/>
      <c r="V5" s="3969"/>
      <c r="W5" s="3969"/>
      <c r="X5" s="1500"/>
      <c r="Y5" s="3984"/>
      <c r="Z5" s="3985"/>
      <c r="AA5" s="3972"/>
      <c r="AB5" s="3969"/>
      <c r="AC5" s="3972"/>
    </row>
    <row r="6" spans="1:29" ht="15.75" thickBot="1">
      <c r="A6" s="509"/>
      <c r="B6" s="510"/>
      <c r="C6" s="3988" t="s">
        <v>2896</v>
      </c>
      <c r="D6" s="3989"/>
      <c r="E6" s="4006" t="s">
        <v>2896</v>
      </c>
      <c r="F6" s="4007"/>
      <c r="G6" s="3988" t="s">
        <v>2896</v>
      </c>
      <c r="H6" s="3989"/>
      <c r="I6" s="3988" t="s">
        <v>2896</v>
      </c>
      <c r="J6" s="3989"/>
      <c r="K6" s="506" t="s">
        <v>520</v>
      </c>
      <c r="L6" s="2013"/>
      <c r="M6" s="2014"/>
      <c r="N6" s="2014"/>
      <c r="O6" s="2014"/>
      <c r="P6" s="3980"/>
      <c r="Q6" s="3981"/>
      <c r="R6" s="3984"/>
      <c r="S6" s="3985"/>
      <c r="T6" s="3986"/>
      <c r="U6" s="3987"/>
      <c r="V6" s="3969"/>
      <c r="W6" s="3969"/>
      <c r="X6" s="1500"/>
      <c r="Y6" s="3986"/>
      <c r="Z6" s="3987"/>
      <c r="AA6" s="3973"/>
      <c r="AB6" s="3969"/>
      <c r="AC6" s="3973"/>
    </row>
    <row r="7" spans="1:29" s="1201" customFormat="1" ht="15.75" thickBot="1">
      <c r="A7" s="2627"/>
      <c r="B7" s="2634" t="s">
        <v>521</v>
      </c>
      <c r="C7" s="511">
        <f>'数据-取费表'!B2</f>
        <v>44545</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3999" t="s">
        <v>522</v>
      </c>
      <c r="Q7" s="4001"/>
      <c r="R7" s="1501" t="s">
        <v>8</v>
      </c>
      <c r="S7" s="1502">
        <f t="shared" ref="S7:S15" si="0">F7</f>
        <v>100</v>
      </c>
      <c r="T7" s="1501" t="s">
        <v>8</v>
      </c>
      <c r="U7" s="1502">
        <f t="shared" ref="U7:U15" si="1">H7</f>
        <v>100</v>
      </c>
      <c r="V7" s="1501" t="s">
        <v>8</v>
      </c>
      <c r="W7" s="1502">
        <f t="shared" ref="W7:W15" si="2">J7</f>
        <v>100</v>
      </c>
      <c r="X7" s="1503"/>
      <c r="Y7" s="3999" t="s">
        <v>522</v>
      </c>
      <c r="Z7" s="4000"/>
      <c r="AA7" s="1504">
        <f>D7/F7</f>
        <v>1</v>
      </c>
      <c r="AB7" s="1504">
        <f>D7/H7</f>
        <v>1</v>
      </c>
      <c r="AC7" s="1504">
        <f>D7/J7</f>
        <v>1</v>
      </c>
    </row>
    <row r="8" spans="1:29" s="1201" customFormat="1" ht="15.75" thickBot="1">
      <c r="A8" s="2628"/>
      <c r="B8" s="2635" t="s">
        <v>523</v>
      </c>
      <c r="C8" s="517" t="s">
        <v>568</v>
      </c>
      <c r="D8" s="512">
        <v>100</v>
      </c>
      <c r="E8" s="517" t="s">
        <v>3066</v>
      </c>
      <c r="F8" s="514">
        <f>SUMIF(61:61,E8,62:62)-SUMIF(61:61,C8,62:62)+100</f>
        <v>100</v>
      </c>
      <c r="G8" s="517" t="s">
        <v>3066</v>
      </c>
      <c r="H8" s="512">
        <f>SUMIF(61:61,G8,62:62)-SUMIF(61:61,C8,62:62)+100</f>
        <v>100</v>
      </c>
      <c r="I8" s="517" t="s">
        <v>3066</v>
      </c>
      <c r="J8" s="512">
        <f>SUMIF(61:61,I8,62:62)-SUMIF(61:61,C8,62:62)+100</f>
        <v>100</v>
      </c>
      <c r="K8" s="516"/>
      <c r="L8" s="2015"/>
      <c r="M8" s="2016"/>
      <c r="N8" s="2016"/>
      <c r="O8" s="2016"/>
      <c r="P8" s="3999" t="s">
        <v>525</v>
      </c>
      <c r="Q8" s="4000"/>
      <c r="R8" s="1501" t="s">
        <v>8</v>
      </c>
      <c r="S8" s="1502">
        <f t="shared" si="0"/>
        <v>100</v>
      </c>
      <c r="T8" s="1501" t="s">
        <v>8</v>
      </c>
      <c r="U8" s="1502">
        <f t="shared" si="1"/>
        <v>100</v>
      </c>
      <c r="V8" s="1501" t="s">
        <v>8</v>
      </c>
      <c r="W8" s="1502">
        <f t="shared" si="2"/>
        <v>100</v>
      </c>
      <c r="X8" s="1503"/>
      <c r="Y8" s="3999" t="s">
        <v>525</v>
      </c>
      <c r="Z8" s="4000"/>
      <c r="AA8" s="1504">
        <f t="shared" ref="AA8:AA46" si="3">D8/F8</f>
        <v>1</v>
      </c>
      <c r="AB8" s="1504">
        <f t="shared" ref="AB8:AB46" si="4">D8/H8</f>
        <v>1</v>
      </c>
      <c r="AC8" s="1504">
        <f t="shared" ref="AC8:AC46" si="5">D8/J8</f>
        <v>1</v>
      </c>
    </row>
    <row r="9" spans="1:29" s="1201" customFormat="1" ht="15">
      <c r="A9" s="2629"/>
      <c r="B9" s="2636" t="s">
        <v>2734</v>
      </c>
      <c r="C9" s="3325" t="s">
        <v>3086</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968" t="s">
        <v>527</v>
      </c>
      <c r="Q9" s="1132" t="str">
        <f t="shared" ref="Q9:Q15" si="6">B9</f>
        <v>用途</v>
      </c>
      <c r="R9" s="1501" t="s">
        <v>8</v>
      </c>
      <c r="S9" s="1502">
        <f t="shared" si="0"/>
        <v>100</v>
      </c>
      <c r="T9" s="1501" t="s">
        <v>8</v>
      </c>
      <c r="U9" s="1502">
        <f t="shared" si="1"/>
        <v>100</v>
      </c>
      <c r="V9" s="1501" t="s">
        <v>8</v>
      </c>
      <c r="W9" s="1502">
        <f t="shared" si="2"/>
        <v>100</v>
      </c>
      <c r="X9" s="1503"/>
      <c r="Y9" s="3914" t="s">
        <v>528</v>
      </c>
      <c r="Z9" s="1131" t="str">
        <f t="shared" ref="Z9:Z15" si="7">Q9</f>
        <v>用途</v>
      </c>
      <c r="AA9" s="1504">
        <f t="shared" si="3"/>
        <v>1</v>
      </c>
      <c r="AB9" s="1504">
        <f t="shared" si="4"/>
        <v>1</v>
      </c>
      <c r="AC9" s="1504">
        <f t="shared" si="5"/>
        <v>1</v>
      </c>
    </row>
    <row r="10" spans="1:29" s="1290" customFormat="1" ht="27">
      <c r="A10" s="2630"/>
      <c r="B10" s="2635" t="s">
        <v>2735</v>
      </c>
      <c r="C10" s="848" t="s">
        <v>3124</v>
      </c>
      <c r="D10" s="251">
        <v>100</v>
      </c>
      <c r="E10" s="848" t="s">
        <v>3125</v>
      </c>
      <c r="F10" s="251">
        <f>SUMIF(65:65,E10,66:66)-SUMIF(65:65,C10,66:66)+100</f>
        <v>98</v>
      </c>
      <c r="G10" s="849" t="s">
        <v>3125</v>
      </c>
      <c r="H10" s="251">
        <f>SUMIF(65:65,G10,66:66)-SUMIF(65:65,C10,66:66)+100</f>
        <v>98</v>
      </c>
      <c r="I10" s="848" t="s">
        <v>3124</v>
      </c>
      <c r="J10" s="251">
        <f>SUMIF(65:65,I10,66:66)-SUMIF(65:65,C10,66:66)+100</f>
        <v>100</v>
      </c>
      <c r="K10" s="576">
        <v>2</v>
      </c>
      <c r="L10" s="2018"/>
      <c r="M10" s="2057"/>
      <c r="N10" s="2057"/>
      <c r="O10" s="2019"/>
      <c r="P10" s="3968"/>
      <c r="Q10" s="1132" t="str">
        <f t="shared" si="6"/>
        <v>土地使用年限（年）</v>
      </c>
      <c r="R10" s="1501" t="s">
        <v>8</v>
      </c>
      <c r="S10" s="1502">
        <f t="shared" si="0"/>
        <v>98</v>
      </c>
      <c r="T10" s="1501" t="s">
        <v>8</v>
      </c>
      <c r="U10" s="1502">
        <f t="shared" si="1"/>
        <v>98</v>
      </c>
      <c r="V10" s="1501" t="s">
        <v>8</v>
      </c>
      <c r="W10" s="1502">
        <f t="shared" si="2"/>
        <v>100</v>
      </c>
      <c r="X10" s="1503"/>
      <c r="Y10" s="3914"/>
      <c r="Z10" s="1131" t="str">
        <f t="shared" si="7"/>
        <v>土地使用年限（年）</v>
      </c>
      <c r="AA10" s="1504">
        <f t="shared" si="3"/>
        <v>1.0204081632653061</v>
      </c>
      <c r="AB10" s="1504">
        <f t="shared" si="4"/>
        <v>1.0204081632653061</v>
      </c>
      <c r="AC10" s="1504">
        <f t="shared" si="5"/>
        <v>1</v>
      </c>
    </row>
    <row r="11" spans="1:29" ht="15">
      <c r="A11" s="2631"/>
      <c r="B11" s="2635"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968"/>
      <c r="Q11" s="1132" t="str">
        <f t="shared" si="6"/>
        <v>容积率</v>
      </c>
      <c r="R11" s="1501" t="s">
        <v>8</v>
      </c>
      <c r="S11" s="1502">
        <f t="shared" si="0"/>
        <v>100</v>
      </c>
      <c r="T11" s="1501" t="s">
        <v>8</v>
      </c>
      <c r="U11" s="1502">
        <f t="shared" si="1"/>
        <v>100</v>
      </c>
      <c r="V11" s="1501" t="s">
        <v>8</v>
      </c>
      <c r="W11" s="1502">
        <f t="shared" si="2"/>
        <v>100</v>
      </c>
      <c r="X11" s="1503"/>
      <c r="Y11" s="3914"/>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968"/>
      <c r="Q12" s="1132">
        <f t="shared" si="6"/>
        <v>111</v>
      </c>
      <c r="R12" s="1501" t="s">
        <v>8</v>
      </c>
      <c r="S12" s="1502">
        <f t="shared" si="0"/>
        <v>100</v>
      </c>
      <c r="T12" s="1501" t="s">
        <v>8</v>
      </c>
      <c r="U12" s="1502">
        <f t="shared" si="1"/>
        <v>100</v>
      </c>
      <c r="V12" s="1501" t="s">
        <v>8</v>
      </c>
      <c r="W12" s="1502">
        <f t="shared" si="2"/>
        <v>100</v>
      </c>
      <c r="X12" s="1503"/>
      <c r="Y12" s="3914"/>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968"/>
      <c r="Q13" s="1132">
        <f t="shared" si="6"/>
        <v>111</v>
      </c>
      <c r="R13" s="1501" t="s">
        <v>8</v>
      </c>
      <c r="S13" s="1502">
        <f t="shared" si="0"/>
        <v>100</v>
      </c>
      <c r="T13" s="1501" t="s">
        <v>8</v>
      </c>
      <c r="U13" s="1502">
        <f t="shared" si="1"/>
        <v>100</v>
      </c>
      <c r="V13" s="1501" t="s">
        <v>8</v>
      </c>
      <c r="W13" s="1502">
        <f t="shared" si="2"/>
        <v>100</v>
      </c>
      <c r="X13" s="1503"/>
      <c r="Y13" s="3914"/>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968"/>
      <c r="Q14" s="1132">
        <f t="shared" si="6"/>
        <v>111</v>
      </c>
      <c r="R14" s="1501" t="s">
        <v>8</v>
      </c>
      <c r="S14" s="1502">
        <f t="shared" si="0"/>
        <v>100</v>
      </c>
      <c r="T14" s="1501" t="s">
        <v>8</v>
      </c>
      <c r="U14" s="1502">
        <f t="shared" si="1"/>
        <v>100</v>
      </c>
      <c r="V14" s="1501" t="s">
        <v>8</v>
      </c>
      <c r="W14" s="1502">
        <f t="shared" si="2"/>
        <v>100</v>
      </c>
      <c r="X14" s="1503"/>
      <c r="Y14" s="3914"/>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100</v>
      </c>
      <c r="G15" s="544"/>
      <c r="H15" s="541">
        <f>SUMIF(76:76,G16,77:77)-SUMIF(76:76,C16,77:77)+100</f>
        <v>100</v>
      </c>
      <c r="I15" s="542"/>
      <c r="J15" s="541">
        <f>SUMIF(76:76,I16,77:77)-SUMIF(76:76,C16,77:77)+100</f>
        <v>100</v>
      </c>
      <c r="K15" s="885">
        <v>2</v>
      </c>
      <c r="L15" s="2022"/>
      <c r="M15" s="2014"/>
      <c r="N15" s="2014"/>
      <c r="O15" s="2021"/>
      <c r="P15" s="4002" t="s">
        <v>532</v>
      </c>
      <c r="Q15" s="1505" t="str">
        <f t="shared" si="6"/>
        <v>商业繁华度</v>
      </c>
      <c r="R15" s="1506" t="s">
        <v>8</v>
      </c>
      <c r="S15" s="1507">
        <f t="shared" si="0"/>
        <v>100</v>
      </c>
      <c r="T15" s="1506" t="s">
        <v>8</v>
      </c>
      <c r="U15" s="1507">
        <f t="shared" si="1"/>
        <v>100</v>
      </c>
      <c r="V15" s="1506" t="s">
        <v>8</v>
      </c>
      <c r="W15" s="1507">
        <f t="shared" si="2"/>
        <v>100</v>
      </c>
      <c r="X15" s="1500"/>
      <c r="Y15" s="4002" t="s">
        <v>532</v>
      </c>
      <c r="Z15" s="1508" t="str">
        <f t="shared" si="7"/>
        <v>商业繁华度</v>
      </c>
      <c r="AA15" s="1509">
        <f t="shared" si="3"/>
        <v>1</v>
      </c>
      <c r="AB15" s="1509">
        <f t="shared" si="4"/>
        <v>1</v>
      </c>
      <c r="AC15" s="1509">
        <f t="shared" si="5"/>
        <v>1</v>
      </c>
    </row>
    <row r="16" spans="1:29" ht="15">
      <c r="A16" s="524"/>
      <c r="B16" s="856"/>
      <c r="C16" s="568" t="s">
        <v>3071</v>
      </c>
      <c r="D16" s="547"/>
      <c r="E16" s="568" t="s">
        <v>3071</v>
      </c>
      <c r="F16" s="549"/>
      <c r="G16" s="568" t="s">
        <v>3071</v>
      </c>
      <c r="H16" s="551"/>
      <c r="I16" s="568" t="s">
        <v>3071</v>
      </c>
      <c r="J16" s="547"/>
      <c r="K16" s="886"/>
      <c r="L16" s="2022"/>
      <c r="M16" s="2014"/>
      <c r="N16" s="2014"/>
      <c r="O16" s="2021"/>
      <c r="P16" s="4003"/>
      <c r="Q16" s="1505"/>
      <c r="R16" s="1506"/>
      <c r="S16" s="1507"/>
      <c r="T16" s="1506"/>
      <c r="U16" s="1507"/>
      <c r="V16" s="1506"/>
      <c r="W16" s="1507"/>
      <c r="X16" s="1500"/>
      <c r="Y16" s="4003"/>
      <c r="Z16" s="1508"/>
      <c r="AA16" s="1509">
        <v>1</v>
      </c>
      <c r="AB16" s="1509">
        <v>1</v>
      </c>
      <c r="AC16" s="1509">
        <v>1</v>
      </c>
    </row>
    <row r="17" spans="1:29" ht="30" customHeight="1">
      <c r="A17" s="524"/>
      <c r="B17" s="858" t="s">
        <v>294</v>
      </c>
      <c r="C17" s="3378" t="str">
        <f>估价对象房地状况!C6</f>
        <v>周边有通322路、342路、589路、667路、804路、808路、通19路、通41路、通62路等多条公交线路通过，距地铁6号线（北运河西站）约1公里，综合评价交通便捷度较好</v>
      </c>
      <c r="D17" s="3373">
        <v>100</v>
      </c>
      <c r="E17" s="3375"/>
      <c r="F17" s="3379">
        <f>SUMIF(78:78,E18,79:79)-SUMIF(78:78,C18,79:79)+100</f>
        <v>102</v>
      </c>
      <c r="G17" s="3374"/>
      <c r="H17" s="3376">
        <f>SUMIF(78:78,G18,79:79)-SUMIF(78:78,C18,79:79)+100</f>
        <v>102</v>
      </c>
      <c r="I17" s="3375"/>
      <c r="J17" s="3376">
        <f>SUMIF(78:78,I18,79:79)-SUMIF(78:78,C18,79:79)+100</f>
        <v>102</v>
      </c>
      <c r="K17" s="3377">
        <v>2</v>
      </c>
      <c r="L17" s="2022"/>
      <c r="M17" s="2014"/>
      <c r="N17" s="2014"/>
      <c r="O17" s="2021"/>
      <c r="P17" s="4003"/>
      <c r="Q17" s="1505" t="str">
        <f>B17</f>
        <v>交通便捷度</v>
      </c>
      <c r="R17" s="1506" t="s">
        <v>8</v>
      </c>
      <c r="S17" s="1507">
        <f>F17</f>
        <v>102</v>
      </c>
      <c r="T17" s="1506" t="s">
        <v>8</v>
      </c>
      <c r="U17" s="1507">
        <f>H17</f>
        <v>102</v>
      </c>
      <c r="V17" s="1506" t="s">
        <v>8</v>
      </c>
      <c r="W17" s="1507">
        <f>J17</f>
        <v>102</v>
      </c>
      <c r="X17" s="1500"/>
      <c r="Y17" s="4003"/>
      <c r="Z17" s="1508" t="str">
        <f>Q17</f>
        <v>交通便捷度</v>
      </c>
      <c r="AA17" s="1509">
        <f t="shared" si="3"/>
        <v>0.98039215686274506</v>
      </c>
      <c r="AB17" s="1509">
        <f t="shared" si="4"/>
        <v>0.98039215686274506</v>
      </c>
      <c r="AC17" s="1509">
        <f t="shared" si="5"/>
        <v>0.98039215686274506</v>
      </c>
    </row>
    <row r="18" spans="1:29" ht="15">
      <c r="A18" s="524"/>
      <c r="B18" s="587"/>
      <c r="C18" s="860" t="s">
        <v>3070</v>
      </c>
      <c r="D18" s="551"/>
      <c r="E18" s="560" t="s">
        <v>3071</v>
      </c>
      <c r="F18" s="555"/>
      <c r="G18" s="561" t="s">
        <v>3071</v>
      </c>
      <c r="H18" s="547"/>
      <c r="I18" s="560" t="s">
        <v>3071</v>
      </c>
      <c r="J18" s="547"/>
      <c r="K18" s="886"/>
      <c r="L18" s="2022"/>
      <c r="M18" s="2014"/>
      <c r="N18" s="2014"/>
      <c r="O18" s="2021"/>
      <c r="P18" s="4003"/>
      <c r="Q18" s="1505"/>
      <c r="R18" s="1506"/>
      <c r="S18" s="1507"/>
      <c r="T18" s="1506"/>
      <c r="U18" s="1507"/>
      <c r="V18" s="1506"/>
      <c r="W18" s="1507"/>
      <c r="X18" s="1500"/>
      <c r="Y18" s="4003"/>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85">
        <v>2</v>
      </c>
      <c r="L19" s="2022"/>
      <c r="M19" s="2014"/>
      <c r="N19" s="2014"/>
      <c r="O19" s="2021"/>
      <c r="P19" s="4003"/>
      <c r="Q19" s="1505" t="str">
        <f>B19</f>
        <v>公共配套设施</v>
      </c>
      <c r="R19" s="1506" t="s">
        <v>8</v>
      </c>
      <c r="S19" s="1507">
        <f>F19</f>
        <v>100</v>
      </c>
      <c r="T19" s="1506" t="s">
        <v>8</v>
      </c>
      <c r="U19" s="1507">
        <f>H19</f>
        <v>100</v>
      </c>
      <c r="V19" s="1506" t="s">
        <v>8</v>
      </c>
      <c r="W19" s="1507">
        <f>J19</f>
        <v>100</v>
      </c>
      <c r="X19" s="1500"/>
      <c r="Y19" s="4003"/>
      <c r="Z19" s="1508" t="str">
        <f>Q19</f>
        <v>公共配套设施</v>
      </c>
      <c r="AA19" s="1509">
        <f t="shared" si="3"/>
        <v>1</v>
      </c>
      <c r="AB19" s="1509">
        <f t="shared" si="4"/>
        <v>1</v>
      </c>
      <c r="AC19" s="1509">
        <f t="shared" si="5"/>
        <v>1</v>
      </c>
    </row>
    <row r="20" spans="1:29" ht="15">
      <c r="A20" s="524"/>
      <c r="B20" s="587"/>
      <c r="C20" s="568" t="s">
        <v>3071</v>
      </c>
      <c r="D20" s="547"/>
      <c r="E20" s="548" t="s">
        <v>3071</v>
      </c>
      <c r="F20" s="549"/>
      <c r="G20" s="550" t="s">
        <v>3071</v>
      </c>
      <c r="H20" s="547"/>
      <c r="I20" s="548" t="s">
        <v>3071</v>
      </c>
      <c r="J20" s="547"/>
      <c r="K20" s="886"/>
      <c r="L20" s="2022"/>
      <c r="M20" s="2014"/>
      <c r="N20" s="2014"/>
      <c r="O20" s="2021"/>
      <c r="P20" s="4003"/>
      <c r="Q20" s="1505"/>
      <c r="R20" s="1506"/>
      <c r="S20" s="1507"/>
      <c r="T20" s="1506"/>
      <c r="U20" s="1507"/>
      <c r="V20" s="1506"/>
      <c r="W20" s="1507"/>
      <c r="X20" s="1500"/>
      <c r="Y20" s="4003"/>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4003"/>
      <c r="Q21" s="2427" t="str">
        <f>B21</f>
        <v>基础设施水平</v>
      </c>
      <c r="R21" s="1506" t="s">
        <v>8</v>
      </c>
      <c r="S21" s="1507">
        <f>F21</f>
        <v>100</v>
      </c>
      <c r="T21" s="1506" t="s">
        <v>8</v>
      </c>
      <c r="U21" s="1507">
        <f>H21</f>
        <v>100</v>
      </c>
      <c r="V21" s="1506" t="s">
        <v>8</v>
      </c>
      <c r="W21" s="1507">
        <f>J21</f>
        <v>100</v>
      </c>
      <c r="X21" s="2429"/>
      <c r="Y21" s="4003"/>
      <c r="Z21" s="2428" t="str">
        <f>Q21</f>
        <v>基础设施水平</v>
      </c>
      <c r="AA21" s="1509">
        <f t="shared" ref="AA21" si="8">D21/F21</f>
        <v>1</v>
      </c>
      <c r="AB21" s="1509">
        <f t="shared" ref="AB21" si="9">D21/H21</f>
        <v>1</v>
      </c>
      <c r="AC21" s="1509">
        <f t="shared" ref="AC21" si="10">D21/J21</f>
        <v>1</v>
      </c>
    </row>
    <row r="22" spans="1:29" ht="15">
      <c r="A22" s="524"/>
      <c r="B22" s="909"/>
      <c r="C22" s="860" t="s">
        <v>3078</v>
      </c>
      <c r="D22" s="547"/>
      <c r="E22" s="568" t="s">
        <v>3078</v>
      </c>
      <c r="F22" s="549"/>
      <c r="G22" s="568" t="s">
        <v>3078</v>
      </c>
      <c r="H22" s="547"/>
      <c r="I22" s="568" t="s">
        <v>3078</v>
      </c>
      <c r="J22" s="547"/>
      <c r="K22" s="2444"/>
      <c r="L22" s="2022"/>
      <c r="M22" s="2014"/>
      <c r="N22" s="2014"/>
      <c r="O22" s="2021"/>
      <c r="P22" s="4003"/>
      <c r="Q22" s="2427"/>
      <c r="R22" s="1506"/>
      <c r="S22" s="1507"/>
      <c r="T22" s="1506"/>
      <c r="U22" s="1507"/>
      <c r="V22" s="1506"/>
      <c r="W22" s="1507"/>
      <c r="X22" s="2429"/>
      <c r="Y22" s="4003"/>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98</v>
      </c>
      <c r="G23" s="556"/>
      <c r="H23" s="551">
        <f>SUMIF(84:84,G24,85:85)-SUMIF(84:84,C24,85:85)+100</f>
        <v>98</v>
      </c>
      <c r="I23" s="554"/>
      <c r="J23" s="551">
        <f>SUMIF(84:84,I24,85:85)-SUMIF(84:84,C24,85:85)+100</f>
        <v>99</v>
      </c>
      <c r="K23" s="885">
        <v>1</v>
      </c>
      <c r="L23" s="2022"/>
      <c r="M23" s="2014"/>
      <c r="N23" s="2014"/>
      <c r="O23" s="2021"/>
      <c r="P23" s="4003"/>
      <c r="Q23" s="1505" t="str">
        <f>B23</f>
        <v>自然及人文环境</v>
      </c>
      <c r="R23" s="1506" t="s">
        <v>8</v>
      </c>
      <c r="S23" s="1507">
        <f>F23</f>
        <v>98</v>
      </c>
      <c r="T23" s="1506" t="s">
        <v>8</v>
      </c>
      <c r="U23" s="1507">
        <f>H23</f>
        <v>98</v>
      </c>
      <c r="V23" s="1506" t="s">
        <v>8</v>
      </c>
      <c r="W23" s="1507">
        <f>J23</f>
        <v>99</v>
      </c>
      <c r="X23" s="1500"/>
      <c r="Y23" s="4003"/>
      <c r="Z23" s="1508" t="str">
        <f>Q23</f>
        <v>自然及人文环境</v>
      </c>
      <c r="AA23" s="1509">
        <f t="shared" si="3"/>
        <v>1.0204081632653061</v>
      </c>
      <c r="AB23" s="1509">
        <f t="shared" si="4"/>
        <v>1.0204081632653061</v>
      </c>
      <c r="AC23" s="1509">
        <f t="shared" si="5"/>
        <v>1.0101010101010102</v>
      </c>
    </row>
    <row r="24" spans="1:29" ht="15">
      <c r="A24" s="524"/>
      <c r="B24" s="587"/>
      <c r="C24" s="568" t="s">
        <v>3077</v>
      </c>
      <c r="D24" s="547"/>
      <c r="E24" s="548" t="s">
        <v>3070</v>
      </c>
      <c r="F24" s="549"/>
      <c r="G24" s="550" t="s">
        <v>3070</v>
      </c>
      <c r="H24" s="547"/>
      <c r="I24" s="548" t="s">
        <v>3071</v>
      </c>
      <c r="J24" s="547"/>
      <c r="K24" s="886"/>
      <c r="L24" s="2022"/>
      <c r="M24" s="2014"/>
      <c r="N24" s="2014"/>
      <c r="O24" s="2021"/>
      <c r="P24" s="4003"/>
      <c r="Q24" s="1505"/>
      <c r="R24" s="1506"/>
      <c r="S24" s="1507"/>
      <c r="T24" s="1506"/>
      <c r="U24" s="1507"/>
      <c r="V24" s="1506"/>
      <c r="W24" s="1507"/>
      <c r="X24" s="1500"/>
      <c r="Y24" s="4003"/>
      <c r="Z24" s="1508"/>
      <c r="AA24" s="1509">
        <v>1</v>
      </c>
      <c r="AB24" s="1509">
        <v>1</v>
      </c>
      <c r="AC24" s="1509">
        <v>1</v>
      </c>
    </row>
    <row r="25" spans="1:29" ht="15">
      <c r="A25" s="524"/>
      <c r="B25" s="519" t="s">
        <v>539</v>
      </c>
      <c r="C25" s="575" t="s">
        <v>3081</v>
      </c>
      <c r="D25" s="532">
        <v>100</v>
      </c>
      <c r="E25" s="575" t="s">
        <v>3083</v>
      </c>
      <c r="F25" s="567">
        <f>SUMIF(86:86,E25,87:87)-SUMIF(86:86,C25,87:87)+100</f>
        <v>98</v>
      </c>
      <c r="G25" s="575" t="s">
        <v>3083</v>
      </c>
      <c r="H25" s="532">
        <f>SUMIF(86:86,G25,87:87)-SUMIF(86:86,C25,87:87)+100</f>
        <v>98</v>
      </c>
      <c r="I25" s="575" t="s">
        <v>3081</v>
      </c>
      <c r="J25" s="532">
        <f>SUMIF(86:86,I25,87:87)-SUMIF(86:86,C25,87:87)+100</f>
        <v>100</v>
      </c>
      <c r="K25" s="576">
        <v>2</v>
      </c>
      <c r="L25" s="2022"/>
      <c r="M25" s="2014"/>
      <c r="N25" s="2014"/>
      <c r="O25" s="2021"/>
      <c r="P25" s="4003"/>
      <c r="Q25" s="1505" t="str">
        <f t="shared" ref="Q25:Q46" si="11">B25</f>
        <v>临街状况</v>
      </c>
      <c r="R25" s="1506" t="s">
        <v>8</v>
      </c>
      <c r="S25" s="1507">
        <f>F25</f>
        <v>98</v>
      </c>
      <c r="T25" s="1506" t="s">
        <v>8</v>
      </c>
      <c r="U25" s="1507">
        <f>H25</f>
        <v>98</v>
      </c>
      <c r="V25" s="1506" t="s">
        <v>8</v>
      </c>
      <c r="W25" s="1507">
        <f>J25</f>
        <v>100</v>
      </c>
      <c r="X25" s="1500"/>
      <c r="Y25" s="4003"/>
      <c r="Z25" s="1508" t="str">
        <f>Q25</f>
        <v>临街状况</v>
      </c>
      <c r="AA25" s="1509">
        <f t="shared" si="3"/>
        <v>1.0204081632653061</v>
      </c>
      <c r="AB25" s="1509">
        <f t="shared" si="4"/>
        <v>1.0204081632653061</v>
      </c>
      <c r="AC25" s="1509">
        <f t="shared" si="5"/>
        <v>1</v>
      </c>
    </row>
    <row r="26" spans="1:29" ht="15">
      <c r="A26" s="524"/>
      <c r="B26" s="864" t="s">
        <v>750</v>
      </c>
      <c r="C26" s="3337" t="s">
        <v>3087</v>
      </c>
      <c r="D26" s="532">
        <v>100</v>
      </c>
      <c r="E26" s="3337" t="s">
        <v>3087</v>
      </c>
      <c r="F26" s="567">
        <f>SUMIF(88:88,E26,89:89)-SUMIF(88:88,C26,89:89)+100</f>
        <v>100</v>
      </c>
      <c r="G26" s="3337" t="s">
        <v>3087</v>
      </c>
      <c r="H26" s="532">
        <f>SUMIF(88:88,G26,89:89)-SUMIF(88:88,C26,89:89)+100</f>
        <v>100</v>
      </c>
      <c r="I26" s="3337" t="s">
        <v>3087</v>
      </c>
      <c r="J26" s="532">
        <f>SUMIF(88:88,I26,89:89)-SUMIF(88:88,C26,89:89)+100</f>
        <v>100</v>
      </c>
      <c r="K26" s="573"/>
      <c r="L26" s="2022"/>
      <c r="M26" s="2014"/>
      <c r="N26" s="2014"/>
      <c r="O26" s="2021"/>
      <c r="P26" s="4003"/>
      <c r="Q26" s="1505" t="str">
        <f t="shared" si="11"/>
        <v>平面位置/可视性</v>
      </c>
      <c r="R26" s="1506" t="s">
        <v>8</v>
      </c>
      <c r="S26" s="1507">
        <f>F26</f>
        <v>100</v>
      </c>
      <c r="T26" s="1506" t="s">
        <v>8</v>
      </c>
      <c r="U26" s="1507">
        <f>H26</f>
        <v>100</v>
      </c>
      <c r="V26" s="1506" t="s">
        <v>8</v>
      </c>
      <c r="W26" s="1507">
        <f>J26</f>
        <v>100</v>
      </c>
      <c r="X26" s="1500"/>
      <c r="Y26" s="4003"/>
      <c r="Z26" s="1508" t="str">
        <f>Q26</f>
        <v>平面位置/可视性</v>
      </c>
      <c r="AA26" s="1509">
        <f t="shared" si="3"/>
        <v>1</v>
      </c>
      <c r="AB26" s="1509">
        <f t="shared" si="4"/>
        <v>1</v>
      </c>
      <c r="AC26" s="1509">
        <f t="shared" si="5"/>
        <v>1</v>
      </c>
    </row>
    <row r="27" spans="1:29" s="1201" customFormat="1" ht="15.75" thickBot="1">
      <c r="A27" s="528"/>
      <c r="B27" s="858" t="s">
        <v>751</v>
      </c>
      <c r="C27" s="3338" t="s">
        <v>3089</v>
      </c>
      <c r="D27" s="862">
        <v>100</v>
      </c>
      <c r="E27" s="888" t="s">
        <v>3095</v>
      </c>
      <c r="F27" s="863">
        <f>SUMIF(90:90,E27,91:91)-SUMIF(90:90,C27,91:91)+100</f>
        <v>98</v>
      </c>
      <c r="G27" s="888" t="s">
        <v>3095</v>
      </c>
      <c r="H27" s="862">
        <f>SUMIF(90:90,G27,91:91)-SUMIF(90:90,C27,91:91)+100</f>
        <v>98</v>
      </c>
      <c r="I27" s="888" t="s">
        <v>3088</v>
      </c>
      <c r="J27" s="862">
        <f>SUMIF(90:90,I27,91:91)-SUMIF(90:90,C27,91:91)+100</f>
        <v>100</v>
      </c>
      <c r="K27" s="576">
        <v>2</v>
      </c>
      <c r="L27" s="2015"/>
      <c r="M27" s="2016"/>
      <c r="N27" s="2016"/>
      <c r="O27" s="2017"/>
      <c r="P27" s="4003"/>
      <c r="Q27" s="1132" t="str">
        <f t="shared" si="11"/>
        <v>人流量</v>
      </c>
      <c r="R27" s="1501" t="s">
        <v>8</v>
      </c>
      <c r="S27" s="1502">
        <f>F27</f>
        <v>98</v>
      </c>
      <c r="T27" s="1501" t="s">
        <v>8</v>
      </c>
      <c r="U27" s="1502">
        <f>H27</f>
        <v>98</v>
      </c>
      <c r="V27" s="1501" t="s">
        <v>8</v>
      </c>
      <c r="W27" s="1502">
        <f>J27</f>
        <v>100</v>
      </c>
      <c r="X27" s="1503"/>
      <c r="Y27" s="4003"/>
      <c r="Z27" s="1131" t="str">
        <f>Q27</f>
        <v>人流量</v>
      </c>
      <c r="AA27" s="1509">
        <f>D27/F27</f>
        <v>1.0204081632653061</v>
      </c>
      <c r="AB27" s="1509">
        <f>D27/H27</f>
        <v>1.0204081632653061</v>
      </c>
      <c r="AC27" s="1509">
        <f>D27/J27</f>
        <v>1</v>
      </c>
    </row>
    <row r="28" spans="1:29" ht="15" hidden="1">
      <c r="A28" s="524"/>
      <c r="B28" s="519" t="s">
        <v>753</v>
      </c>
      <c r="C28" s="575" t="s">
        <v>3090</v>
      </c>
      <c r="D28" s="532">
        <v>100</v>
      </c>
      <c r="E28" s="575" t="s">
        <v>3100</v>
      </c>
      <c r="F28" s="567">
        <f>SUMIF(92:92,E28,93:93)-SUMIF(92:92,C28,93:93)+100</f>
        <v>100</v>
      </c>
      <c r="G28" s="575" t="s">
        <v>3100</v>
      </c>
      <c r="H28" s="532">
        <f>SUMIF(92:92,G28,93:93)-SUMIF(92:92,C28,93:93)+100</f>
        <v>100</v>
      </c>
      <c r="I28" s="575" t="s">
        <v>3100</v>
      </c>
      <c r="J28" s="532">
        <f>SUMIF(92:92,I28,93:93)-SUMIF(92:92,C28,93:93)+100</f>
        <v>100</v>
      </c>
      <c r="K28" s="573"/>
      <c r="L28" s="2022"/>
      <c r="M28" s="2014"/>
      <c r="N28" s="2014"/>
      <c r="O28" s="2021"/>
      <c r="P28" s="4003"/>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4003"/>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4003"/>
      <c r="Q29" s="1505">
        <f t="shared" si="11"/>
        <v>111</v>
      </c>
      <c r="R29" s="1506" t="s">
        <v>8</v>
      </c>
      <c r="S29" s="1507">
        <f t="shared" si="12"/>
        <v>100</v>
      </c>
      <c r="T29" s="1506" t="s">
        <v>8</v>
      </c>
      <c r="U29" s="1507">
        <f t="shared" si="13"/>
        <v>100</v>
      </c>
      <c r="V29" s="1506" t="s">
        <v>8</v>
      </c>
      <c r="W29" s="1507">
        <f t="shared" si="14"/>
        <v>100</v>
      </c>
      <c r="X29" s="1500"/>
      <c r="Y29" s="4003"/>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4003"/>
      <c r="Q30" s="1505">
        <f t="shared" si="11"/>
        <v>111</v>
      </c>
      <c r="R30" s="1506" t="s">
        <v>8</v>
      </c>
      <c r="S30" s="1507">
        <f t="shared" si="12"/>
        <v>100</v>
      </c>
      <c r="T30" s="1506" t="s">
        <v>8</v>
      </c>
      <c r="U30" s="1507">
        <f t="shared" si="13"/>
        <v>100</v>
      </c>
      <c r="V30" s="1506" t="s">
        <v>8</v>
      </c>
      <c r="W30" s="1507">
        <f t="shared" si="14"/>
        <v>100</v>
      </c>
      <c r="X30" s="1500"/>
      <c r="Y30" s="4003"/>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4003"/>
      <c r="Q31" s="1505">
        <f t="shared" si="11"/>
        <v>111</v>
      </c>
      <c r="R31" s="1506" t="s">
        <v>8</v>
      </c>
      <c r="S31" s="1507">
        <f t="shared" si="12"/>
        <v>100</v>
      </c>
      <c r="T31" s="1506" t="s">
        <v>8</v>
      </c>
      <c r="U31" s="1507">
        <f t="shared" si="13"/>
        <v>100</v>
      </c>
      <c r="V31" s="1506" t="s">
        <v>8</v>
      </c>
      <c r="W31" s="1507">
        <f t="shared" si="14"/>
        <v>100</v>
      </c>
      <c r="X31" s="1500"/>
      <c r="Y31" s="4003"/>
      <c r="Z31" s="1508">
        <f t="shared" si="15"/>
        <v>111</v>
      </c>
      <c r="AA31" s="1509">
        <f t="shared" si="3"/>
        <v>1</v>
      </c>
      <c r="AB31" s="1509">
        <f t="shared" si="4"/>
        <v>1</v>
      </c>
      <c r="AC31" s="1509">
        <f t="shared" si="5"/>
        <v>1</v>
      </c>
    </row>
    <row r="32" spans="1:29" ht="27">
      <c r="A32" s="2622" t="s">
        <v>2733</v>
      </c>
      <c r="B32" s="169" t="s">
        <v>754</v>
      </c>
      <c r="C32" s="865" t="s">
        <v>3152</v>
      </c>
      <c r="D32" s="589">
        <v>100</v>
      </c>
      <c r="E32" s="865" t="s">
        <v>3105</v>
      </c>
      <c r="F32" s="567">
        <f>SUMIF(100:100,E32,101:101)-SUMIF(100:100,C32,101:101)+100</f>
        <v>99</v>
      </c>
      <c r="G32" s="865" t="s">
        <v>3105</v>
      </c>
      <c r="H32" s="532">
        <f>SUMIF(100:100,G32,101:101)-SUMIF(100:100,C32,101:101)+100</f>
        <v>99</v>
      </c>
      <c r="I32" s="865" t="s">
        <v>3101</v>
      </c>
      <c r="J32" s="589">
        <f>SUMIF(100:100,I32,101:101)-SUMIF(100:100,C32,101:101)+100</f>
        <v>102</v>
      </c>
      <c r="K32" s="576">
        <v>1</v>
      </c>
      <c r="L32" s="2022"/>
      <c r="M32" s="2014"/>
      <c r="N32" s="2014"/>
      <c r="O32" s="2021"/>
      <c r="P32" s="4004" t="s">
        <v>542</v>
      </c>
      <c r="Q32" s="1505" t="str">
        <f t="shared" si="11"/>
        <v>商业类型</v>
      </c>
      <c r="R32" s="1506" t="s">
        <v>8</v>
      </c>
      <c r="S32" s="1507">
        <f t="shared" si="12"/>
        <v>99</v>
      </c>
      <c r="T32" s="1506" t="s">
        <v>8</v>
      </c>
      <c r="U32" s="1507">
        <f t="shared" si="13"/>
        <v>99</v>
      </c>
      <c r="V32" s="1506" t="s">
        <v>8</v>
      </c>
      <c r="W32" s="1507">
        <f t="shared" si="14"/>
        <v>102</v>
      </c>
      <c r="X32" s="1500"/>
      <c r="Y32" s="4005" t="s">
        <v>542</v>
      </c>
      <c r="Z32" s="1508" t="str">
        <f t="shared" si="15"/>
        <v>商业类型</v>
      </c>
      <c r="AA32" s="1509">
        <f t="shared" si="3"/>
        <v>1.0101010101010102</v>
      </c>
      <c r="AB32" s="1509">
        <f t="shared" si="4"/>
        <v>1.0101010101010102</v>
      </c>
      <c r="AC32" s="1509">
        <f t="shared" si="5"/>
        <v>0.98039215686274506</v>
      </c>
    </row>
    <row r="33" spans="1:29" s="1291" customFormat="1" ht="15">
      <c r="A33" s="595"/>
      <c r="B33" s="519" t="s">
        <v>718</v>
      </c>
      <c r="C33" s="867">
        <f>剩余法商业!C9</f>
        <v>302100</v>
      </c>
      <c r="D33" s="251">
        <v>100</v>
      </c>
      <c r="E33" s="526">
        <v>3500</v>
      </c>
      <c r="F33" s="850">
        <f>LOOKUP(E33,103:103,104:104)-LOOKUP(C33,103:103,104:104)+100</f>
        <v>110</v>
      </c>
      <c r="G33" s="525">
        <v>60</v>
      </c>
      <c r="H33" s="251">
        <f>LOOKUP(G33,103:103,104:104)-LOOKUP(C33,103:103,104:104)+100</f>
        <v>110</v>
      </c>
      <c r="I33" s="525">
        <v>90</v>
      </c>
      <c r="J33" s="251">
        <f>LOOKUP(I33,103:103,104:104)-LOOKUP(C33,103:103,104:104)+100</f>
        <v>110</v>
      </c>
      <c r="K33" s="573"/>
      <c r="L33" s="2020"/>
      <c r="M33" s="2050"/>
      <c r="N33" s="2050"/>
      <c r="O33" s="2023"/>
      <c r="P33" s="4005"/>
      <c r="Q33" s="1534" t="str">
        <f t="shared" si="11"/>
        <v>项目建筑规模</v>
      </c>
      <c r="R33" s="1510" t="s">
        <v>8</v>
      </c>
      <c r="S33" s="1511">
        <f t="shared" si="12"/>
        <v>110</v>
      </c>
      <c r="T33" s="1510" t="s">
        <v>8</v>
      </c>
      <c r="U33" s="1511">
        <f t="shared" si="13"/>
        <v>110</v>
      </c>
      <c r="V33" s="1510" t="s">
        <v>8</v>
      </c>
      <c r="W33" s="1511">
        <f t="shared" si="14"/>
        <v>110</v>
      </c>
      <c r="X33" s="1512"/>
      <c r="Y33" s="4005"/>
      <c r="Z33" s="1513" t="str">
        <f t="shared" si="15"/>
        <v>项目建筑规模</v>
      </c>
      <c r="AA33" s="1509">
        <f t="shared" si="3"/>
        <v>0.90909090909090906</v>
      </c>
      <c r="AB33" s="1509">
        <f t="shared" si="4"/>
        <v>0.90909090909090906</v>
      </c>
      <c r="AC33" s="1509">
        <f t="shared" si="5"/>
        <v>0.90909090909090906</v>
      </c>
    </row>
    <row r="34" spans="1:29" ht="15">
      <c r="A34" s="586"/>
      <c r="B34" s="519" t="s">
        <v>719</v>
      </c>
      <c r="C34" s="868" t="s">
        <v>3076</v>
      </c>
      <c r="D34" s="532">
        <v>100</v>
      </c>
      <c r="E34" s="3342" t="s">
        <v>3126</v>
      </c>
      <c r="F34" s="567">
        <f>SUMIF(105:105,E34,106:106)-SUMIF(105:105,C34,106:106)+100</f>
        <v>100</v>
      </c>
      <c r="G34" s="3343" t="s">
        <v>3128</v>
      </c>
      <c r="H34" s="532">
        <f>SUMIF(105:105,G34,106:106)-SUMIF(105:105,C34,106:106)+100</f>
        <v>100</v>
      </c>
      <c r="I34" s="3343" t="s">
        <v>3107</v>
      </c>
      <c r="J34" s="532">
        <f>SUMIF(105:105,I34,106:106)-SUMIF(105:105,C34,106:106)+100</f>
        <v>100</v>
      </c>
      <c r="K34" s="576"/>
      <c r="L34" s="2022"/>
      <c r="M34" s="2014"/>
      <c r="N34" s="2014"/>
      <c r="O34" s="2021"/>
      <c r="P34" s="4005"/>
      <c r="Q34" s="1505" t="str">
        <f t="shared" si="11"/>
        <v>建筑结构</v>
      </c>
      <c r="R34" s="1506" t="s">
        <v>8</v>
      </c>
      <c r="S34" s="1507">
        <f t="shared" si="12"/>
        <v>100</v>
      </c>
      <c r="T34" s="1506" t="s">
        <v>8</v>
      </c>
      <c r="U34" s="1507">
        <f t="shared" si="13"/>
        <v>100</v>
      </c>
      <c r="V34" s="1506" t="s">
        <v>8</v>
      </c>
      <c r="W34" s="1507">
        <f t="shared" si="14"/>
        <v>100</v>
      </c>
      <c r="X34" s="1500"/>
      <c r="Y34" s="4005"/>
      <c r="Z34" s="1508" t="str">
        <f t="shared" si="15"/>
        <v>建筑结构</v>
      </c>
      <c r="AA34" s="1509">
        <f t="shared" si="3"/>
        <v>1</v>
      </c>
      <c r="AB34" s="1509">
        <f t="shared" si="4"/>
        <v>1</v>
      </c>
      <c r="AC34" s="1509">
        <f t="shared" si="5"/>
        <v>1</v>
      </c>
    </row>
    <row r="35" spans="1:29" s="3359" customFormat="1" ht="15">
      <c r="A35" s="3344"/>
      <c r="B35" s="3345" t="s">
        <v>755</v>
      </c>
      <c r="C35" s="3346" t="s">
        <v>3109</v>
      </c>
      <c r="D35" s="3347">
        <v>100</v>
      </c>
      <c r="E35" s="3346" t="s">
        <v>3109</v>
      </c>
      <c r="F35" s="3348">
        <f>SUMIF(107:107,E35,108:108)-SUMIF(107:107,C35,108:108)+100</f>
        <v>100</v>
      </c>
      <c r="G35" s="3346" t="s">
        <v>3109</v>
      </c>
      <c r="H35" s="3347">
        <f>SUMIF(107:107,G35,108:108)-SUMIF(107:107,C35,108:108)+100</f>
        <v>100</v>
      </c>
      <c r="I35" s="3346" t="s">
        <v>3109</v>
      </c>
      <c r="J35" s="3347">
        <f>SUMIF(107:107,I35,108:108)-SUMIF(107:107,C35,108:108)+100</f>
        <v>100</v>
      </c>
      <c r="K35" s="3349"/>
      <c r="L35" s="3350"/>
      <c r="M35" s="3351"/>
      <c r="N35" s="3351"/>
      <c r="O35" s="3352"/>
      <c r="P35" s="4005"/>
      <c r="Q35" s="3353" t="str">
        <f t="shared" si="11"/>
        <v>公共部分装修</v>
      </c>
      <c r="R35" s="3354" t="s">
        <v>8</v>
      </c>
      <c r="S35" s="3355">
        <f t="shared" si="12"/>
        <v>100</v>
      </c>
      <c r="T35" s="3354" t="s">
        <v>8</v>
      </c>
      <c r="U35" s="3355">
        <f t="shared" si="13"/>
        <v>100</v>
      </c>
      <c r="V35" s="3354" t="s">
        <v>8</v>
      </c>
      <c r="W35" s="3355">
        <f t="shared" si="14"/>
        <v>100</v>
      </c>
      <c r="X35" s="3356"/>
      <c r="Y35" s="4005"/>
      <c r="Z35" s="3357" t="str">
        <f t="shared" si="15"/>
        <v>公共部分装修</v>
      </c>
      <c r="AA35" s="3358">
        <f t="shared" si="3"/>
        <v>1</v>
      </c>
      <c r="AB35" s="3358">
        <f t="shared" si="4"/>
        <v>1</v>
      </c>
      <c r="AC35" s="3358">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4005"/>
      <c r="Q36" s="1505" t="str">
        <f t="shared" si="11"/>
        <v>成新度</v>
      </c>
      <c r="R36" s="1506" t="s">
        <v>8</v>
      </c>
      <c r="S36" s="1507">
        <f t="shared" si="12"/>
        <v>98</v>
      </c>
      <c r="T36" s="1506" t="s">
        <v>8</v>
      </c>
      <c r="U36" s="1507">
        <f t="shared" si="13"/>
        <v>98</v>
      </c>
      <c r="V36" s="1506" t="s">
        <v>8</v>
      </c>
      <c r="W36" s="1507">
        <f t="shared" si="14"/>
        <v>99</v>
      </c>
      <c r="X36" s="1500"/>
      <c r="Y36" s="4005"/>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3078</v>
      </c>
      <c r="D37" s="251">
        <v>100</v>
      </c>
      <c r="E37" s="591" t="s">
        <v>3078</v>
      </c>
      <c r="F37" s="567">
        <f>SUMIF(112:112,E37,113:113)-SUMIF(112:112,C37,113:113)+100</f>
        <v>100</v>
      </c>
      <c r="G37" s="591" t="s">
        <v>3078</v>
      </c>
      <c r="H37" s="532">
        <f>SUMIF(112:112,G37,113:113)-SUMIF(112:112,C37,113:113)+100</f>
        <v>100</v>
      </c>
      <c r="I37" s="591" t="s">
        <v>3078</v>
      </c>
      <c r="J37" s="532">
        <f>SUMIF(112:112,I37,113:113)-SUMIF(112:112,C37,113:113)+100</f>
        <v>100</v>
      </c>
      <c r="K37" s="576">
        <v>1</v>
      </c>
      <c r="L37" s="2015"/>
      <c r="M37" s="2016"/>
      <c r="N37" s="2016"/>
      <c r="O37" s="2017"/>
      <c r="P37" s="4005"/>
      <c r="Q37" s="1132" t="str">
        <f t="shared" si="11"/>
        <v>市政基础设施</v>
      </c>
      <c r="R37" s="1501" t="s">
        <v>8</v>
      </c>
      <c r="S37" s="1502">
        <f t="shared" si="12"/>
        <v>100</v>
      </c>
      <c r="T37" s="1501" t="s">
        <v>8</v>
      </c>
      <c r="U37" s="1502">
        <f t="shared" si="13"/>
        <v>100</v>
      </c>
      <c r="V37" s="1501" t="s">
        <v>8</v>
      </c>
      <c r="W37" s="1502">
        <f t="shared" si="14"/>
        <v>100</v>
      </c>
      <c r="X37" s="1503"/>
      <c r="Y37" s="4005"/>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4005" t="s">
        <v>758</v>
      </c>
      <c r="Q38" s="1505" t="str">
        <f t="shared" si="11"/>
        <v>业态</v>
      </c>
      <c r="R38" s="1506" t="s">
        <v>8</v>
      </c>
      <c r="S38" s="1507">
        <f t="shared" si="12"/>
        <v>100</v>
      </c>
      <c r="T38" s="1506" t="s">
        <v>8</v>
      </c>
      <c r="U38" s="1507">
        <f t="shared" si="13"/>
        <v>100</v>
      </c>
      <c r="V38" s="1506" t="s">
        <v>8</v>
      </c>
      <c r="W38" s="1507">
        <f t="shared" si="14"/>
        <v>100</v>
      </c>
      <c r="X38" s="1500"/>
      <c r="Y38" s="4005" t="s">
        <v>758</v>
      </c>
      <c r="Z38" s="1508" t="str">
        <f t="shared" si="15"/>
        <v>业态</v>
      </c>
      <c r="AA38" s="1509">
        <f t="shared" si="3"/>
        <v>1</v>
      </c>
      <c r="AB38" s="1509">
        <f t="shared" si="4"/>
        <v>1</v>
      </c>
      <c r="AC38" s="1509">
        <f t="shared" si="5"/>
        <v>1</v>
      </c>
    </row>
    <row r="39" spans="1:29" ht="15">
      <c r="A39" s="586"/>
      <c r="B39" s="519" t="s">
        <v>759</v>
      </c>
      <c r="C39" s="591" t="s">
        <v>3122</v>
      </c>
      <c r="D39" s="532">
        <v>100</v>
      </c>
      <c r="E39" s="591" t="s">
        <v>3122</v>
      </c>
      <c r="F39" s="567">
        <f>SUMIF(116:116,E39,117:117)-SUMIF(116:116,C39,117:117)+100</f>
        <v>100</v>
      </c>
      <c r="G39" s="591" t="s">
        <v>3122</v>
      </c>
      <c r="H39" s="532">
        <f>SUMIF(116:116,G39,117:117)-SUMIF(116:116,C39,117:117)+100</f>
        <v>100</v>
      </c>
      <c r="I39" s="591" t="s">
        <v>3122</v>
      </c>
      <c r="J39" s="532">
        <f>SUMIF(116:116,I39,117:117)-SUMIF(116:116,C39,117:117)+100</f>
        <v>100</v>
      </c>
      <c r="K39" s="576"/>
      <c r="L39" s="2022"/>
      <c r="M39" s="2014"/>
      <c r="N39" s="2014"/>
      <c r="O39" s="2021"/>
      <c r="P39" s="4005"/>
      <c r="Q39" s="1505" t="str">
        <f t="shared" si="11"/>
        <v>层高</v>
      </c>
      <c r="R39" s="1506" t="s">
        <v>8</v>
      </c>
      <c r="S39" s="1507">
        <f t="shared" si="12"/>
        <v>100</v>
      </c>
      <c r="T39" s="1506" t="s">
        <v>8</v>
      </c>
      <c r="U39" s="1507">
        <f t="shared" si="13"/>
        <v>100</v>
      </c>
      <c r="V39" s="1506" t="s">
        <v>8</v>
      </c>
      <c r="W39" s="1507">
        <f t="shared" si="14"/>
        <v>100</v>
      </c>
      <c r="X39" s="1500"/>
      <c r="Y39" s="4005"/>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4005"/>
      <c r="Q40" s="1505" t="str">
        <f t="shared" si="11"/>
        <v>单套建筑面积</v>
      </c>
      <c r="R40" s="1506" t="s">
        <v>8</v>
      </c>
      <c r="S40" s="1507">
        <f t="shared" si="12"/>
        <v>100</v>
      </c>
      <c r="T40" s="1506" t="s">
        <v>8</v>
      </c>
      <c r="U40" s="1507">
        <f t="shared" si="13"/>
        <v>100</v>
      </c>
      <c r="V40" s="1506" t="s">
        <v>8</v>
      </c>
      <c r="W40" s="1507">
        <f t="shared" si="14"/>
        <v>100</v>
      </c>
      <c r="X40" s="1500"/>
      <c r="Y40" s="4005"/>
      <c r="Z40" s="1508" t="str">
        <f t="shared" si="15"/>
        <v>单套建筑面积</v>
      </c>
      <c r="AA40" s="1509">
        <f t="shared" si="3"/>
        <v>1</v>
      </c>
      <c r="AB40" s="1509">
        <f t="shared" si="4"/>
        <v>1</v>
      </c>
      <c r="AC40" s="1509">
        <f t="shared" si="5"/>
        <v>1</v>
      </c>
    </row>
    <row r="41" spans="1:29" s="1291" customFormat="1" ht="15">
      <c r="A41" s="595"/>
      <c r="B41" s="891" t="s">
        <v>761</v>
      </c>
      <c r="C41" s="575" t="s">
        <v>3071</v>
      </c>
      <c r="D41" s="532">
        <v>100</v>
      </c>
      <c r="E41" s="575" t="s">
        <v>3071</v>
      </c>
      <c r="F41" s="567">
        <f>SUMIF(120:120,E41,121:121)-SUMIF(120:120,C41,121:121)+100</f>
        <v>100</v>
      </c>
      <c r="G41" s="575" t="s">
        <v>3071</v>
      </c>
      <c r="H41" s="532">
        <f>SUMIF(120:120,G41,121:121)-SUMIF(120:120,C41,121:121)+100</f>
        <v>100</v>
      </c>
      <c r="I41" s="575" t="s">
        <v>3071</v>
      </c>
      <c r="J41" s="532">
        <f>SUMIF(120:120,I41,121:121)-SUMIF(120:120,C41,121:121)+100</f>
        <v>100</v>
      </c>
      <c r="K41" s="576"/>
      <c r="L41" s="2020"/>
      <c r="M41" s="2050"/>
      <c r="N41" s="2050"/>
      <c r="O41" s="2023"/>
      <c r="P41" s="4005"/>
      <c r="Q41" s="1534" t="str">
        <f t="shared" si="11"/>
        <v>进深比</v>
      </c>
      <c r="R41" s="1510" t="s">
        <v>8</v>
      </c>
      <c r="S41" s="1511">
        <f t="shared" si="12"/>
        <v>100</v>
      </c>
      <c r="T41" s="1510" t="s">
        <v>8</v>
      </c>
      <c r="U41" s="1511">
        <f t="shared" si="13"/>
        <v>100</v>
      </c>
      <c r="V41" s="1510" t="s">
        <v>8</v>
      </c>
      <c r="W41" s="1511">
        <f t="shared" si="14"/>
        <v>100</v>
      </c>
      <c r="X41" s="1512"/>
      <c r="Y41" s="4005"/>
      <c r="Z41" s="1513" t="str">
        <f t="shared" si="15"/>
        <v>进深比</v>
      </c>
      <c r="AA41" s="1509">
        <f t="shared" si="3"/>
        <v>1</v>
      </c>
      <c r="AB41" s="1509">
        <f t="shared" si="4"/>
        <v>1</v>
      </c>
      <c r="AC41" s="1509">
        <f t="shared" si="5"/>
        <v>1</v>
      </c>
    </row>
    <row r="42" spans="1:29" ht="15.75" thickBot="1">
      <c r="A42" s="586"/>
      <c r="B42" s="519" t="s">
        <v>762</v>
      </c>
      <c r="C42" s="591" t="s">
        <v>3114</v>
      </c>
      <c r="D42" s="532">
        <v>100</v>
      </c>
      <c r="E42" s="591" t="s">
        <v>3109</v>
      </c>
      <c r="F42" s="567">
        <f>SUMIF(122:122,E42,123:123)-SUMIF(122:122,C42,123:123)+100</f>
        <v>109</v>
      </c>
      <c r="G42" s="591" t="s">
        <v>3109</v>
      </c>
      <c r="H42" s="532">
        <f>SUMIF(122:122,G42,123:123)-SUMIF(122:122,C42,123:123)+100</f>
        <v>109</v>
      </c>
      <c r="I42" s="591" t="s">
        <v>3114</v>
      </c>
      <c r="J42" s="532">
        <f>SUMIF(122:122,I42,123:123)-SUMIF(122:122,C42,123:123)+100</f>
        <v>100</v>
      </c>
      <c r="K42" s="576">
        <v>3</v>
      </c>
      <c r="L42" s="2022"/>
      <c r="M42" s="2014"/>
      <c r="N42" s="2014"/>
      <c r="O42" s="2021"/>
      <c r="P42" s="4005"/>
      <c r="Q42" s="1505" t="str">
        <f t="shared" si="11"/>
        <v>内部装修</v>
      </c>
      <c r="R42" s="1506" t="s">
        <v>8</v>
      </c>
      <c r="S42" s="1507">
        <f t="shared" si="12"/>
        <v>109</v>
      </c>
      <c r="T42" s="1506" t="s">
        <v>8</v>
      </c>
      <c r="U42" s="1507">
        <f t="shared" si="13"/>
        <v>109</v>
      </c>
      <c r="V42" s="1506" t="s">
        <v>8</v>
      </c>
      <c r="W42" s="1507">
        <f t="shared" si="14"/>
        <v>100</v>
      </c>
      <c r="X42" s="1500"/>
      <c r="Y42" s="4005"/>
      <c r="Z42" s="1508" t="str">
        <f t="shared" si="15"/>
        <v>内部装修</v>
      </c>
      <c r="AA42" s="1509">
        <f t="shared" si="3"/>
        <v>0.91743119266055051</v>
      </c>
      <c r="AB42" s="1509">
        <f t="shared" si="4"/>
        <v>0.91743119266055051</v>
      </c>
      <c r="AC42" s="1509">
        <f t="shared" si="5"/>
        <v>1</v>
      </c>
    </row>
    <row r="43" spans="1:29" ht="27.75" hidden="1" thickBot="1">
      <c r="A43" s="586"/>
      <c r="B43" s="519" t="s">
        <v>727</v>
      </c>
      <c r="C43" s="591" t="s">
        <v>3071</v>
      </c>
      <c r="D43" s="532">
        <v>100</v>
      </c>
      <c r="E43" s="591" t="s">
        <v>3071</v>
      </c>
      <c r="F43" s="567">
        <f>SUMIF(124:124,E43,125:125)-SUMIF(124:124,C43,125:125)+100</f>
        <v>100</v>
      </c>
      <c r="G43" s="591" t="s">
        <v>3071</v>
      </c>
      <c r="H43" s="532">
        <f>SUMIF(124:124,G43,125:125)-SUMIF(124:124,C43,125:125)+100</f>
        <v>100</v>
      </c>
      <c r="I43" s="591" t="s">
        <v>3071</v>
      </c>
      <c r="J43" s="532">
        <f>SUMIF(124:124,I43,125:125)-SUMIF(124:124,C43,125:125)+100</f>
        <v>100</v>
      </c>
      <c r="K43" s="576">
        <v>1</v>
      </c>
      <c r="L43" s="2022"/>
      <c r="M43" s="2014"/>
      <c r="N43" s="2014"/>
      <c r="O43" s="2021"/>
      <c r="P43" s="4005"/>
      <c r="Q43" s="1505" t="str">
        <f t="shared" si="11"/>
        <v>内部装修维护情况</v>
      </c>
      <c r="R43" s="1506" t="s">
        <v>8</v>
      </c>
      <c r="S43" s="1507">
        <f t="shared" si="12"/>
        <v>100</v>
      </c>
      <c r="T43" s="1506" t="s">
        <v>8</v>
      </c>
      <c r="U43" s="1507">
        <f t="shared" si="13"/>
        <v>100</v>
      </c>
      <c r="V43" s="1506" t="s">
        <v>8</v>
      </c>
      <c r="W43" s="1507">
        <f t="shared" si="14"/>
        <v>100</v>
      </c>
      <c r="X43" s="1500"/>
      <c r="Y43" s="4005"/>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4005"/>
      <c r="Q44" s="1132">
        <f t="shared" si="11"/>
        <v>111</v>
      </c>
      <c r="R44" s="1501" t="s">
        <v>8</v>
      </c>
      <c r="S44" s="1502">
        <f t="shared" si="12"/>
        <v>100</v>
      </c>
      <c r="T44" s="1501" t="s">
        <v>8</v>
      </c>
      <c r="U44" s="1502">
        <f t="shared" si="13"/>
        <v>100</v>
      </c>
      <c r="V44" s="1501" t="s">
        <v>8</v>
      </c>
      <c r="W44" s="1502">
        <f t="shared" si="14"/>
        <v>100</v>
      </c>
      <c r="X44" s="1503"/>
      <c r="Y44" s="4005"/>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4005"/>
      <c r="Q45" s="1505">
        <f t="shared" si="11"/>
        <v>111</v>
      </c>
      <c r="R45" s="1506" t="s">
        <v>8</v>
      </c>
      <c r="S45" s="1507">
        <f t="shared" si="12"/>
        <v>100</v>
      </c>
      <c r="T45" s="1506" t="s">
        <v>8</v>
      </c>
      <c r="U45" s="1507">
        <f t="shared" si="13"/>
        <v>100</v>
      </c>
      <c r="V45" s="1506" t="s">
        <v>8</v>
      </c>
      <c r="W45" s="1507">
        <f t="shared" si="14"/>
        <v>100</v>
      </c>
      <c r="X45" s="1500"/>
      <c r="Y45" s="4005"/>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4127"/>
      <c r="Q46" s="1505">
        <f t="shared" si="11"/>
        <v>111</v>
      </c>
      <c r="R46" s="1506" t="s">
        <v>8</v>
      </c>
      <c r="S46" s="1507">
        <f t="shared" si="12"/>
        <v>100</v>
      </c>
      <c r="T46" s="1506" t="s">
        <v>8</v>
      </c>
      <c r="U46" s="1507">
        <f t="shared" si="13"/>
        <v>100</v>
      </c>
      <c r="V46" s="1506" t="s">
        <v>8</v>
      </c>
      <c r="W46" s="1507">
        <f t="shared" si="14"/>
        <v>100</v>
      </c>
      <c r="X46" s="1500"/>
      <c r="Y46" s="4127"/>
      <c r="Z46" s="1508">
        <f t="shared" si="15"/>
        <v>111</v>
      </c>
      <c r="AA46" s="1509">
        <f t="shared" si="3"/>
        <v>1</v>
      </c>
      <c r="AB46" s="1509">
        <f t="shared" si="4"/>
        <v>1</v>
      </c>
      <c r="AC46" s="1509">
        <f t="shared" si="5"/>
        <v>1</v>
      </c>
    </row>
    <row r="47" spans="1:29" ht="15">
      <c r="A47" s="599" t="s">
        <v>728</v>
      </c>
      <c r="B47" s="874"/>
      <c r="C47" s="2468" t="s">
        <v>1</v>
      </c>
      <c r="D47" s="2469"/>
      <c r="E47" s="2470">
        <v>6.76</v>
      </c>
      <c r="F47" s="2471"/>
      <c r="G47" s="2472">
        <v>8</v>
      </c>
      <c r="H47" s="2473"/>
      <c r="I47" s="2470">
        <v>7.1</v>
      </c>
      <c r="J47" s="2473"/>
      <c r="K47" s="1539"/>
      <c r="L47" s="2024"/>
      <c r="M47" s="2025"/>
      <c r="N47" s="2014"/>
      <c r="O47" s="2025"/>
      <c r="P47" s="3968" t="str">
        <f>A47</f>
        <v>成交单价（元/平方米）</v>
      </c>
      <c r="Q47" s="3968"/>
      <c r="R47" s="4126">
        <f>E47</f>
        <v>6.76</v>
      </c>
      <c r="S47" s="4126"/>
      <c r="T47" s="4126">
        <f>G47</f>
        <v>8</v>
      </c>
      <c r="U47" s="4126"/>
      <c r="V47" s="4126">
        <f>I47</f>
        <v>7.1</v>
      </c>
      <c r="W47" s="4126"/>
      <c r="X47" s="1495"/>
      <c r="Y47" s="1514"/>
      <c r="Z47" s="1495"/>
      <c r="AA47" s="1495"/>
      <c r="AB47" s="1495"/>
      <c r="AC47" s="1495"/>
    </row>
    <row r="48" spans="1:29" ht="26.25" thickBot="1">
      <c r="A48" s="607" t="s">
        <v>2738</v>
      </c>
      <c r="B48" s="875"/>
      <c r="C48" s="2474">
        <f>R49</f>
        <v>6.6</v>
      </c>
      <c r="D48" s="3003" t="s">
        <v>2963</v>
      </c>
      <c r="E48" s="2475">
        <f>R48</f>
        <v>6.2</v>
      </c>
      <c r="F48" s="3004"/>
      <c r="G48" s="2474">
        <f>T48</f>
        <v>7.3</v>
      </c>
      <c r="H48" s="3004"/>
      <c r="I48" s="2475">
        <f>V48</f>
        <v>6.3</v>
      </c>
      <c r="J48" s="3004"/>
      <c r="K48" s="3012">
        <f>F48+H48+J48</f>
        <v>0</v>
      </c>
      <c r="L48" s="2024"/>
      <c r="M48" s="2025"/>
      <c r="N48" s="2014"/>
      <c r="O48" s="2025"/>
      <c r="P48" s="3968" t="str">
        <f>A48</f>
        <v>比较价格（元/平方米）</v>
      </c>
      <c r="Q48" s="3968"/>
      <c r="R48" s="4126">
        <f>IF(F1="售价",ROUND(PRODUCT(R47,AA7:AA46),0),ROUND(PRODUCT(R47,AA7:AA46),1))</f>
        <v>6.2</v>
      </c>
      <c r="S48" s="4126"/>
      <c r="T48" s="4126">
        <f>IF(F1="售价",ROUND(PRODUCT(T47,AB7:AB46),0),ROUND(PRODUCT(T47,AB7:AB46),1))</f>
        <v>7.3</v>
      </c>
      <c r="U48" s="4126"/>
      <c r="V48" s="4126">
        <f>IF(F1="售价",ROUND(PRODUCT(V47,AC7:AC46),0),ROUND(PRODUCT(V47,AC7:AC46),1))</f>
        <v>6.3</v>
      </c>
      <c r="W48" s="4126"/>
      <c r="X48" s="1495"/>
      <c r="Y48" s="1495"/>
      <c r="Z48" s="1495"/>
      <c r="AA48" s="1495"/>
      <c r="AB48" s="1495"/>
      <c r="AC48" s="1495"/>
    </row>
    <row r="49" spans="1:29" ht="15.75" thickBot="1">
      <c r="A49" s="611" t="s">
        <v>2898</v>
      </c>
      <c r="B49" s="612"/>
      <c r="C49" s="2476">
        <f>R49</f>
        <v>6.6</v>
      </c>
      <c r="D49" s="2476"/>
      <c r="E49" s="2476"/>
      <c r="F49" s="2476"/>
      <c r="G49" s="2476"/>
      <c r="H49" s="2476"/>
      <c r="I49" s="2476"/>
      <c r="J49" s="2476"/>
      <c r="K49" s="1540"/>
      <c r="L49" s="2024"/>
      <c r="M49" s="2025"/>
      <c r="N49" s="2014"/>
      <c r="O49" s="2025"/>
      <c r="P49" s="3965" t="str">
        <f>A49</f>
        <v>估价对象XX用房的比较价格（楼面单价，元/平方米）</v>
      </c>
      <c r="Q49" s="3966"/>
      <c r="R49" s="4125">
        <f>IF(F1="售价",ROUND(IF(D48="简单平均",AVERAGE(R48:V48),R48*F48+T48*H48+V48*J48),0),ROUND(IF(D48="简单平均",AVERAGE(R48:V48),R48*F48+T48*H48+V48*J48),1))</f>
        <v>6.6</v>
      </c>
      <c r="S49" s="4125"/>
      <c r="T49" s="4125"/>
      <c r="U49" s="4125"/>
      <c r="V49" s="4125"/>
      <c r="W49" s="4125"/>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f>IF(E47&lt;E48,E48/E47-1,E47/E48-1)</f>
        <v>9.0322580645161299E-2</v>
      </c>
      <c r="F52" s="617" t="str">
        <f>IF(OR(E52&gt;=0.3,E52&lt;=-0.3),"超过30%","")</f>
        <v/>
      </c>
      <c r="G52" s="616">
        <f>IF(G47&lt;G48,G48/G47-1,G47/G48-1)</f>
        <v>9.5890410958904049E-2</v>
      </c>
      <c r="H52" s="617" t="str">
        <f>IF(OR(G52&gt;=0.3,G52&lt;=-0.3),"超过30%","")</f>
        <v/>
      </c>
      <c r="I52" s="616">
        <f>IF(I47&lt;I48,I48/I47-1,I47/I48-1)</f>
        <v>0.12698412698412698</v>
      </c>
      <c r="J52" s="617" t="str">
        <f>IF(OR(I52&gt;=0.3,I52&lt;=-0.3),"超过30%","")</f>
        <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f>IF(E48&lt;G48,G48/E48-1,E48/G48-1)</f>
        <v>0.17741935483870952</v>
      </c>
      <c r="F53" s="617" t="str">
        <f>IF(OR(E53&gt;=0.2,E53&lt;=-0.2),"超过20%","")</f>
        <v/>
      </c>
      <c r="G53" s="616">
        <f>IF(G48&lt;I48,I48/G48-1,G48/I48-1)</f>
        <v>0.15873015873015883</v>
      </c>
      <c r="H53" s="617" t="str">
        <f>IF(OR(G53&gt;=0.2,G53&lt;=-0.2),"超过20%","")</f>
        <v/>
      </c>
      <c r="I53" s="616">
        <f>IF(I48&lt;E48,E48/I48-1,I48/E48-1)</f>
        <v>1.6129032258064502E-2</v>
      </c>
      <c r="J53" s="617" t="str">
        <f>IF(OR(I53&gt;=0.2,I53&lt;=-0.2),"超过20%","")</f>
        <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0.18343195266272194</v>
      </c>
      <c r="F54" s="617" t="str">
        <f>IF(OR(E54&gt;=0.3,E54&lt;=-0.3),"超过30%","")</f>
        <v/>
      </c>
      <c r="G54" s="616">
        <f>IF(G47&lt;I47,I47/G47-1,G47/I47-1)</f>
        <v>0.12676056338028174</v>
      </c>
      <c r="H54" s="617" t="str">
        <f>IF(OR(G54&gt;=0.3,G54&lt;=-0.3),"超过30%","")</f>
        <v/>
      </c>
      <c r="I54" s="616">
        <f>IF(I47&lt;E47,E47/I47-1,I47/E47-1)</f>
        <v>5.0295857988165604E-2</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v>100</v>
      </c>
      <c r="L59" s="640">
        <v>100</v>
      </c>
      <c r="M59" s="640">
        <v>100</v>
      </c>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36" t="s">
        <v>3086</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98</v>
      </c>
      <c r="H66" s="669">
        <f>G66-$K10</f>
        <v>96</v>
      </c>
      <c r="I66" s="669">
        <f>H66-$K10</f>
        <v>94</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98</v>
      </c>
      <c r="E79" s="669">
        <f>D79-$K17</f>
        <v>96</v>
      </c>
      <c r="F79" s="669">
        <f>E79-$K17</f>
        <v>94</v>
      </c>
      <c r="G79" s="669">
        <f>F79-$K17</f>
        <v>92</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99</v>
      </c>
      <c r="E85" s="669">
        <f>D85-$K23</f>
        <v>98</v>
      </c>
      <c r="F85" s="669">
        <f>E85-$K23</f>
        <v>97</v>
      </c>
      <c r="G85" s="669">
        <f>F85-$K23</f>
        <v>96</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35" t="s">
        <v>3079</v>
      </c>
      <c r="D86" s="3335" t="s">
        <v>3080</v>
      </c>
      <c r="E86" s="3335" t="s">
        <v>3082</v>
      </c>
      <c r="F86" s="3335" t="s">
        <v>3084</v>
      </c>
      <c r="G86" s="3335" t="s">
        <v>3085</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98</v>
      </c>
      <c r="E87" s="669">
        <f t="shared" si="19"/>
        <v>96</v>
      </c>
      <c r="F87" s="669">
        <f t="shared" si="19"/>
        <v>94</v>
      </c>
      <c r="G87" s="669">
        <f t="shared" si="19"/>
        <v>92</v>
      </c>
      <c r="H87" s="669">
        <f t="shared" si="19"/>
        <v>90</v>
      </c>
      <c r="I87" s="669">
        <f t="shared" si="19"/>
        <v>88</v>
      </c>
      <c r="J87" s="669">
        <f t="shared" si="19"/>
        <v>86</v>
      </c>
      <c r="K87" s="669">
        <f t="shared" si="19"/>
        <v>84</v>
      </c>
      <c r="L87" s="669">
        <f t="shared" si="19"/>
        <v>82</v>
      </c>
      <c r="M87" s="669">
        <f t="shared" si="19"/>
        <v>80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35" t="s">
        <v>3087</v>
      </c>
      <c r="D88" s="3335" t="s">
        <v>3091</v>
      </c>
      <c r="E88" s="3335" t="s">
        <v>3092</v>
      </c>
      <c r="F88" s="3339" t="s">
        <v>3093</v>
      </c>
      <c r="G88" s="3335" t="s">
        <v>3094</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35" t="s">
        <v>3089</v>
      </c>
      <c r="D90" s="3335" t="s">
        <v>3096</v>
      </c>
      <c r="E90" s="3335" t="s">
        <v>3092</v>
      </c>
      <c r="F90" s="3335" t="s">
        <v>3097</v>
      </c>
      <c r="G90" s="3335" t="s">
        <v>3098</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3099</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0" t="s">
        <v>3133</v>
      </c>
      <c r="D100" s="3340" t="s">
        <v>3102</v>
      </c>
      <c r="E100" s="3340" t="s">
        <v>3103</v>
      </c>
      <c r="F100" s="3340" t="s">
        <v>3104</v>
      </c>
      <c r="G100" s="3340" t="s">
        <v>3106</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99</v>
      </c>
      <c r="E101" s="669">
        <f t="shared" si="22"/>
        <v>98</v>
      </c>
      <c r="F101" s="669">
        <f t="shared" si="22"/>
        <v>97</v>
      </c>
      <c r="G101" s="669">
        <f t="shared" si="22"/>
        <v>96</v>
      </c>
      <c r="H101" s="669">
        <f t="shared" si="22"/>
        <v>95</v>
      </c>
      <c r="I101" s="669">
        <f t="shared" si="22"/>
        <v>94</v>
      </c>
      <c r="J101" s="669">
        <f t="shared" si="22"/>
        <v>93</v>
      </c>
      <c r="K101" s="669">
        <f t="shared" si="22"/>
        <v>92</v>
      </c>
      <c r="L101" s="669">
        <f t="shared" si="22"/>
        <v>91</v>
      </c>
      <c r="M101" s="670">
        <f t="shared" si="22"/>
        <v>90</v>
      </c>
      <c r="N101" s="2045"/>
      <c r="O101" s="2045"/>
      <c r="P101" s="2044"/>
      <c r="Q101" s="2037"/>
      <c r="R101" s="2025"/>
      <c r="S101" s="2025"/>
      <c r="T101" s="2025"/>
      <c r="U101" s="2025"/>
      <c r="V101" s="2025"/>
      <c r="W101" s="2025"/>
      <c r="X101" s="2025"/>
      <c r="Y101" s="2025"/>
      <c r="Z101" s="2025"/>
      <c r="AA101" s="2025"/>
      <c r="AB101" s="2025"/>
      <c r="AC101" s="2025"/>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35" t="s">
        <v>3107</v>
      </c>
      <c r="D105" s="3335" t="s">
        <v>3108</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35" t="s">
        <v>3110</v>
      </c>
      <c r="D107" s="3335" t="s">
        <v>3112</v>
      </c>
      <c r="E107" s="3335" t="s">
        <v>3113</v>
      </c>
      <c r="F107" s="3341" t="s">
        <v>3115</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35" t="s">
        <v>3116</v>
      </c>
      <c r="D112" s="3335" t="s">
        <v>3117</v>
      </c>
      <c r="E112" s="3335" t="s">
        <v>3118</v>
      </c>
      <c r="F112" s="3335" t="s">
        <v>3119</v>
      </c>
      <c r="G112" s="3335" t="s">
        <v>3120</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35" t="s">
        <v>3121</v>
      </c>
      <c r="D116" s="3335" t="s">
        <v>3123</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41" t="s">
        <v>3091</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35" t="s">
        <v>3110</v>
      </c>
      <c r="D122" s="3335" t="s">
        <v>3112</v>
      </c>
      <c r="E122" s="3335" t="s">
        <v>3113</v>
      </c>
      <c r="F122" s="3341" t="s">
        <v>3115</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93" t="s">
        <v>2024</v>
      </c>
      <c r="B1" s="3793"/>
      <c r="C1" s="3793"/>
      <c r="D1" s="3793"/>
      <c r="E1" s="3793"/>
      <c r="F1" s="3793"/>
      <c r="G1" s="3793"/>
      <c r="H1" s="3793"/>
      <c r="I1" s="3793"/>
      <c r="J1" s="3793"/>
      <c r="K1" s="3793"/>
      <c r="L1" s="3793"/>
      <c r="M1" s="3793"/>
      <c r="N1" s="3793"/>
      <c r="O1" s="3793"/>
      <c r="P1" s="3793"/>
      <c r="Q1" s="3793"/>
      <c r="R1" s="3793"/>
    </row>
    <row r="2" spans="1:18">
      <c r="A2" s="1720" t="s">
        <v>2026</v>
      </c>
      <c r="B2" s="1720"/>
      <c r="C2" s="1720"/>
      <c r="D2" s="1720"/>
      <c r="E2" s="1720"/>
      <c r="F2" s="1720"/>
      <c r="G2" s="1720"/>
      <c r="H2" s="1720"/>
      <c r="I2" s="1721"/>
      <c r="J2" s="1721"/>
      <c r="K2" s="1722" t="str">
        <f>"估价期日："&amp;TEXT(项目基本情况!D3,"yyyy年m月d日;;")</f>
        <v>估价期日：2021年12月15日</v>
      </c>
      <c r="L2" s="1720"/>
      <c r="M2" s="1720"/>
      <c r="N2" s="1720"/>
      <c r="O2" s="1720"/>
      <c r="P2" s="1720"/>
      <c r="Q2" s="1720"/>
      <c r="R2" s="1722" t="str">
        <f>"估价期日的国有建设用地使用权性质："&amp;项目基本情况!B16</f>
        <v>估价期日的国有建设用地使用权性质：储备</v>
      </c>
    </row>
    <row r="3" spans="1:18" ht="23.25" customHeight="1">
      <c r="A3" s="3794" t="s">
        <v>2015</v>
      </c>
      <c r="B3" s="3794" t="s">
        <v>2709</v>
      </c>
      <c r="C3" s="3795" t="s">
        <v>2016</v>
      </c>
      <c r="D3" s="3794" t="s">
        <v>2713</v>
      </c>
      <c r="E3" s="3789" t="s">
        <v>2017</v>
      </c>
      <c r="F3" s="3789"/>
      <c r="G3" s="3789"/>
      <c r="H3" s="3789" t="s">
        <v>2018</v>
      </c>
      <c r="I3" s="3789"/>
      <c r="J3" s="3789"/>
      <c r="K3" s="3795" t="s">
        <v>2019</v>
      </c>
      <c r="L3" s="3795" t="s">
        <v>2020</v>
      </c>
      <c r="M3" s="3794" t="s">
        <v>2710</v>
      </c>
      <c r="N3" s="3796" t="str">
        <f>"（分摊）"&amp;项目基本情况!B16&amp;"国有建设用地使用权面积/㎡"</f>
        <v>（分摊）储备国有建设用地使用权面积/㎡</v>
      </c>
      <c r="O3" s="3794" t="s">
        <v>2049</v>
      </c>
      <c r="P3" s="3795" t="s">
        <v>2029</v>
      </c>
      <c r="Q3" s="3795" t="s">
        <v>2050</v>
      </c>
      <c r="R3" s="3795" t="s">
        <v>2021</v>
      </c>
    </row>
    <row r="4" spans="1:18" ht="36.75" customHeight="1">
      <c r="A4" s="3794"/>
      <c r="B4" s="3794"/>
      <c r="C4" s="3795"/>
      <c r="D4" s="3794"/>
      <c r="E4" s="2489" t="s">
        <v>2028</v>
      </c>
      <c r="F4" s="2489" t="s">
        <v>2722</v>
      </c>
      <c r="G4" s="2489" t="s">
        <v>2022</v>
      </c>
      <c r="H4" s="2489" t="s">
        <v>2023</v>
      </c>
      <c r="I4" s="2489" t="s">
        <v>2723</v>
      </c>
      <c r="J4" s="2489" t="s">
        <v>2022</v>
      </c>
      <c r="K4" s="3795"/>
      <c r="L4" s="3795"/>
      <c r="M4" s="3794"/>
      <c r="N4" s="3796"/>
      <c r="O4" s="3794"/>
      <c r="P4" s="3795"/>
      <c r="Q4" s="3795"/>
      <c r="R4" s="3795"/>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81070.11</v>
      </c>
      <c r="O5" s="1723">
        <f>项目基本情况!C21</f>
        <v>771700</v>
      </c>
      <c r="P5" s="1723">
        <f ca="1">结果表!E42</f>
        <v>50660</v>
      </c>
      <c r="Q5" s="1723">
        <f ca="1">结果表!D42</f>
        <v>5322</v>
      </c>
      <c r="R5" s="1724">
        <f ca="1">结果表!C42</f>
        <v>410701</v>
      </c>
    </row>
    <row r="6" spans="1:18">
      <c r="A6" s="3790" t="str">
        <f>IF(项目基本情况!B9="市场价格","——","抵押价格")</f>
        <v>抵押价格</v>
      </c>
      <c r="B6" s="3791"/>
      <c r="C6" s="3791"/>
      <c r="D6" s="3791"/>
      <c r="E6" s="3791"/>
      <c r="F6" s="3791"/>
      <c r="G6" s="3791"/>
      <c r="H6" s="3791"/>
      <c r="I6" s="3791"/>
      <c r="J6" s="3791"/>
      <c r="K6" s="3791"/>
      <c r="L6" s="3791"/>
      <c r="M6" s="3791"/>
      <c r="N6" s="3791"/>
      <c r="O6" s="3791"/>
      <c r="P6" s="3791"/>
      <c r="Q6" s="3792"/>
      <c r="R6" s="1725" t="str">
        <f>结果表!O39</f>
        <v>——</v>
      </c>
    </row>
    <row r="7" spans="1:18">
      <c r="A7" s="3790" t="str">
        <f>IF(项目基本情况!B9="市场价格","——",IF(项目基本情况!E8="已注销及未注销","抵押担保权已注销时的抵押价格","——"))</f>
        <v>——</v>
      </c>
      <c r="B7" s="3791"/>
      <c r="C7" s="3791"/>
      <c r="D7" s="3791"/>
      <c r="E7" s="3791"/>
      <c r="F7" s="3791"/>
      <c r="G7" s="3791"/>
      <c r="H7" s="3791"/>
      <c r="I7" s="3791"/>
      <c r="J7" s="3791"/>
      <c r="K7" s="3791"/>
      <c r="L7" s="3791"/>
      <c r="M7" s="3791"/>
      <c r="N7" s="3791"/>
      <c r="O7" s="3791"/>
      <c r="P7" s="3791"/>
      <c r="Q7" s="3792"/>
      <c r="R7" s="1725" t="str">
        <f>结果表!O40</f>
        <v>——</v>
      </c>
    </row>
    <row r="8" spans="1:18">
      <c r="A8" s="3790">
        <f>IF(项目基本情况!B9="市场价格","——",项目基本情况!E9)</f>
        <v>0</v>
      </c>
      <c r="B8" s="3791"/>
      <c r="C8" s="3791"/>
      <c r="D8" s="3791"/>
      <c r="E8" s="3791"/>
      <c r="F8" s="3791"/>
      <c r="G8" s="3791"/>
      <c r="H8" s="3791"/>
      <c r="I8" s="3791"/>
      <c r="J8" s="3791"/>
      <c r="K8" s="3791"/>
      <c r="L8" s="3791"/>
      <c r="M8" s="3791"/>
      <c r="N8" s="3791"/>
      <c r="O8" s="3791"/>
      <c r="P8" s="3791"/>
      <c r="Q8" s="3792"/>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51"/>
  <sheetViews>
    <sheetView workbookViewId="0">
      <selection activeCell="R23" sqref="R23"/>
    </sheetView>
  </sheetViews>
  <sheetFormatPr defaultRowHeight="13.5"/>
  <sheetData>
    <row r="1" spans="8:10">
      <c r="H1" s="3235" t="s">
        <v>3172</v>
      </c>
      <c r="J1">
        <v>6.76</v>
      </c>
    </row>
    <row r="16" spans="8:10">
      <c r="H16" s="3235" t="s">
        <v>3127</v>
      </c>
      <c r="I16">
        <v>8</v>
      </c>
    </row>
    <row r="32" spans="8:8">
      <c r="H32" s="3235" t="s">
        <v>3145</v>
      </c>
    </row>
    <row r="33" spans="9:9">
      <c r="I33">
        <v>7.1</v>
      </c>
    </row>
    <row r="51" spans="2:17">
      <c r="B51">
        <v>6.5</v>
      </c>
      <c r="I51">
        <v>6</v>
      </c>
      <c r="Q51">
        <v>9.17</v>
      </c>
    </row>
  </sheetData>
  <phoneticPr fontId="228"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6" zoomScale="80" zoomScaleNormal="60" zoomScaleSheetLayoutView="80" workbookViewId="0">
      <selection activeCell="F36" sqref="F3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46">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866028</v>
      </c>
      <c r="C2" s="3251"/>
      <c r="D2" s="3252"/>
      <c r="E2" s="3253"/>
      <c r="F2" s="3253"/>
      <c r="G2" s="3247"/>
      <c r="H2" s="1938"/>
      <c r="I2" s="1938"/>
      <c r="J2" s="1938"/>
      <c r="K2" s="1939"/>
      <c r="L2" s="1938"/>
      <c r="M2" s="1938"/>
    </row>
    <row r="3" spans="1:33" ht="18" customHeight="1" thickBot="1">
      <c r="A3" s="820" t="s">
        <v>1715</v>
      </c>
      <c r="B3" s="821">
        <f ca="1">IF(ISERROR(B2*10000/F43),0,ROUND(B2*10000/F43,0))</f>
        <v>28667</v>
      </c>
      <c r="C3" s="3251"/>
      <c r="D3" s="3252"/>
      <c r="E3" s="3253"/>
      <c r="F3" s="3253"/>
      <c r="G3" s="3247"/>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41953</v>
      </c>
      <c r="D5" s="2347" t="s">
        <v>2440</v>
      </c>
      <c r="E5" s="2341"/>
      <c r="F5" s="2342"/>
      <c r="G5" s="1943"/>
      <c r="H5" s="769">
        <v>1</v>
      </c>
      <c r="I5" s="770" t="s">
        <v>2437</v>
      </c>
      <c r="J5" s="54">
        <f ca="1">J6+J10+J12</f>
        <v>0</v>
      </c>
      <c r="K5" s="2347" t="s">
        <v>2440</v>
      </c>
      <c r="L5" s="2341"/>
      <c r="M5" s="2342"/>
    </row>
    <row r="6" spans="1:33" ht="18" customHeight="1">
      <c r="A6" s="1743" t="s">
        <v>1812</v>
      </c>
      <c r="B6" s="4056" t="s">
        <v>2442</v>
      </c>
      <c r="C6" s="771">
        <f ca="1">ROUND(F6*F8*F7*(1-F9)/10000,0)</f>
        <v>41901</v>
      </c>
      <c r="D6" s="2348" t="s">
        <v>2441</v>
      </c>
      <c r="E6" s="772" t="s">
        <v>629</v>
      </c>
      <c r="F6" s="773">
        <f ca="1">INDIRECT("'数据-取费表'!u"&amp;$G$1)</f>
        <v>4</v>
      </c>
      <c r="G6" s="1943"/>
      <c r="H6" s="2355" t="s">
        <v>1812</v>
      </c>
      <c r="I6" s="4056" t="s">
        <v>2442</v>
      </c>
      <c r="J6" s="771">
        <f ca="1">ROUND(M6*M8*M7*(1-M9)/10000,0)</f>
        <v>0</v>
      </c>
      <c r="K6" s="337" t="s">
        <v>1725</v>
      </c>
      <c r="L6" s="772" t="s">
        <v>629</v>
      </c>
      <c r="M6" s="773">
        <f ca="1">INDIRECT("'数据-取费表'!z"&amp;$G$1)</f>
        <v>0</v>
      </c>
    </row>
    <row r="7" spans="1:33" ht="18" customHeight="1">
      <c r="A7" s="2351"/>
      <c r="B7" s="4057"/>
      <c r="C7" s="776"/>
      <c r="D7" s="777"/>
      <c r="E7" s="772" t="s">
        <v>630</v>
      </c>
      <c r="F7" s="3360">
        <f ca="1">IF(INDIRECT("'数据-取费表'!ah"&amp;$G$1)="",INDIRECT("'数据-取费表'!k"&amp;$G$1),INDIRECT("'数据-取费表'!ah"&amp;$G$1))</f>
        <v>302100</v>
      </c>
      <c r="G7" s="1943"/>
      <c r="H7" s="2340"/>
      <c r="I7" s="4057"/>
      <c r="J7" s="776"/>
      <c r="K7" s="777"/>
      <c r="L7" s="772" t="s">
        <v>630</v>
      </c>
      <c r="M7" s="773">
        <f ca="1">F7</f>
        <v>302100</v>
      </c>
    </row>
    <row r="8" spans="1:33" ht="18" customHeight="1">
      <c r="A8" s="2344"/>
      <c r="B8" s="4058"/>
      <c r="C8" s="776"/>
      <c r="D8" s="777"/>
      <c r="E8" s="772" t="s">
        <v>1728</v>
      </c>
      <c r="F8" s="773">
        <f ca="1">INDIRECT("'数据-取费表'!ai"&amp;$G$1)</f>
        <v>365</v>
      </c>
      <c r="G8" s="1943"/>
      <c r="H8" s="2340"/>
      <c r="I8" s="4058"/>
      <c r="J8" s="776"/>
      <c r="K8" s="777"/>
      <c r="L8" s="772" t="s">
        <v>1728</v>
      </c>
      <c r="M8" s="773">
        <f ca="1">INDIRECT("'数据-取费表'!ai"&amp;$G$1)</f>
        <v>365</v>
      </c>
    </row>
    <row r="9" spans="1:33" ht="18" customHeight="1">
      <c r="A9" s="774"/>
      <c r="B9" s="4059"/>
      <c r="C9" s="776"/>
      <c r="D9" s="777"/>
      <c r="E9" s="772" t="s">
        <v>632</v>
      </c>
      <c r="F9" s="782">
        <f ca="1">INDIRECT("'数据-取费表'!w"&amp;$G$1)</f>
        <v>0.05</v>
      </c>
      <c r="G9" s="1943"/>
      <c r="H9" s="2356"/>
      <c r="I9" s="4058"/>
      <c r="J9" s="776"/>
      <c r="K9" s="777"/>
      <c r="L9" s="783" t="s">
        <v>632</v>
      </c>
      <c r="M9" s="784">
        <f ca="1">INDIRECT("'数据-取费表'!ab"&amp;$G$1)</f>
        <v>0</v>
      </c>
    </row>
    <row r="10" spans="1:33" ht="18" customHeight="1">
      <c r="A10" s="1743" t="s">
        <v>1813</v>
      </c>
      <c r="B10" s="2345" t="s">
        <v>2438</v>
      </c>
      <c r="C10" s="787">
        <f ca="1">ROUND(IF(F10="押一",C6/12*F11,IF(F10="押二",C6/12*2*F11,IF(F10="押三",C6/12*3*F11,C11*F11))),0)</f>
        <v>52</v>
      </c>
      <c r="D10" s="2352" t="s">
        <v>2933</v>
      </c>
      <c r="E10" s="2349" t="s">
        <v>2443</v>
      </c>
      <c r="F10" s="2463" t="s">
        <v>3162</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230593</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151050</v>
      </c>
      <c r="D14" s="3327" t="s">
        <v>1733</v>
      </c>
      <c r="E14" s="3328"/>
      <c r="F14" s="793"/>
      <c r="G14" s="1943"/>
      <c r="H14" s="1576" t="s">
        <v>1812</v>
      </c>
      <c r="I14" s="2109" t="s">
        <v>2802</v>
      </c>
      <c r="J14" s="52">
        <f ca="1">C29</f>
        <v>230593</v>
      </c>
      <c r="K14" s="25"/>
      <c r="L14" s="789"/>
      <c r="M14" s="790"/>
    </row>
    <row r="15" spans="1:33" s="1945" customFormat="1" ht="18" customHeight="1" thickBot="1">
      <c r="A15" s="1575" t="s">
        <v>1820</v>
      </c>
      <c r="B15" s="772" t="s">
        <v>639</v>
      </c>
      <c r="C15" s="52">
        <f ca="1">ROUND(C14*F15,0)</f>
        <v>4532</v>
      </c>
      <c r="D15" s="794" t="s">
        <v>640</v>
      </c>
      <c r="E15" s="794" t="s">
        <v>641</v>
      </c>
      <c r="F15" s="795">
        <f>'数据-取费表'!B33</f>
        <v>0.03</v>
      </c>
      <c r="G15" s="3248"/>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2634</v>
      </c>
      <c r="K16" s="1734" t="s">
        <v>644</v>
      </c>
      <c r="L16" s="3329"/>
      <c r="M16" s="2342"/>
    </row>
    <row r="17" spans="1:33" s="1945" customFormat="1" ht="18" customHeight="1">
      <c r="A17" s="1575" t="s">
        <v>1875</v>
      </c>
      <c r="B17" s="772" t="s">
        <v>645</v>
      </c>
      <c r="C17" s="52">
        <f ca="1">ROUND(F17*(F43+INDIRECT("'数据-取费表'!S"&amp;$G$1))/10000,0)</f>
        <v>6042</v>
      </c>
      <c r="D17" s="772" t="s">
        <v>646</v>
      </c>
      <c r="E17" s="772" t="s">
        <v>647</v>
      </c>
      <c r="F17" s="55">
        <f>'数据-取费表'!B35</f>
        <v>200</v>
      </c>
      <c r="G17" s="3248"/>
      <c r="H17" s="1576" t="s">
        <v>1812</v>
      </c>
      <c r="I17" s="772" t="s">
        <v>648</v>
      </c>
      <c r="J17" s="3008">
        <f ca="1">ROUND(IF(AND(项目基本情况!B11="自然人",项目基本情况!B10="北京市"),J6*M17/(1+'数据-取费表'!C42),J18+J19+J20),0)</f>
        <v>1942</v>
      </c>
      <c r="K17" s="3327" t="s">
        <v>649</v>
      </c>
      <c r="L17" s="3326"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2266</v>
      </c>
      <c r="D18" s="772" t="s">
        <v>640</v>
      </c>
      <c r="E18" s="772" t="s">
        <v>641</v>
      </c>
      <c r="F18" s="797">
        <f>'数据-取费表'!B36</f>
        <v>1.4999999999999999E-2</v>
      </c>
      <c r="G18" s="3248"/>
      <c r="H18" s="1575" t="s">
        <v>1819</v>
      </c>
      <c r="I18" s="772" t="s">
        <v>1743</v>
      </c>
      <c r="J18" s="52">
        <f ca="1">ROUND(J6*M18/(1+'数据-取费表'!C42),1)</f>
        <v>0</v>
      </c>
      <c r="K18" s="3326"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163890</v>
      </c>
      <c r="D19" s="257" t="s">
        <v>655</v>
      </c>
      <c r="E19" s="3331"/>
      <c r="F19" s="55"/>
      <c r="G19" s="1943"/>
      <c r="H19" s="1575" t="s">
        <v>1820</v>
      </c>
      <c r="I19" s="772" t="s">
        <v>1746</v>
      </c>
      <c r="J19" s="52">
        <f ca="1">IF(K19="按租金收入计税",ROUND(J6*M19/(1+'数据-取费表'!C42),1),ROUND(C29*F33*0.7,1))</f>
        <v>1937</v>
      </c>
      <c r="K19" s="798" t="s">
        <v>657</v>
      </c>
      <c r="L19" s="772" t="s">
        <v>641</v>
      </c>
      <c r="M19" s="797">
        <f>IF(K19="按租金收入计税",'数据-取费表'!B51,'数据-取费表'!B50)</f>
        <v>1.2E-2</v>
      </c>
    </row>
    <row r="20" spans="1:33" s="1945" customFormat="1" ht="18" customHeight="1">
      <c r="A20" s="1576" t="s">
        <v>1877</v>
      </c>
      <c r="B20" s="772" t="s">
        <v>658</v>
      </c>
      <c r="C20" s="52">
        <f ca="1">ROUND(C19*F20,0)</f>
        <v>3278</v>
      </c>
      <c r="D20" s="799" t="s">
        <v>659</v>
      </c>
      <c r="E20" s="772" t="s">
        <v>641</v>
      </c>
      <c r="F20" s="3385">
        <f>剩余法办公!F23</f>
        <v>0.02</v>
      </c>
      <c r="G20" s="3248"/>
      <c r="H20" s="1578" t="s">
        <v>1821</v>
      </c>
      <c r="I20" s="337" t="s">
        <v>1748</v>
      </c>
      <c r="J20" s="53">
        <f ca="1">ROUND(M20*M21/10000,0)</f>
        <v>5</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85">
        <f>剩余法办公!F24</f>
        <v>0.02</v>
      </c>
      <c r="G21" s="3248"/>
      <c r="H21" s="2357"/>
      <c r="I21" s="781"/>
      <c r="J21" s="68"/>
      <c r="K21" s="803"/>
      <c r="L21" s="772" t="s">
        <v>666</v>
      </c>
      <c r="M21" s="773">
        <f ca="1">INDIRECT("'数据-取费表'!r"&amp;$G$1)</f>
        <v>31736.79</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31"/>
      <c r="F22" s="55"/>
      <c r="G22" s="1943"/>
      <c r="H22" s="1576" t="s">
        <v>1877</v>
      </c>
      <c r="I22" s="772" t="s">
        <v>668</v>
      </c>
      <c r="J22" s="52">
        <f ca="1">ROUND(J14*M22,0)</f>
        <v>692</v>
      </c>
      <c r="K22" s="3326" t="s">
        <v>1757</v>
      </c>
      <c r="L22" s="772" t="s">
        <v>641</v>
      </c>
      <c r="M22" s="804">
        <f ca="1">INDIRECT("'数据-取费表'!Ak"&amp;$G$1)</f>
        <v>3.0000000000000001E-3</v>
      </c>
    </row>
    <row r="23" spans="1:33" s="1945" customFormat="1" ht="18" customHeight="1">
      <c r="A23" s="1575" t="s">
        <v>1819</v>
      </c>
      <c r="B23" s="772" t="s">
        <v>2418</v>
      </c>
      <c r="C23" s="52">
        <f ca="1">ROUND(IF('数据-取费表'!B22&lt;=1,(C19+C20)*F24*F23/2,(C19+C20)*(POWER((1+F24),F23/2)-1)),0)</f>
        <v>12051</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3326" t="s">
        <v>1759</v>
      </c>
      <c r="L23" s="772" t="s">
        <v>641</v>
      </c>
      <c r="M23" s="805">
        <f ca="1">INDIRECT("'数据-取费表'!Al"&amp;$G$1)</f>
        <v>2.9999999999999997E-4</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674</v>
      </c>
      <c r="F24" s="806">
        <f ca="1">'数据-取费表'!B40</f>
        <v>4.7500000000000001E-2</v>
      </c>
      <c r="G24" s="3248"/>
      <c r="H24" s="2402" t="s">
        <v>1879</v>
      </c>
      <c r="I24" s="2397" t="s">
        <v>658</v>
      </c>
      <c r="J24" s="2395">
        <f ca="1">ROUND(J5*M24,0)</f>
        <v>0</v>
      </c>
      <c r="K24" s="2396" t="s">
        <v>1762</v>
      </c>
      <c r="L24" s="2397" t="s">
        <v>641</v>
      </c>
      <c r="M24" s="2393">
        <f ca="1">INDIRECT("'数据-取费表'!Am"&amp;$G$1)</f>
        <v>3.0000000000000001E-3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31"/>
      <c r="F25" s="55"/>
      <c r="G25" s="1943"/>
      <c r="H25" s="1742" t="s">
        <v>1764</v>
      </c>
      <c r="I25" s="2721" t="s">
        <v>2799</v>
      </c>
      <c r="J25" s="780">
        <f ca="1">J5-J16</f>
        <v>-2634</v>
      </c>
      <c r="K25" s="2399" t="s">
        <v>1765</v>
      </c>
      <c r="L25" s="2400"/>
      <c r="M25" s="2401"/>
    </row>
    <row r="26" spans="1:33" ht="18" customHeight="1">
      <c r="A26" s="1575" t="s">
        <v>1819</v>
      </c>
      <c r="B26" s="772" t="s">
        <v>2419</v>
      </c>
      <c r="C26" s="52">
        <f ca="1">ROUND((C19+C20)*F26,0)</f>
        <v>33434</v>
      </c>
      <c r="D26" s="799" t="s">
        <v>693</v>
      </c>
      <c r="E26" s="783" t="s">
        <v>694</v>
      </c>
      <c r="F26" s="782">
        <f ca="1">INDIRECT("'数据-取费表'!q"&amp;$G$1)</f>
        <v>0.2</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4.0000000000000001E-3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48"/>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230593</v>
      </c>
      <c r="D29" s="2396"/>
      <c r="E29" s="2397"/>
      <c r="F29" s="2398"/>
      <c r="G29" s="3248"/>
      <c r="H29" s="810" t="s">
        <v>1775</v>
      </c>
      <c r="I29" s="811" t="s">
        <v>1776</v>
      </c>
      <c r="J29" s="812">
        <f ca="1">ROUND(J26/(1+F40)^F41,0)</f>
        <v>0</v>
      </c>
      <c r="K29" s="813" t="s">
        <v>1777</v>
      </c>
      <c r="L29" s="814"/>
      <c r="M29" s="815">
        <f ca="1">INDIRECT("'数据-取费表'!k"&amp;$G$1)</f>
        <v>302100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5031</v>
      </c>
      <c r="D30" s="1734" t="s">
        <v>644</v>
      </c>
      <c r="E30" s="3329"/>
      <c r="F30" s="2342"/>
      <c r="G30" s="1943"/>
      <c r="H30" s="1946"/>
      <c r="I30" s="1947"/>
      <c r="J30" s="1948"/>
      <c r="K30" s="1949"/>
      <c r="L30" s="1950"/>
      <c r="M30" s="1951"/>
    </row>
    <row r="31" spans="1:33" ht="18" customHeight="1">
      <c r="A31" s="1576" t="s">
        <v>1812</v>
      </c>
      <c r="B31" s="772" t="s">
        <v>648</v>
      </c>
      <c r="C31" s="3008">
        <f ca="1">ROUND(IF(AND(项目基本情况!B11="自然人",项目基本情况!B10="北京市"),C6*F31/(1+'数据-取费表'!C42),C32+C33+C34),0)</f>
        <v>4144</v>
      </c>
      <c r="D31" s="3327" t="s">
        <v>649</v>
      </c>
      <c r="E31" s="3326" t="s">
        <v>1781</v>
      </c>
      <c r="F31" s="3007">
        <f ca="1">IF(项目基本情况!B11="企业","——",IF('数据-取费表'!B10="住宅",IF(F6*F7*F8/12/(1+'数据-取费表'!F30)&gt;100000,4%,2.5%),IF(F6*F7*F8/12/(1+'数据-取费表'!F30)&gt;100000,12%,7%)))</f>
        <v>0.12</v>
      </c>
      <c r="G31" s="1943"/>
      <c r="H31" s="3245" t="s">
        <v>2987</v>
      </c>
      <c r="I31" s="1947"/>
      <c r="J31" s="1948"/>
      <c r="K31" s="1949"/>
      <c r="L31" s="1950"/>
      <c r="M31" s="1951"/>
    </row>
    <row r="32" spans="1:33" ht="18" customHeight="1">
      <c r="A32" s="1575" t="s">
        <v>1819</v>
      </c>
      <c r="B32" s="772" t="s">
        <v>1743</v>
      </c>
      <c r="C32" s="52">
        <f ca="1">ROUND(C6*F32/(1+'数据-取费表'!C42),1)</f>
        <v>2194.8000000000002</v>
      </c>
      <c r="D32" s="3326"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1937</v>
      </c>
      <c r="D33" s="798" t="s">
        <v>1668</v>
      </c>
      <c r="E33" s="772" t="s">
        <v>641</v>
      </c>
      <c r="F33" s="797">
        <f>IF(D33="按租金收入计税",'数据-取费表'!B51,'数据-取费表'!B50)</f>
        <v>1.2E-2</v>
      </c>
      <c r="G33" s="1943"/>
      <c r="H33" s="1958"/>
      <c r="I33" s="1958"/>
      <c r="J33" s="1958"/>
      <c r="K33" s="1959"/>
      <c r="L33" s="1958"/>
      <c r="M33" s="1958"/>
    </row>
    <row r="34" spans="1:18" ht="18" customHeight="1">
      <c r="A34" s="1578" t="s">
        <v>1821</v>
      </c>
      <c r="B34" s="337" t="s">
        <v>1748</v>
      </c>
      <c r="C34" s="53">
        <f>ROUND(F34*F35/10000,1)</f>
        <v>12.2</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81070.106</v>
      </c>
      <c r="G35" s="1943"/>
      <c r="H35" s="1946"/>
      <c r="I35" s="824" t="s">
        <v>1802</v>
      </c>
      <c r="J35" s="825">
        <f ca="1">ROUND(C13*J36,0)</f>
        <v>0</v>
      </c>
      <c r="K35" s="1959"/>
      <c r="L35" s="1958"/>
      <c r="M35" s="1958"/>
    </row>
    <row r="36" spans="1:18" ht="18" customHeight="1">
      <c r="A36" s="1576" t="s">
        <v>1877</v>
      </c>
      <c r="B36" s="772" t="s">
        <v>668</v>
      </c>
      <c r="C36" s="52">
        <f ca="1">ROUND(C29*F36,1)</f>
        <v>691.8</v>
      </c>
      <c r="D36" s="3326" t="s">
        <v>1791</v>
      </c>
      <c r="E36" s="772" t="s">
        <v>641</v>
      </c>
      <c r="F36" s="804">
        <f ca="1">INDIRECT("'数据-取费表'!Ak"&amp;$G$1)</f>
        <v>3.0000000000000001E-3</v>
      </c>
      <c r="G36" s="1943"/>
      <c r="H36" s="1958"/>
      <c r="I36" s="826" t="s">
        <v>1803</v>
      </c>
      <c r="J36" s="827">
        <f ca="1">INDIRECT("'数据-取费表'!j"&amp;$G$1)</f>
        <v>0</v>
      </c>
      <c r="K36" s="1962"/>
      <c r="L36" s="1958"/>
      <c r="M36" s="1958"/>
    </row>
    <row r="37" spans="1:18" ht="18" customHeight="1">
      <c r="A37" s="1576" t="s">
        <v>1878</v>
      </c>
      <c r="B37" s="772" t="s">
        <v>671</v>
      </c>
      <c r="C37" s="52">
        <f ca="1">ROUND(C13*F37,1)</f>
        <v>69.2</v>
      </c>
      <c r="D37" s="3326" t="s">
        <v>1759</v>
      </c>
      <c r="E37" s="772" t="s">
        <v>641</v>
      </c>
      <c r="F37" s="805">
        <f ca="1">INDIRECT("'数据-取费表'!Al"&amp;$G$1)</f>
        <v>2.9999999999999997E-4</v>
      </c>
      <c r="G37" s="1943"/>
      <c r="H37" s="1958"/>
      <c r="I37" s="828" t="s">
        <v>1804</v>
      </c>
      <c r="J37" s="829"/>
      <c r="K37" s="1962"/>
      <c r="L37" s="1958"/>
      <c r="M37" s="1958"/>
    </row>
    <row r="38" spans="1:18" ht="18" customHeight="1" thickBot="1">
      <c r="A38" s="2402" t="s">
        <v>1879</v>
      </c>
      <c r="B38" s="2397" t="s">
        <v>658</v>
      </c>
      <c r="C38" s="2395">
        <f ca="1">ROUND(C5*F38,1)</f>
        <v>125.9</v>
      </c>
      <c r="D38" s="2396" t="s">
        <v>1762</v>
      </c>
      <c r="E38" s="2397" t="s">
        <v>641</v>
      </c>
      <c r="F38" s="2393">
        <f ca="1">INDIRECT("'数据-取费表'!Am"&amp;$G$1)</f>
        <v>3.0000000000000001E-3</v>
      </c>
      <c r="G38" s="1943"/>
      <c r="H38" s="1958"/>
      <c r="I38" s="830" t="s">
        <v>1805</v>
      </c>
      <c r="J38" s="831"/>
      <c r="K38" s="1963"/>
      <c r="L38" s="1958"/>
      <c r="M38" s="1958"/>
    </row>
    <row r="39" spans="1:18" ht="24.6" customHeight="1" thickTop="1">
      <c r="A39" s="1742" t="s">
        <v>1764</v>
      </c>
      <c r="B39" s="2721" t="s">
        <v>2799</v>
      </c>
      <c r="C39" s="780">
        <f ca="1">C5-C30</f>
        <v>36922</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866028</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0.26600000000000001</v>
      </c>
      <c r="K42" s="1962"/>
      <c r="L42" s="1898"/>
      <c r="M42" s="1898"/>
    </row>
    <row r="43" spans="1:18" ht="18" customHeight="1" thickBot="1">
      <c r="A43" s="810" t="s">
        <v>1775</v>
      </c>
      <c r="B43" s="811" t="s">
        <v>1798</v>
      </c>
      <c r="C43" s="812">
        <f ca="1">ROUND(C40*10000/F43,0)</f>
        <v>28667</v>
      </c>
      <c r="D43" s="813" t="s">
        <v>1799</v>
      </c>
      <c r="E43" s="814" t="s">
        <v>1800</v>
      </c>
      <c r="F43" s="815">
        <f ca="1">INDIRECT("'数据-取费表'!k"&amp;$G$1)</f>
        <v>302100</v>
      </c>
      <c r="G43" s="1943"/>
      <c r="H43" s="1898"/>
      <c r="I43" s="834" t="s">
        <v>1810</v>
      </c>
      <c r="J43" s="835">
        <f ca="1">1-J42</f>
        <v>0.73399999999999999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-929593</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3076</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0"/>
      <c r="O48" s="2251" t="s">
        <v>2361</v>
      </c>
      <c r="P48" s="2252" t="s">
        <v>2387</v>
      </c>
      <c r="Q48" s="2253">
        <f ca="1">C40+J29</f>
        <v>866028</v>
      </c>
      <c r="R48" s="2252" t="s">
        <v>2362</v>
      </c>
    </row>
    <row r="49" spans="1:18" s="1940" customFormat="1" ht="18" customHeight="1" thickBot="1">
      <c r="A49" s="774"/>
      <c r="B49" s="775"/>
      <c r="C49" s="776"/>
      <c r="D49" s="777"/>
      <c r="E49" s="772" t="s">
        <v>630</v>
      </c>
      <c r="F49" s="773">
        <f ca="1">F7</f>
        <v>302100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230593</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2215320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4134" t="s">
        <v>2926</v>
      </c>
      <c r="L53" s="4135"/>
      <c r="M53" s="3250"/>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866028</v>
      </c>
      <c r="R54" s="2256" t="s">
        <v>2374</v>
      </c>
    </row>
    <row r="55" spans="1:18" s="1940" customFormat="1" ht="18" customHeight="1" thickTop="1" thickBot="1">
      <c r="A55" s="785">
        <v>2</v>
      </c>
      <c r="B55" s="786" t="s">
        <v>636</v>
      </c>
      <c r="C55" s="787">
        <f ca="1">C13</f>
        <v>230593</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2285</v>
      </c>
      <c r="C56" s="52">
        <f ca="1">C29</f>
        <v>230593</v>
      </c>
      <c r="D56" s="3326"/>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2710</v>
      </c>
      <c r="D57" s="25" t="s">
        <v>644</v>
      </c>
      <c r="E57" s="3331"/>
      <c r="F57" s="55"/>
      <c r="I57" s="2817" t="s">
        <v>2340</v>
      </c>
      <c r="J57" s="2818" t="str">
        <f ca="1">IF(OR(M47="住宅",J51&lt;L48,J56="是"),"——",J51-L48)</f>
        <v>——</v>
      </c>
      <c r="K57" s="2797" t="s">
        <v>2345</v>
      </c>
      <c r="L57" s="1820" t="str">
        <f ca="1">IF(L48&lt;J51,"——",IF(L55="比较法",L49,IF(L55="基准地价",L50,L51)))</f>
        <v>——</v>
      </c>
      <c r="M57" s="3250"/>
      <c r="O57" s="2251" t="s">
        <v>2361</v>
      </c>
      <c r="P57" s="2252" t="s">
        <v>2387</v>
      </c>
      <c r="Q57" s="2253">
        <f ca="1">C40+J29</f>
        <v>866028</v>
      </c>
      <c r="R57" s="2252" t="s">
        <v>2362</v>
      </c>
    </row>
    <row r="58" spans="1:18" s="1940" customFormat="1" ht="28.5" customHeight="1" thickBot="1">
      <c r="A58" s="1576" t="s">
        <v>1812</v>
      </c>
      <c r="B58" s="772" t="s">
        <v>648</v>
      </c>
      <c r="C58" s="3008">
        <f ca="1">ROUND(IF(AND(项目基本情况!B11="自然人",项目基本情况!B10="北京市"),C48*F58/(1+'数据-取费表'!C42),C59+C60+C61),0)</f>
        <v>1949</v>
      </c>
      <c r="D58" s="3327" t="s">
        <v>649</v>
      </c>
      <c r="E58" s="3326"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3326"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1937</v>
      </c>
      <c r="D60" s="3326" t="str">
        <f>D33</f>
        <v>按房产原值计税</v>
      </c>
      <c r="E60" s="772" t="s">
        <v>641</v>
      </c>
      <c r="F60" s="797">
        <f t="shared" si="0"/>
        <v>1.2E-2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12.2</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81070.106</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691.8</v>
      </c>
      <c r="D63" s="3326" t="s">
        <v>1791</v>
      </c>
      <c r="E63" s="772" t="s">
        <v>641</v>
      </c>
      <c r="F63" s="804">
        <f t="shared" ca="1" si="0"/>
        <v>3.0000000000000001E-3</v>
      </c>
      <c r="I63" s="2822" t="s">
        <v>2352</v>
      </c>
      <c r="J63" s="2823">
        <v>70</v>
      </c>
      <c r="K63" s="2823">
        <v>50</v>
      </c>
      <c r="L63" s="2823">
        <v>80</v>
      </c>
      <c r="M63" s="2825">
        <v>0.02</v>
      </c>
      <c r="O63" s="2251" t="s">
        <v>2373</v>
      </c>
      <c r="P63" s="2252" t="s">
        <v>2390</v>
      </c>
      <c r="Q63" s="2253">
        <f ca="1">Q57+Q58</f>
        <v>866028</v>
      </c>
      <c r="R63" s="2256" t="s">
        <v>2374</v>
      </c>
    </row>
    <row r="64" spans="1:18" s="1940" customFormat="1" ht="16.5" thickBot="1">
      <c r="A64" s="1576" t="s">
        <v>1878</v>
      </c>
      <c r="B64" s="772" t="s">
        <v>671</v>
      </c>
      <c r="C64" s="52">
        <f ca="1">ROUND(C55*F64,1)</f>
        <v>69.2</v>
      </c>
      <c r="D64" s="3326" t="s">
        <v>672</v>
      </c>
      <c r="E64" s="772" t="s">
        <v>641</v>
      </c>
      <c r="F64" s="805">
        <f t="shared" ca="1" si="0"/>
        <v>2.9999999999999997E-4</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26" t="s">
        <v>675</v>
      </c>
      <c r="E65" s="772" t="s">
        <v>641</v>
      </c>
      <c r="F65" s="782">
        <f t="shared" ca="1" si="0"/>
        <v>3.0000000000000001E-3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-2710</v>
      </c>
      <c r="D66" s="3327" t="s">
        <v>692</v>
      </c>
      <c r="E66" s="3330"/>
      <c r="F66" s="807"/>
      <c r="K66" s="1966"/>
      <c r="O66" s="2251" t="s">
        <v>2361</v>
      </c>
      <c r="P66" s="2252" t="s">
        <v>2387</v>
      </c>
      <c r="Q66" s="2253">
        <f ca="1">C40+J29</f>
        <v>866028</v>
      </c>
      <c r="R66" s="2252" t="s">
        <v>2362</v>
      </c>
    </row>
    <row r="67" spans="1:18" s="1940" customFormat="1" ht="20.25" thickBot="1">
      <c r="A67" s="769" t="s">
        <v>1768</v>
      </c>
      <c r="B67" s="2110" t="s">
        <v>2286</v>
      </c>
      <c r="C67" s="771">
        <f ca="1">ROUND(C66*(1-((1+F69)/(1+F67))^F68)/(F67-F69),0)</f>
        <v>-63565</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2215320</v>
      </c>
      <c r="R68" s="2259" t="s">
        <v>2398</v>
      </c>
    </row>
    <row r="69" spans="1:18" ht="20.25" thickBot="1">
      <c r="A69" s="778"/>
      <c r="B69" s="779"/>
      <c r="C69" s="780"/>
      <c r="D69" s="803"/>
      <c r="E69" s="772" t="s">
        <v>702</v>
      </c>
      <c r="F69" s="2224"/>
      <c r="O69" s="2254" t="s">
        <v>2366</v>
      </c>
      <c r="P69" s="2260" t="s">
        <v>2380</v>
      </c>
      <c r="Q69" s="2253">
        <f ca="1">ROUND(Q70-Q71*Q72,0)</f>
        <v>36922</v>
      </c>
      <c r="R69" s="2256"/>
    </row>
    <row r="70" spans="1:18" ht="15.75" thickBot="1">
      <c r="A70" s="810" t="s">
        <v>1775</v>
      </c>
      <c r="B70" s="811" t="s">
        <v>1798</v>
      </c>
      <c r="C70" s="812">
        <f ca="1">ROUND(C67*10000/F70,0)</f>
        <v>-2104</v>
      </c>
      <c r="D70" s="813" t="s">
        <v>1799</v>
      </c>
      <c r="E70" s="814" t="s">
        <v>1800</v>
      </c>
      <c r="F70" s="815">
        <f ca="1">F43</f>
        <v>302100</v>
      </c>
      <c r="O70" s="2254" t="s">
        <v>2381</v>
      </c>
      <c r="P70" s="2260" t="s">
        <v>2382</v>
      </c>
      <c r="Q70" s="2253">
        <f ca="1">C39</f>
        <v>36922</v>
      </c>
      <c r="R70" s="2252" t="s">
        <v>2362</v>
      </c>
    </row>
    <row r="71" spans="1:18" ht="15.75" thickBot="1">
      <c r="O71" s="2254" t="s">
        <v>2383</v>
      </c>
      <c r="P71" s="2260" t="s">
        <v>2384</v>
      </c>
      <c r="Q71" s="2253">
        <f ca="1">C13</f>
        <v>230593</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866028</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2" zoomScale="90" zoomScaleNormal="60" zoomScaleSheetLayoutView="90" workbookViewId="0">
      <selection activeCell="I35" sqref="I35"/>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6.5" style="1289" customWidth="1"/>
    <col min="6" max="6" width="12.25" style="1289" customWidth="1"/>
    <col min="7" max="7" width="18.875" style="1289" customWidth="1"/>
    <col min="8" max="8" width="12.25" style="1289" customWidth="1"/>
    <col min="9" max="9" width="17"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197"/>
      <c r="M1" s="3198"/>
      <c r="N1" s="3198"/>
      <c r="O1" s="3198"/>
      <c r="P1" s="3261"/>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61"/>
      <c r="Q2" s="2012"/>
      <c r="R2" s="2012"/>
      <c r="S2" s="2012"/>
      <c r="T2" s="2012"/>
      <c r="U2" s="2012"/>
      <c r="V2" s="2012"/>
      <c r="W2" s="2012"/>
      <c r="X2" s="2012"/>
      <c r="Y2" s="2012"/>
      <c r="Z2" s="2012"/>
      <c r="AA2" s="2012"/>
      <c r="AB2" s="2012"/>
      <c r="AC2" s="3199"/>
    </row>
    <row r="3" spans="1:29" s="1288" customFormat="1" ht="28.5" customHeight="1" thickBot="1">
      <c r="A3" s="501" t="s">
        <v>511</v>
      </c>
      <c r="B3" s="502">
        <f>C50</f>
        <v>4</v>
      </c>
      <c r="C3" s="839" t="s">
        <v>714</v>
      </c>
      <c r="D3" s="838">
        <f>SUMIF('数据-汇总表'!$C19:$C33,D1,'数据-汇总表'!$E19:$E33)</f>
        <v>0</v>
      </c>
      <c r="E3" s="1942"/>
      <c r="F3" s="2009"/>
      <c r="G3" s="2008"/>
      <c r="H3" s="2008"/>
      <c r="I3" s="2008"/>
      <c r="J3" s="2008"/>
      <c r="K3" s="2010"/>
      <c r="L3" s="2011"/>
      <c r="M3" s="2012"/>
      <c r="N3" s="2012"/>
      <c r="O3" s="2012"/>
      <c r="P3" s="3261"/>
      <c r="Q3" s="2012"/>
      <c r="R3" s="2012"/>
      <c r="S3" s="2012"/>
      <c r="T3" s="2012"/>
      <c r="U3" s="2012"/>
      <c r="V3" s="2012"/>
      <c r="W3" s="2012"/>
      <c r="X3" s="2012"/>
      <c r="Y3" s="2012"/>
      <c r="Z3" s="2012"/>
      <c r="AA3" s="2012"/>
      <c r="AB3" s="2012"/>
      <c r="AC3" s="3199"/>
    </row>
    <row r="4" spans="1:29" ht="15">
      <c r="A4" s="504" t="s">
        <v>513</v>
      </c>
      <c r="B4" s="505"/>
      <c r="C4" s="3974" t="s">
        <v>514</v>
      </c>
      <c r="D4" s="3975"/>
      <c r="E4" s="4008" t="s">
        <v>515</v>
      </c>
      <c r="F4" s="4009"/>
      <c r="G4" s="3974" t="s">
        <v>516</v>
      </c>
      <c r="H4" s="3975"/>
      <c r="I4" s="3974" t="s">
        <v>517</v>
      </c>
      <c r="J4" s="3975"/>
      <c r="K4" s="506" t="s">
        <v>518</v>
      </c>
      <c r="L4" s="2013"/>
      <c r="M4" s="2014"/>
      <c r="N4" s="2014"/>
      <c r="O4" s="2014"/>
      <c r="P4" s="4138" t="s">
        <v>519</v>
      </c>
      <c r="Q4" s="3977"/>
      <c r="R4" s="3982" t="s">
        <v>515</v>
      </c>
      <c r="S4" s="3983"/>
      <c r="T4" s="3982" t="s">
        <v>516</v>
      </c>
      <c r="U4" s="3983"/>
      <c r="V4" s="3969" t="s">
        <v>517</v>
      </c>
      <c r="W4" s="3969"/>
      <c r="X4" s="1500"/>
      <c r="Y4" s="3982" t="s">
        <v>519</v>
      </c>
      <c r="Z4" s="3983"/>
      <c r="AA4" s="3971" t="s">
        <v>515</v>
      </c>
      <c r="AB4" s="3971" t="s">
        <v>516</v>
      </c>
      <c r="AC4" s="3971" t="s">
        <v>517</v>
      </c>
    </row>
    <row r="5" spans="1:29" ht="15">
      <c r="A5" s="507"/>
      <c r="B5" s="508"/>
      <c r="C5" s="3990" t="s">
        <v>2892</v>
      </c>
      <c r="D5" s="3991"/>
      <c r="E5" s="4010" t="str">
        <f>办公租金案例截图及地图!A1</f>
        <v>绿地中央广场</v>
      </c>
      <c r="F5" s="4011"/>
      <c r="G5" s="4136" t="s">
        <v>3163</v>
      </c>
      <c r="H5" s="3991"/>
      <c r="I5" s="4136" t="s">
        <v>3164</v>
      </c>
      <c r="J5" s="3991"/>
      <c r="K5" s="506"/>
      <c r="L5" s="2013"/>
      <c r="M5" s="2014"/>
      <c r="N5" s="2014"/>
      <c r="O5" s="2014"/>
      <c r="P5" s="4139"/>
      <c r="Q5" s="3979"/>
      <c r="R5" s="3984"/>
      <c r="S5" s="3985"/>
      <c r="T5" s="3984"/>
      <c r="U5" s="3985"/>
      <c r="V5" s="3969"/>
      <c r="W5" s="3969"/>
      <c r="X5" s="1500"/>
      <c r="Y5" s="3984"/>
      <c r="Z5" s="3985"/>
      <c r="AA5" s="3972"/>
      <c r="AB5" s="3972"/>
      <c r="AC5" s="3972"/>
    </row>
    <row r="6" spans="1:29" ht="15.75" thickBot="1">
      <c r="A6" s="509"/>
      <c r="B6" s="510"/>
      <c r="C6" s="3988" t="s">
        <v>2896</v>
      </c>
      <c r="D6" s="3989"/>
      <c r="E6" s="4006" t="s">
        <v>2896</v>
      </c>
      <c r="F6" s="4007"/>
      <c r="G6" s="3988" t="s">
        <v>2896</v>
      </c>
      <c r="H6" s="3989"/>
      <c r="I6" s="3988" t="s">
        <v>2896</v>
      </c>
      <c r="J6" s="3989"/>
      <c r="K6" s="506" t="s">
        <v>520</v>
      </c>
      <c r="L6" s="2013"/>
      <c r="M6" s="2014"/>
      <c r="N6" s="2014"/>
      <c r="O6" s="2014"/>
      <c r="P6" s="4140"/>
      <c r="Q6" s="3981"/>
      <c r="R6" s="3984"/>
      <c r="S6" s="3985"/>
      <c r="T6" s="3986"/>
      <c r="U6" s="3987"/>
      <c r="V6" s="3969"/>
      <c r="W6" s="3969"/>
      <c r="X6" s="1500"/>
      <c r="Y6" s="3986"/>
      <c r="Z6" s="3987"/>
      <c r="AA6" s="3973"/>
      <c r="AB6" s="3973"/>
      <c r="AC6" s="3973"/>
    </row>
    <row r="7" spans="1:29" s="1201" customFormat="1" ht="15.75" thickBot="1">
      <c r="A7" s="2627"/>
      <c r="B7" s="2634" t="s">
        <v>521</v>
      </c>
      <c r="C7" s="511">
        <f>'数据-取费表'!B2</f>
        <v>44545</v>
      </c>
      <c r="D7" s="512">
        <v>100</v>
      </c>
      <c r="E7" s="513">
        <v>44518</v>
      </c>
      <c r="F7" s="514">
        <f>SUMIF(59:59,YEAR(E7)&amp;"-"&amp;MONTH(E7),60:60)</f>
        <v>100</v>
      </c>
      <c r="G7" s="513">
        <v>44515</v>
      </c>
      <c r="H7" s="512">
        <f>SUMIF(59:59,YEAR(G7)&amp;"-"&amp;MONTH(G7),60:60)</f>
        <v>100</v>
      </c>
      <c r="I7" s="513">
        <v>44533</v>
      </c>
      <c r="J7" s="512">
        <f>SUMIF(59:59,YEAR(I7)&amp;"-"&amp;MONTH(I7),60:60)</f>
        <v>100</v>
      </c>
      <c r="K7" s="516"/>
      <c r="L7" s="2015"/>
      <c r="M7" s="2016"/>
      <c r="N7" s="2016"/>
      <c r="O7" s="2016"/>
      <c r="P7" s="4001" t="s">
        <v>522</v>
      </c>
      <c r="Q7" s="4001"/>
      <c r="R7" s="1501" t="s">
        <v>8</v>
      </c>
      <c r="S7" s="1502">
        <f t="shared" ref="S7:S15" si="0">F7</f>
        <v>100</v>
      </c>
      <c r="T7" s="1501" t="s">
        <v>8</v>
      </c>
      <c r="U7" s="1502">
        <f t="shared" ref="U7:U15" si="1">H7</f>
        <v>100</v>
      </c>
      <c r="V7" s="1501" t="s">
        <v>8</v>
      </c>
      <c r="W7" s="1502">
        <f t="shared" ref="W7:W15" si="2">J7</f>
        <v>100</v>
      </c>
      <c r="X7" s="1503"/>
      <c r="Y7" s="3999" t="s">
        <v>522</v>
      </c>
      <c r="Z7" s="4000"/>
      <c r="AA7" s="1504">
        <f>D7/F7</f>
        <v>1</v>
      </c>
      <c r="AB7" s="1504">
        <f>D7/H7</f>
        <v>1</v>
      </c>
      <c r="AC7" s="1504">
        <f>D7/J7</f>
        <v>1</v>
      </c>
    </row>
    <row r="8" spans="1:29" s="1201" customFormat="1" ht="15.75" thickBot="1">
      <c r="A8" s="2628"/>
      <c r="B8" s="2635" t="s">
        <v>523</v>
      </c>
      <c r="C8" s="517" t="s">
        <v>568</v>
      </c>
      <c r="D8" s="512">
        <v>100</v>
      </c>
      <c r="E8" s="517" t="s">
        <v>3066</v>
      </c>
      <c r="F8" s="514">
        <f>SUMIF(62:62,E8,63:63)-SUMIF(62:62,C8,63:63)+100</f>
        <v>100</v>
      </c>
      <c r="G8" s="517" t="s">
        <v>3066</v>
      </c>
      <c r="H8" s="512">
        <f>SUMIF(62:62,G8,63:63)-SUMIF(62:62,C8,63:63)+100</f>
        <v>100</v>
      </c>
      <c r="I8" s="517" t="s">
        <v>3066</v>
      </c>
      <c r="J8" s="512">
        <f>SUMIF(62:62,I8,63:63)-SUMIF(62:62,C8,63:63)+100</f>
        <v>100</v>
      </c>
      <c r="K8" s="516"/>
      <c r="L8" s="2015"/>
      <c r="M8" s="2016"/>
      <c r="N8" s="2016"/>
      <c r="O8" s="2016"/>
      <c r="P8" s="4001" t="s">
        <v>525</v>
      </c>
      <c r="Q8" s="4000"/>
      <c r="R8" s="1501" t="s">
        <v>8</v>
      </c>
      <c r="S8" s="1502">
        <f t="shared" si="0"/>
        <v>100</v>
      </c>
      <c r="T8" s="1501" t="s">
        <v>8</v>
      </c>
      <c r="U8" s="1502">
        <f t="shared" si="1"/>
        <v>100</v>
      </c>
      <c r="V8" s="1501" t="s">
        <v>8</v>
      </c>
      <c r="W8" s="1502">
        <f t="shared" si="2"/>
        <v>100</v>
      </c>
      <c r="X8" s="1503"/>
      <c r="Y8" s="3999" t="s">
        <v>525</v>
      </c>
      <c r="Z8" s="4000"/>
      <c r="AA8" s="1504">
        <f t="shared" ref="AA8:AA47" si="3">D8/F8</f>
        <v>1</v>
      </c>
      <c r="AB8" s="1504">
        <f t="shared" ref="AB8:AB47" si="4">D8/H8</f>
        <v>1</v>
      </c>
      <c r="AC8" s="1504">
        <f t="shared" ref="AC8:AC47" si="5">D8/J8</f>
        <v>1</v>
      </c>
    </row>
    <row r="9" spans="1:29" s="1201" customFormat="1" ht="15">
      <c r="A9" s="2629"/>
      <c r="B9" s="2636" t="s">
        <v>2734</v>
      </c>
      <c r="C9" s="3325" t="s">
        <v>3129</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968" t="s">
        <v>527</v>
      </c>
      <c r="Q9" s="1132" t="str">
        <f t="shared" ref="Q9:Q15" si="6">B9</f>
        <v>用途</v>
      </c>
      <c r="R9" s="1501" t="s">
        <v>8</v>
      </c>
      <c r="S9" s="1502">
        <f t="shared" si="0"/>
        <v>100</v>
      </c>
      <c r="T9" s="1501" t="s">
        <v>8</v>
      </c>
      <c r="U9" s="1502">
        <f t="shared" si="1"/>
        <v>100</v>
      </c>
      <c r="V9" s="1501" t="s">
        <v>8</v>
      </c>
      <c r="W9" s="1502">
        <f t="shared" si="2"/>
        <v>100</v>
      </c>
      <c r="X9" s="1503"/>
      <c r="Y9" s="3914" t="s">
        <v>528</v>
      </c>
      <c r="Z9" s="1131" t="str">
        <f t="shared" ref="Z9:Z15" si="7">Q9</f>
        <v>用途</v>
      </c>
      <c r="AA9" s="1504">
        <f t="shared" si="3"/>
        <v>1</v>
      </c>
      <c r="AB9" s="1504">
        <f t="shared" si="4"/>
        <v>1</v>
      </c>
      <c r="AC9" s="1504">
        <f t="shared" si="5"/>
        <v>1</v>
      </c>
    </row>
    <row r="10" spans="1:29" s="1290" customFormat="1" ht="27">
      <c r="A10" s="2630"/>
      <c r="B10" s="2635" t="s">
        <v>2735</v>
      </c>
      <c r="C10" s="848" t="s">
        <v>3130</v>
      </c>
      <c r="D10" s="251">
        <v>100</v>
      </c>
      <c r="E10" s="848" t="s">
        <v>3130</v>
      </c>
      <c r="F10" s="251">
        <f>SUMIF(66:66,E10,67:67)-SUMIF(66:66,C10,67:67)+100</f>
        <v>100</v>
      </c>
      <c r="G10" s="849" t="s">
        <v>3130</v>
      </c>
      <c r="H10" s="251">
        <f>SUMIF(66:66,G10,67:67)-SUMIF(66:66,C10,67:67)+100</f>
        <v>100</v>
      </c>
      <c r="I10" s="848" t="s">
        <v>3130</v>
      </c>
      <c r="J10" s="251">
        <f>SUMIF(66:66,I10,67:67)-SUMIF(66:66,C10,67:67)+100</f>
        <v>100</v>
      </c>
      <c r="K10" s="576"/>
      <c r="L10" s="2018"/>
      <c r="M10" s="2057"/>
      <c r="N10" s="2057"/>
      <c r="O10" s="2057"/>
      <c r="P10" s="3968"/>
      <c r="Q10" s="1132" t="str">
        <f t="shared" si="6"/>
        <v>土地使用年限（年）</v>
      </c>
      <c r="R10" s="1501" t="s">
        <v>8</v>
      </c>
      <c r="S10" s="1502">
        <f t="shared" si="0"/>
        <v>100</v>
      </c>
      <c r="T10" s="1501" t="s">
        <v>8</v>
      </c>
      <c r="U10" s="1502">
        <f t="shared" si="1"/>
        <v>100</v>
      </c>
      <c r="V10" s="1501" t="s">
        <v>8</v>
      </c>
      <c r="W10" s="1502">
        <f t="shared" si="2"/>
        <v>100</v>
      </c>
      <c r="X10" s="1503"/>
      <c r="Y10" s="3914"/>
      <c r="Z10" s="1131" t="str">
        <f t="shared" si="7"/>
        <v>土地使用年限（年）</v>
      </c>
      <c r="AA10" s="1504">
        <f t="shared" si="3"/>
        <v>1</v>
      </c>
      <c r="AB10" s="1504">
        <f t="shared" si="4"/>
        <v>1</v>
      </c>
      <c r="AC10" s="1504">
        <f t="shared" si="5"/>
        <v>1</v>
      </c>
    </row>
    <row r="11" spans="1:29" ht="15">
      <c r="A11" s="2631"/>
      <c r="B11" s="2635"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968"/>
      <c r="Q11" s="1132" t="str">
        <f t="shared" si="6"/>
        <v>容积率</v>
      </c>
      <c r="R11" s="1501" t="s">
        <v>8</v>
      </c>
      <c r="S11" s="1502">
        <f t="shared" si="0"/>
        <v>100</v>
      </c>
      <c r="T11" s="1501" t="s">
        <v>8</v>
      </c>
      <c r="U11" s="1502">
        <f t="shared" si="1"/>
        <v>100</v>
      </c>
      <c r="V11" s="1501" t="s">
        <v>8</v>
      </c>
      <c r="W11" s="1502">
        <f t="shared" si="2"/>
        <v>100</v>
      </c>
      <c r="X11" s="1503"/>
      <c r="Y11" s="3914"/>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968"/>
      <c r="Q12" s="1132">
        <f t="shared" si="6"/>
        <v>111</v>
      </c>
      <c r="R12" s="1501" t="s">
        <v>8</v>
      </c>
      <c r="S12" s="1502">
        <f t="shared" si="0"/>
        <v>100</v>
      </c>
      <c r="T12" s="1501" t="s">
        <v>8</v>
      </c>
      <c r="U12" s="1502">
        <f t="shared" si="1"/>
        <v>100</v>
      </c>
      <c r="V12" s="1501" t="s">
        <v>8</v>
      </c>
      <c r="W12" s="1502">
        <f t="shared" si="2"/>
        <v>100</v>
      </c>
      <c r="X12" s="1503"/>
      <c r="Y12" s="3914"/>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968"/>
      <c r="Q13" s="1132">
        <f t="shared" si="6"/>
        <v>111</v>
      </c>
      <c r="R13" s="1501" t="s">
        <v>8</v>
      </c>
      <c r="S13" s="1502">
        <f t="shared" si="0"/>
        <v>100</v>
      </c>
      <c r="T13" s="1501" t="s">
        <v>8</v>
      </c>
      <c r="U13" s="1502">
        <f t="shared" si="1"/>
        <v>100</v>
      </c>
      <c r="V13" s="1501" t="s">
        <v>8</v>
      </c>
      <c r="W13" s="1502">
        <f t="shared" si="2"/>
        <v>100</v>
      </c>
      <c r="X13" s="1503"/>
      <c r="Y13" s="3914"/>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968"/>
      <c r="Q14" s="1132">
        <f t="shared" si="6"/>
        <v>111</v>
      </c>
      <c r="R14" s="1501" t="s">
        <v>8</v>
      </c>
      <c r="S14" s="1502">
        <f t="shared" si="0"/>
        <v>100</v>
      </c>
      <c r="T14" s="1501" t="s">
        <v>8</v>
      </c>
      <c r="U14" s="1502">
        <f t="shared" si="1"/>
        <v>100</v>
      </c>
      <c r="V14" s="1501" t="s">
        <v>8</v>
      </c>
      <c r="W14" s="1502">
        <f t="shared" si="2"/>
        <v>100</v>
      </c>
      <c r="X14" s="1503"/>
      <c r="Y14" s="3914"/>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100</v>
      </c>
      <c r="G15" s="542"/>
      <c r="H15" s="541">
        <f>SUMIF(77:77,G16,78:78)-SUMIF(77:77,C16,78:78)+100</f>
        <v>100</v>
      </c>
      <c r="I15" s="542"/>
      <c r="J15" s="541">
        <f>SUMIF(77:77,I16,78:78)-SUMIF(77:77,C16,78:78)+100</f>
        <v>100</v>
      </c>
      <c r="K15" s="885">
        <v>2</v>
      </c>
      <c r="L15" s="2022"/>
      <c r="M15" s="2014"/>
      <c r="N15" s="2014"/>
      <c r="O15" s="2014"/>
      <c r="P15" s="4002" t="s">
        <v>532</v>
      </c>
      <c r="Q15" s="1505" t="str">
        <f t="shared" si="6"/>
        <v>办公集聚程度</v>
      </c>
      <c r="R15" s="1506" t="s">
        <v>8</v>
      </c>
      <c r="S15" s="1507">
        <f t="shared" si="0"/>
        <v>100</v>
      </c>
      <c r="T15" s="1506" t="s">
        <v>8</v>
      </c>
      <c r="U15" s="1507">
        <f t="shared" si="1"/>
        <v>100</v>
      </c>
      <c r="V15" s="1506" t="s">
        <v>8</v>
      </c>
      <c r="W15" s="1507">
        <f t="shared" si="2"/>
        <v>100</v>
      </c>
      <c r="X15" s="1500"/>
      <c r="Y15" s="4002" t="s">
        <v>532</v>
      </c>
      <c r="Z15" s="1508" t="str">
        <f t="shared" si="7"/>
        <v>办公集聚程度</v>
      </c>
      <c r="AA15" s="1509">
        <f t="shared" si="3"/>
        <v>1</v>
      </c>
      <c r="AB15" s="1509">
        <f t="shared" si="4"/>
        <v>1</v>
      </c>
      <c r="AC15" s="1509">
        <f t="shared" si="5"/>
        <v>1</v>
      </c>
    </row>
    <row r="16" spans="1:29" ht="15">
      <c r="A16" s="524"/>
      <c r="B16" s="545"/>
      <c r="C16" s="546" t="s">
        <v>3071</v>
      </c>
      <c r="D16" s="547"/>
      <c r="E16" s="568" t="s">
        <v>3071</v>
      </c>
      <c r="F16" s="547"/>
      <c r="G16" s="546" t="s">
        <v>3071</v>
      </c>
      <c r="H16" s="551"/>
      <c r="I16" s="568" t="s">
        <v>3071</v>
      </c>
      <c r="J16" s="547"/>
      <c r="K16" s="886"/>
      <c r="L16" s="2022"/>
      <c r="M16" s="2014"/>
      <c r="N16" s="2014"/>
      <c r="O16" s="2014"/>
      <c r="P16" s="4003"/>
      <c r="Q16" s="1505"/>
      <c r="R16" s="1506"/>
      <c r="S16" s="1507"/>
      <c r="T16" s="1506"/>
      <c r="U16" s="1507"/>
      <c r="V16" s="1506"/>
      <c r="W16" s="1507"/>
      <c r="X16" s="1500"/>
      <c r="Y16" s="4003"/>
      <c r="Z16" s="1508"/>
      <c r="AA16" s="1509">
        <v>1</v>
      </c>
      <c r="AB16" s="1509">
        <v>1</v>
      </c>
      <c r="AC16" s="1509">
        <v>1</v>
      </c>
    </row>
    <row r="17" spans="1:29" ht="87" customHeight="1">
      <c r="A17" s="524"/>
      <c r="B17" s="552" t="s">
        <v>294</v>
      </c>
      <c r="C17" s="3372" t="str">
        <f>估价对象房地状况!C6</f>
        <v>周边有通322路、342路、589路、667路、804路、808路、通19路、通41路、通62路等多条公交线路通过，距地铁6号线（北运河西站）约1公里，综合评价交通便捷度较好</v>
      </c>
      <c r="D17" s="3373">
        <v>100</v>
      </c>
      <c r="E17" s="3374"/>
      <c r="F17" s="3373">
        <f>SUMIF(79:79,E18,80:80)-SUMIF(79:79,C18,80:80)+100</f>
        <v>102</v>
      </c>
      <c r="G17" s="3375"/>
      <c r="H17" s="3376">
        <f>SUMIF(79:79,G18,80:80)-SUMIF(79:79,C18,80:80)+100</f>
        <v>102</v>
      </c>
      <c r="I17" s="3375"/>
      <c r="J17" s="3376">
        <f>SUMIF(79:79,I18,80:80)-SUMIF(79:79,C18,80:80)+100</f>
        <v>102</v>
      </c>
      <c r="K17" s="3377">
        <v>2</v>
      </c>
      <c r="L17" s="2022"/>
      <c r="M17" s="2014"/>
      <c r="N17" s="2014"/>
      <c r="O17" s="2014"/>
      <c r="P17" s="4003"/>
      <c r="Q17" s="1505" t="str">
        <f>B17</f>
        <v>交通便捷度</v>
      </c>
      <c r="R17" s="1506" t="s">
        <v>8</v>
      </c>
      <c r="S17" s="1507">
        <f>F17</f>
        <v>102</v>
      </c>
      <c r="T17" s="1506" t="s">
        <v>8</v>
      </c>
      <c r="U17" s="1507">
        <f>H17</f>
        <v>102</v>
      </c>
      <c r="V17" s="1506" t="s">
        <v>8</v>
      </c>
      <c r="W17" s="1507">
        <f>J17</f>
        <v>102</v>
      </c>
      <c r="X17" s="1500"/>
      <c r="Y17" s="4003"/>
      <c r="Z17" s="1508" t="str">
        <f>Q17</f>
        <v>交通便捷度</v>
      </c>
      <c r="AA17" s="1509">
        <f t="shared" si="3"/>
        <v>0.98039215686274506</v>
      </c>
      <c r="AB17" s="1509">
        <f t="shared" si="4"/>
        <v>0.98039215686274506</v>
      </c>
      <c r="AC17" s="1509">
        <f t="shared" si="5"/>
        <v>0.98039215686274506</v>
      </c>
    </row>
    <row r="18" spans="1:29" ht="15">
      <c r="A18" s="524"/>
      <c r="B18" s="558"/>
      <c r="C18" s="559" t="s">
        <v>3070</v>
      </c>
      <c r="D18" s="551"/>
      <c r="E18" s="561" t="s">
        <v>3071</v>
      </c>
      <c r="F18" s="551"/>
      <c r="G18" s="560" t="s">
        <v>3071</v>
      </c>
      <c r="H18" s="547"/>
      <c r="I18" s="560" t="s">
        <v>3071</v>
      </c>
      <c r="J18" s="547"/>
      <c r="K18" s="886"/>
      <c r="L18" s="2022"/>
      <c r="M18" s="2014"/>
      <c r="N18" s="2014"/>
      <c r="O18" s="2014"/>
      <c r="P18" s="4003"/>
      <c r="Q18" s="1505"/>
      <c r="R18" s="1506"/>
      <c r="S18" s="1507"/>
      <c r="T18" s="1506"/>
      <c r="U18" s="1507"/>
      <c r="V18" s="1506"/>
      <c r="W18" s="1507"/>
      <c r="X18" s="1500"/>
      <c r="Y18" s="4003"/>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100</v>
      </c>
      <c r="G19" s="562"/>
      <c r="H19" s="551">
        <f>SUMIF(81:81,G20,82:82)-SUMIF(81:81,C20,82:82)+100</f>
        <v>100</v>
      </c>
      <c r="I19" s="562"/>
      <c r="J19" s="551">
        <f>SUMIF(81:81,I20,82:82)-SUMIF(81:81,C20,82:82)+100</f>
        <v>100</v>
      </c>
      <c r="K19" s="885">
        <v>2</v>
      </c>
      <c r="L19" s="2022"/>
      <c r="M19" s="2014"/>
      <c r="N19" s="2014"/>
      <c r="O19" s="2014"/>
      <c r="P19" s="4003"/>
      <c r="Q19" s="1505" t="str">
        <f>B19</f>
        <v>公共配套设施</v>
      </c>
      <c r="R19" s="1506" t="s">
        <v>8</v>
      </c>
      <c r="S19" s="1507">
        <f>F19</f>
        <v>100</v>
      </c>
      <c r="T19" s="1506" t="s">
        <v>8</v>
      </c>
      <c r="U19" s="1507">
        <f>H19</f>
        <v>100</v>
      </c>
      <c r="V19" s="1506" t="s">
        <v>8</v>
      </c>
      <c r="W19" s="1507">
        <f>J19</f>
        <v>100</v>
      </c>
      <c r="X19" s="1500"/>
      <c r="Y19" s="4003"/>
      <c r="Z19" s="1508" t="str">
        <f>Q19</f>
        <v>公共配套设施</v>
      </c>
      <c r="AA19" s="1509">
        <f t="shared" si="3"/>
        <v>1</v>
      </c>
      <c r="AB19" s="1509">
        <f t="shared" si="4"/>
        <v>1</v>
      </c>
      <c r="AC19" s="1509">
        <f t="shared" si="5"/>
        <v>1</v>
      </c>
    </row>
    <row r="20" spans="1:29" ht="15">
      <c r="A20" s="524"/>
      <c r="B20" s="558"/>
      <c r="C20" s="546" t="s">
        <v>3071</v>
      </c>
      <c r="D20" s="547"/>
      <c r="E20" s="550" t="s">
        <v>3071</v>
      </c>
      <c r="F20" s="547"/>
      <c r="G20" s="548" t="s">
        <v>3071</v>
      </c>
      <c r="H20" s="547"/>
      <c r="I20" s="548" t="s">
        <v>3071</v>
      </c>
      <c r="J20" s="547"/>
      <c r="K20" s="886"/>
      <c r="L20" s="2022"/>
      <c r="M20" s="2014"/>
      <c r="N20" s="2014"/>
      <c r="O20" s="2014"/>
      <c r="P20" s="4003"/>
      <c r="Q20" s="1505"/>
      <c r="R20" s="1506"/>
      <c r="S20" s="1507"/>
      <c r="T20" s="1506"/>
      <c r="U20" s="1507"/>
      <c r="V20" s="1506"/>
      <c r="W20" s="1507"/>
      <c r="X20" s="1500"/>
      <c r="Y20" s="4003"/>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4003"/>
      <c r="Q21" s="2427" t="str">
        <f>B21</f>
        <v>基础设施水平</v>
      </c>
      <c r="R21" s="1506" t="s">
        <v>8</v>
      </c>
      <c r="S21" s="1507">
        <f>F21</f>
        <v>100</v>
      </c>
      <c r="T21" s="1506" t="s">
        <v>8</v>
      </c>
      <c r="U21" s="1507">
        <f>H21</f>
        <v>100</v>
      </c>
      <c r="V21" s="1506" t="s">
        <v>8</v>
      </c>
      <c r="W21" s="1507">
        <f>J21</f>
        <v>100</v>
      </c>
      <c r="X21" s="2429"/>
      <c r="Y21" s="4003"/>
      <c r="Z21" s="2428" t="str">
        <f>Q21</f>
        <v>基础设施水平</v>
      </c>
      <c r="AA21" s="1509">
        <f t="shared" ref="AA21" si="8">D21/F21</f>
        <v>1</v>
      </c>
      <c r="AB21" s="1509">
        <f t="shared" ref="AB21" si="9">D21/H21</f>
        <v>1</v>
      </c>
      <c r="AC21" s="1509">
        <f t="shared" ref="AC21" si="10">D21/J21</f>
        <v>1</v>
      </c>
    </row>
    <row r="22" spans="1:29" ht="15">
      <c r="A22" s="524"/>
      <c r="B22" s="570"/>
      <c r="C22" s="559" t="s">
        <v>3078</v>
      </c>
      <c r="D22" s="547"/>
      <c r="E22" s="568" t="s">
        <v>3078</v>
      </c>
      <c r="F22" s="547"/>
      <c r="G22" s="546" t="s">
        <v>3078</v>
      </c>
      <c r="H22" s="547"/>
      <c r="I22" s="546" t="s">
        <v>3078</v>
      </c>
      <c r="J22" s="547"/>
      <c r="K22" s="2444"/>
      <c r="L22" s="2022"/>
      <c r="M22" s="2014"/>
      <c r="N22" s="2014"/>
      <c r="O22" s="2014"/>
      <c r="P22" s="4003"/>
      <c r="Q22" s="2427"/>
      <c r="R22" s="1506"/>
      <c r="S22" s="1507"/>
      <c r="T22" s="1506"/>
      <c r="U22" s="1507"/>
      <c r="V22" s="1506"/>
      <c r="W22" s="1507"/>
      <c r="X22" s="2429"/>
      <c r="Y22" s="4003"/>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98</v>
      </c>
      <c r="G23" s="554"/>
      <c r="H23" s="551">
        <f>SUMIF(85:85,G24,86:86)-SUMIF(85:85,C24,86:86)+100</f>
        <v>98</v>
      </c>
      <c r="I23" s="554"/>
      <c r="J23" s="551">
        <f>SUMIF(85:85,I24,86:86)-SUMIF(85:85,C24,86:86)+100</f>
        <v>98</v>
      </c>
      <c r="K23" s="885">
        <v>2</v>
      </c>
      <c r="L23" s="2022"/>
      <c r="M23" s="2014"/>
      <c r="N23" s="2014"/>
      <c r="O23" s="2014"/>
      <c r="P23" s="4003"/>
      <c r="Q23" s="1505" t="str">
        <f>B23</f>
        <v>环境质量</v>
      </c>
      <c r="R23" s="1506" t="s">
        <v>8</v>
      </c>
      <c r="S23" s="1507">
        <f>F23</f>
        <v>98</v>
      </c>
      <c r="T23" s="1506" t="s">
        <v>8</v>
      </c>
      <c r="U23" s="1507">
        <f>H23</f>
        <v>98</v>
      </c>
      <c r="V23" s="1506" t="s">
        <v>8</v>
      </c>
      <c r="W23" s="1507">
        <f>J23</f>
        <v>98</v>
      </c>
      <c r="X23" s="1500"/>
      <c r="Y23" s="4003"/>
      <c r="Z23" s="1508" t="str">
        <f>Q23</f>
        <v>环境质量</v>
      </c>
      <c r="AA23" s="1509">
        <f t="shared" si="3"/>
        <v>1.0204081632653061</v>
      </c>
      <c r="AB23" s="1509">
        <f t="shared" si="4"/>
        <v>1.0204081632653061</v>
      </c>
      <c r="AC23" s="1509">
        <f t="shared" si="5"/>
        <v>1.0204081632653061</v>
      </c>
    </row>
    <row r="24" spans="1:29" ht="15">
      <c r="A24" s="524"/>
      <c r="B24" s="570"/>
      <c r="C24" s="546" t="s">
        <v>3077</v>
      </c>
      <c r="D24" s="547"/>
      <c r="E24" s="550" t="s">
        <v>3071</v>
      </c>
      <c r="F24" s="547"/>
      <c r="G24" s="548" t="s">
        <v>3071</v>
      </c>
      <c r="H24" s="547"/>
      <c r="I24" s="548" t="s">
        <v>3071</v>
      </c>
      <c r="J24" s="547"/>
      <c r="K24" s="886"/>
      <c r="L24" s="2022"/>
      <c r="M24" s="2014"/>
      <c r="N24" s="2014"/>
      <c r="O24" s="2014"/>
      <c r="P24" s="4003"/>
      <c r="Q24" s="1505"/>
      <c r="R24" s="1506"/>
      <c r="S24" s="1507"/>
      <c r="T24" s="1506"/>
      <c r="U24" s="1507"/>
      <c r="V24" s="1506"/>
      <c r="W24" s="1507"/>
      <c r="X24" s="1500"/>
      <c r="Y24" s="4003"/>
      <c r="Z24" s="1508"/>
      <c r="AA24" s="1509">
        <v>1</v>
      </c>
      <c r="AB24" s="1509">
        <v>1</v>
      </c>
      <c r="AC24" s="1509">
        <v>1</v>
      </c>
    </row>
    <row r="25" spans="1:29" ht="27">
      <c r="A25" s="507"/>
      <c r="B25" s="552" t="s">
        <v>540</v>
      </c>
      <c r="C25" s="899"/>
      <c r="D25" s="532">
        <v>100</v>
      </c>
      <c r="E25" s="531"/>
      <c r="F25" s="532">
        <f>SUMIF(87:87,E26,88:88)-SUMIF(87:87,C26,88:88)+100</f>
        <v>100</v>
      </c>
      <c r="G25" s="899"/>
      <c r="H25" s="532">
        <f>SUMIF(87:87,G26,88:88)-SUMIF(87:87,C26,88:88)+100</f>
        <v>100</v>
      </c>
      <c r="I25" s="531"/>
      <c r="J25" s="532">
        <f>SUMIF(87:87,I26,88:88)-SUMIF(87:87,C26,88:88)+100</f>
        <v>100</v>
      </c>
      <c r="K25" s="885">
        <v>2</v>
      </c>
      <c r="L25" s="2022"/>
      <c r="M25" s="2014"/>
      <c r="N25" s="2014"/>
      <c r="O25" s="2014"/>
      <c r="P25" s="4003"/>
      <c r="Q25" s="1505" t="str">
        <f>B25</f>
        <v>毗邻道路的类型与等级</v>
      </c>
      <c r="R25" s="1506" t="s">
        <v>8</v>
      </c>
      <c r="S25" s="1507">
        <f>F25</f>
        <v>100</v>
      </c>
      <c r="T25" s="1506" t="s">
        <v>8</v>
      </c>
      <c r="U25" s="1507">
        <f>H25</f>
        <v>100</v>
      </c>
      <c r="V25" s="1506" t="s">
        <v>8</v>
      </c>
      <c r="W25" s="1507">
        <f>J25</f>
        <v>100</v>
      </c>
      <c r="X25" s="1500"/>
      <c r="Y25" s="4003"/>
      <c r="Z25" s="1508" t="str">
        <f>Q25</f>
        <v>毗邻道路的类型与等级</v>
      </c>
      <c r="AA25" s="1509">
        <f t="shared" si="3"/>
        <v>1</v>
      </c>
      <c r="AB25" s="1509">
        <f t="shared" si="4"/>
        <v>1</v>
      </c>
      <c r="AC25" s="1509">
        <f t="shared" si="5"/>
        <v>1</v>
      </c>
    </row>
    <row r="26" spans="1:29" ht="15">
      <c r="A26" s="507"/>
      <c r="B26" s="558"/>
      <c r="C26" s="572" t="s">
        <v>3081</v>
      </c>
      <c r="D26" s="532"/>
      <c r="E26" s="575" t="s">
        <v>3081</v>
      </c>
      <c r="F26" s="532"/>
      <c r="G26" s="572" t="s">
        <v>3081</v>
      </c>
      <c r="H26" s="532"/>
      <c r="I26" s="575" t="s">
        <v>3081</v>
      </c>
      <c r="J26" s="532"/>
      <c r="K26" s="886"/>
      <c r="L26" s="2022"/>
      <c r="M26" s="2014"/>
      <c r="N26" s="2014"/>
      <c r="O26" s="2014"/>
      <c r="P26" s="4003"/>
      <c r="Q26" s="1505"/>
      <c r="R26" s="1506"/>
      <c r="S26" s="1507"/>
      <c r="T26" s="1506"/>
      <c r="U26" s="1507"/>
      <c r="V26" s="1506"/>
      <c r="W26" s="1507"/>
      <c r="X26" s="1500"/>
      <c r="Y26" s="4003"/>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4003"/>
      <c r="Q27" s="1505" t="str">
        <f t="shared" ref="Q27:Q47" si="11">B27</f>
        <v>楼层</v>
      </c>
      <c r="R27" s="1506" t="s">
        <v>8</v>
      </c>
      <c r="S27" s="1507">
        <f>F27</f>
        <v>100</v>
      </c>
      <c r="T27" s="1506" t="s">
        <v>8</v>
      </c>
      <c r="U27" s="1507">
        <f>H27</f>
        <v>100</v>
      </c>
      <c r="V27" s="1506" t="s">
        <v>8</v>
      </c>
      <c r="W27" s="1507">
        <f>J27</f>
        <v>100</v>
      </c>
      <c r="X27" s="1500"/>
      <c r="Y27" s="4003"/>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4003"/>
      <c r="Q28" s="1132" t="str">
        <f t="shared" si="11"/>
        <v>朝向</v>
      </c>
      <c r="R28" s="1501" t="s">
        <v>8</v>
      </c>
      <c r="S28" s="1502">
        <f>F28</f>
        <v>100</v>
      </c>
      <c r="T28" s="1501" t="s">
        <v>8</v>
      </c>
      <c r="U28" s="1502">
        <f>H28</f>
        <v>100</v>
      </c>
      <c r="V28" s="1501" t="s">
        <v>8</v>
      </c>
      <c r="W28" s="1502">
        <f>J28</f>
        <v>100</v>
      </c>
      <c r="X28" s="1503"/>
      <c r="Y28" s="4003"/>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4003"/>
      <c r="Q29" s="1505">
        <f t="shared" si="11"/>
        <v>111</v>
      </c>
      <c r="R29" s="1506" t="s">
        <v>8</v>
      </c>
      <c r="S29" s="1507">
        <f t="shared" ref="S29:S47" si="12">F29</f>
        <v>100</v>
      </c>
      <c r="T29" s="1506" t="s">
        <v>8</v>
      </c>
      <c r="U29" s="1507">
        <f t="shared" ref="U29:U47" si="13">H29</f>
        <v>100</v>
      </c>
      <c r="V29" s="1506" t="s">
        <v>8</v>
      </c>
      <c r="W29" s="1507">
        <f t="shared" ref="W29:W47" si="14">J29</f>
        <v>100</v>
      </c>
      <c r="X29" s="1500"/>
      <c r="Y29" s="4003"/>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4003"/>
      <c r="Q30" s="1505">
        <f t="shared" si="11"/>
        <v>111</v>
      </c>
      <c r="R30" s="1506" t="s">
        <v>8</v>
      </c>
      <c r="S30" s="1507">
        <f t="shared" si="12"/>
        <v>100</v>
      </c>
      <c r="T30" s="1506" t="s">
        <v>8</v>
      </c>
      <c r="U30" s="1507">
        <f t="shared" si="13"/>
        <v>100</v>
      </c>
      <c r="V30" s="1506" t="s">
        <v>8</v>
      </c>
      <c r="W30" s="1507">
        <f t="shared" si="14"/>
        <v>100</v>
      </c>
      <c r="X30" s="1500"/>
      <c r="Y30" s="4003"/>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4003"/>
      <c r="Q31" s="1505">
        <f t="shared" si="11"/>
        <v>111</v>
      </c>
      <c r="R31" s="1506" t="s">
        <v>8</v>
      </c>
      <c r="S31" s="1507">
        <f t="shared" si="12"/>
        <v>100</v>
      </c>
      <c r="T31" s="1506" t="s">
        <v>8</v>
      </c>
      <c r="U31" s="1507">
        <f t="shared" si="13"/>
        <v>100</v>
      </c>
      <c r="V31" s="1506" t="s">
        <v>8</v>
      </c>
      <c r="W31" s="1507">
        <f t="shared" si="14"/>
        <v>100</v>
      </c>
      <c r="X31" s="1500"/>
      <c r="Y31" s="4003"/>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4003"/>
      <c r="Q32" s="1505">
        <f t="shared" si="11"/>
        <v>111</v>
      </c>
      <c r="R32" s="1506" t="s">
        <v>8</v>
      </c>
      <c r="S32" s="1507">
        <f t="shared" si="12"/>
        <v>100</v>
      </c>
      <c r="T32" s="1506" t="s">
        <v>8</v>
      </c>
      <c r="U32" s="1507">
        <f t="shared" si="13"/>
        <v>100</v>
      </c>
      <c r="V32" s="1506" t="s">
        <v>8</v>
      </c>
      <c r="W32" s="1507">
        <f t="shared" si="14"/>
        <v>100</v>
      </c>
      <c r="X32" s="1500"/>
      <c r="Y32" s="4003"/>
      <c r="Z32" s="1508">
        <f t="shared" si="15"/>
        <v>111</v>
      </c>
      <c r="AA32" s="1509">
        <f t="shared" si="3"/>
        <v>1</v>
      </c>
      <c r="AB32" s="1509">
        <f t="shared" si="4"/>
        <v>1</v>
      </c>
      <c r="AC32" s="1509">
        <f t="shared" si="5"/>
        <v>1</v>
      </c>
    </row>
    <row r="33" spans="1:29" ht="15">
      <c r="A33" s="2622" t="s">
        <v>2733</v>
      </c>
      <c r="B33" s="169" t="s">
        <v>772</v>
      </c>
      <c r="C33" s="903" t="s">
        <v>3140</v>
      </c>
      <c r="D33" s="589">
        <v>100</v>
      </c>
      <c r="E33" s="903" t="s">
        <v>3140</v>
      </c>
      <c r="F33" s="567">
        <f>SUMIF(101:101,E33,102:102)-SUMIF(101:101,C33,102:102)+100</f>
        <v>100</v>
      </c>
      <c r="G33" s="903" t="s">
        <v>3140</v>
      </c>
      <c r="H33" s="532">
        <f>SUMIF(101:101,G33,102:102)-SUMIF(101:101,C33,102:102)+100</f>
        <v>100</v>
      </c>
      <c r="I33" s="903" t="s">
        <v>3140</v>
      </c>
      <c r="J33" s="589">
        <f>SUMIF(101:101,I33,102:102)-SUMIF(101:101,C33,102:102)+100</f>
        <v>100</v>
      </c>
      <c r="K33" s="576">
        <v>2</v>
      </c>
      <c r="L33" s="2022"/>
      <c r="M33" s="2014"/>
      <c r="N33" s="2014"/>
      <c r="O33" s="2014"/>
      <c r="P33" s="4004" t="s">
        <v>542</v>
      </c>
      <c r="Q33" s="1505" t="str">
        <f t="shared" si="11"/>
        <v>建筑类型</v>
      </c>
      <c r="R33" s="1506" t="s">
        <v>8</v>
      </c>
      <c r="S33" s="1507">
        <f t="shared" si="12"/>
        <v>100</v>
      </c>
      <c r="T33" s="1506" t="s">
        <v>8</v>
      </c>
      <c r="U33" s="1507">
        <f t="shared" si="13"/>
        <v>100</v>
      </c>
      <c r="V33" s="1506" t="s">
        <v>8</v>
      </c>
      <c r="W33" s="1507">
        <f t="shared" si="14"/>
        <v>100</v>
      </c>
      <c r="X33" s="1500"/>
      <c r="Y33" s="4005" t="s">
        <v>542</v>
      </c>
      <c r="Z33" s="1508" t="str">
        <f t="shared" si="15"/>
        <v>建筑类型</v>
      </c>
      <c r="AA33" s="1509">
        <f t="shared" si="3"/>
        <v>1</v>
      </c>
      <c r="AB33" s="1509">
        <f t="shared" si="4"/>
        <v>1</v>
      </c>
      <c r="AC33" s="1509">
        <f t="shared" si="5"/>
        <v>1</v>
      </c>
    </row>
    <row r="34" spans="1:29" s="1291" customFormat="1" ht="15">
      <c r="A34" s="595"/>
      <c r="B34" s="519" t="s">
        <v>718</v>
      </c>
      <c r="C34" s="867">
        <f>'不动产比较法-商业租金'!C33</f>
        <v>302100</v>
      </c>
      <c r="D34" s="251">
        <v>100</v>
      </c>
      <c r="E34" s="526">
        <v>200000</v>
      </c>
      <c r="F34" s="850">
        <f>LOOKUP(E34,104:104,105:105)-LOOKUP(C34,104:104,105:105)+100</f>
        <v>100</v>
      </c>
      <c r="G34" s="525">
        <v>150000</v>
      </c>
      <c r="H34" s="251">
        <f>LOOKUP(G34,104:104,105:105)-LOOKUP(C34,104:104,105:105)+100</f>
        <v>101</v>
      </c>
      <c r="I34" s="525">
        <v>30000</v>
      </c>
      <c r="J34" s="251">
        <f>LOOKUP(I34,104:104,105:105)-LOOKUP(C34,104:104,105:105)+100</f>
        <v>103</v>
      </c>
      <c r="K34" s="573"/>
      <c r="L34" s="2020"/>
      <c r="M34" s="2050"/>
      <c r="N34" s="2050"/>
      <c r="O34" s="2050"/>
      <c r="P34" s="4005"/>
      <c r="Q34" s="1534" t="str">
        <f t="shared" si="11"/>
        <v>项目建筑规模</v>
      </c>
      <c r="R34" s="1510" t="s">
        <v>8</v>
      </c>
      <c r="S34" s="1511">
        <f t="shared" si="12"/>
        <v>100</v>
      </c>
      <c r="T34" s="1510" t="s">
        <v>8</v>
      </c>
      <c r="U34" s="1511">
        <f t="shared" si="13"/>
        <v>101</v>
      </c>
      <c r="V34" s="1510" t="s">
        <v>8</v>
      </c>
      <c r="W34" s="1511">
        <f t="shared" si="14"/>
        <v>103</v>
      </c>
      <c r="X34" s="1512"/>
      <c r="Y34" s="4005"/>
      <c r="Z34" s="1513" t="str">
        <f t="shared" si="15"/>
        <v>项目建筑规模</v>
      </c>
      <c r="AA34" s="1509">
        <f t="shared" si="3"/>
        <v>1</v>
      </c>
      <c r="AB34" s="1509">
        <f t="shared" si="4"/>
        <v>0.99009900990099009</v>
      </c>
      <c r="AC34" s="1509">
        <f t="shared" si="5"/>
        <v>0.970873786407767</v>
      </c>
    </row>
    <row r="35" spans="1:29" ht="15">
      <c r="A35" s="586"/>
      <c r="B35" s="519" t="s">
        <v>719</v>
      </c>
      <c r="C35" s="566" t="s">
        <v>3076</v>
      </c>
      <c r="D35" s="532">
        <v>100</v>
      </c>
      <c r="E35" s="566" t="s">
        <v>3076</v>
      </c>
      <c r="F35" s="567">
        <f>SUMIF(106:106,E35,107:107)-SUMIF(106:106,C35,107:107)+100</f>
        <v>100</v>
      </c>
      <c r="G35" s="566" t="s">
        <v>3076</v>
      </c>
      <c r="H35" s="532">
        <f>SUMIF(106:106,G35,107:107)-SUMIF(106:106,C35,107:107)+100</f>
        <v>100</v>
      </c>
      <c r="I35" s="566" t="s">
        <v>3076</v>
      </c>
      <c r="J35" s="532">
        <f>SUMIF(106:106,I35,107:107)-SUMIF(106:106,C35,107:107)+100</f>
        <v>100</v>
      </c>
      <c r="K35" s="576">
        <v>2</v>
      </c>
      <c r="L35" s="2022"/>
      <c r="M35" s="2014"/>
      <c r="N35" s="2014"/>
      <c r="O35" s="2014"/>
      <c r="P35" s="4005"/>
      <c r="Q35" s="1505" t="str">
        <f t="shared" si="11"/>
        <v>建筑结构</v>
      </c>
      <c r="R35" s="1506" t="s">
        <v>8</v>
      </c>
      <c r="S35" s="1507">
        <f t="shared" si="12"/>
        <v>100</v>
      </c>
      <c r="T35" s="1506" t="s">
        <v>8</v>
      </c>
      <c r="U35" s="1507">
        <f t="shared" si="13"/>
        <v>100</v>
      </c>
      <c r="V35" s="1506" t="s">
        <v>8</v>
      </c>
      <c r="W35" s="1507">
        <f t="shared" si="14"/>
        <v>100</v>
      </c>
      <c r="X35" s="1500"/>
      <c r="Y35" s="4005"/>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4005"/>
      <c r="Q36" s="1505" t="str">
        <f t="shared" si="11"/>
        <v>公共部分装修</v>
      </c>
      <c r="R36" s="1506" t="s">
        <v>8</v>
      </c>
      <c r="S36" s="1507">
        <f t="shared" si="12"/>
        <v>100</v>
      </c>
      <c r="T36" s="1506" t="s">
        <v>8</v>
      </c>
      <c r="U36" s="1507">
        <f t="shared" si="13"/>
        <v>100</v>
      </c>
      <c r="V36" s="1506" t="s">
        <v>8</v>
      </c>
      <c r="W36" s="1507">
        <f t="shared" si="14"/>
        <v>100</v>
      </c>
      <c r="X36" s="1500"/>
      <c r="Y36" s="4005"/>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2"/>
      <c r="M37" s="2014"/>
      <c r="N37" s="2014"/>
      <c r="O37" s="2014"/>
      <c r="P37" s="4005"/>
      <c r="Q37" s="1505" t="str">
        <f t="shared" si="11"/>
        <v>成新度</v>
      </c>
      <c r="R37" s="1506" t="s">
        <v>8</v>
      </c>
      <c r="S37" s="1507">
        <f t="shared" si="12"/>
        <v>97</v>
      </c>
      <c r="T37" s="1506" t="s">
        <v>8</v>
      </c>
      <c r="U37" s="1507">
        <f t="shared" si="13"/>
        <v>97</v>
      </c>
      <c r="V37" s="1506" t="s">
        <v>8</v>
      </c>
      <c r="W37" s="1507">
        <f t="shared" si="14"/>
        <v>97</v>
      </c>
      <c r="X37" s="1500"/>
      <c r="Y37" s="4005"/>
      <c r="Z37" s="1508" t="str">
        <f t="shared" si="15"/>
        <v>成新度</v>
      </c>
      <c r="AA37" s="1509">
        <f t="shared" si="3"/>
        <v>1.0309278350515463</v>
      </c>
      <c r="AB37" s="1509">
        <f t="shared" si="4"/>
        <v>1.0309278350515463</v>
      </c>
      <c r="AC37" s="1509">
        <f t="shared" si="5"/>
        <v>1.0309278350515463</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4005"/>
      <c r="Q38" s="1132" t="str">
        <f t="shared" si="11"/>
        <v>写字楼等级</v>
      </c>
      <c r="R38" s="1501" t="s">
        <v>8</v>
      </c>
      <c r="S38" s="1502">
        <f t="shared" si="12"/>
        <v>100</v>
      </c>
      <c r="T38" s="1501" t="s">
        <v>8</v>
      </c>
      <c r="U38" s="1502">
        <f t="shared" si="13"/>
        <v>100</v>
      </c>
      <c r="V38" s="1501" t="s">
        <v>8</v>
      </c>
      <c r="W38" s="1502">
        <f t="shared" si="14"/>
        <v>100</v>
      </c>
      <c r="X38" s="1503"/>
      <c r="Y38" s="4005"/>
      <c r="Z38" s="1131" t="str">
        <f t="shared" si="15"/>
        <v>写字楼等级</v>
      </c>
      <c r="AA38" s="1504">
        <f t="shared" si="3"/>
        <v>1</v>
      </c>
      <c r="AB38" s="1504">
        <f t="shared" si="4"/>
        <v>1</v>
      </c>
      <c r="AC38" s="1504">
        <f t="shared" si="5"/>
        <v>1</v>
      </c>
    </row>
    <row r="39" spans="1:29" ht="15">
      <c r="A39" s="586"/>
      <c r="B39" s="519" t="s">
        <v>774</v>
      </c>
      <c r="C39" s="566" t="s">
        <v>3143</v>
      </c>
      <c r="D39" s="532">
        <v>100</v>
      </c>
      <c r="E39" s="566" t="s">
        <v>3143</v>
      </c>
      <c r="F39" s="567">
        <f>SUMIF(115:115,E39,116:116)-SUMIF(115:115,C39,116:116)+100</f>
        <v>100</v>
      </c>
      <c r="G39" s="566" t="s">
        <v>3143</v>
      </c>
      <c r="H39" s="532">
        <f>SUMIF(115:115,G39,116:116)-SUMIF(115:115,C39,116:116)+100</f>
        <v>100</v>
      </c>
      <c r="I39" s="566" t="s">
        <v>3143</v>
      </c>
      <c r="J39" s="532">
        <f>SUMIF(115:115,I39,116:116)-SUMIF(115:115,C39,116:116)+100</f>
        <v>100</v>
      </c>
      <c r="K39" s="576">
        <v>2</v>
      </c>
      <c r="L39" s="2022"/>
      <c r="M39" s="2014"/>
      <c r="N39" s="2014"/>
      <c r="O39" s="2014"/>
      <c r="P39" s="4005" t="s">
        <v>542</v>
      </c>
      <c r="Q39" s="1505" t="str">
        <f t="shared" si="11"/>
        <v>物业管理</v>
      </c>
      <c r="R39" s="1506" t="s">
        <v>8</v>
      </c>
      <c r="S39" s="1507">
        <f t="shared" si="12"/>
        <v>100</v>
      </c>
      <c r="T39" s="1506" t="s">
        <v>8</v>
      </c>
      <c r="U39" s="1507">
        <f t="shared" si="13"/>
        <v>100</v>
      </c>
      <c r="V39" s="1506" t="s">
        <v>8</v>
      </c>
      <c r="W39" s="1507">
        <f t="shared" si="14"/>
        <v>100</v>
      </c>
      <c r="X39" s="1500"/>
      <c r="Y39" s="4005"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4005"/>
      <c r="Q40" s="1505" t="str">
        <f t="shared" si="11"/>
        <v>市政基础设施</v>
      </c>
      <c r="R40" s="1506" t="s">
        <v>8</v>
      </c>
      <c r="S40" s="1507">
        <f t="shared" si="12"/>
        <v>100</v>
      </c>
      <c r="T40" s="1506" t="s">
        <v>8</v>
      </c>
      <c r="U40" s="1507">
        <f t="shared" si="13"/>
        <v>100</v>
      </c>
      <c r="V40" s="1506" t="s">
        <v>8</v>
      </c>
      <c r="W40" s="1507">
        <f t="shared" si="14"/>
        <v>100</v>
      </c>
      <c r="X40" s="1500"/>
      <c r="Y40" s="4005"/>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4005"/>
      <c r="Q41" s="1505" t="str">
        <f t="shared" si="11"/>
        <v>层高</v>
      </c>
      <c r="R41" s="1506" t="s">
        <v>8</v>
      </c>
      <c r="S41" s="1507">
        <f t="shared" si="12"/>
        <v>100</v>
      </c>
      <c r="T41" s="1506" t="s">
        <v>8</v>
      </c>
      <c r="U41" s="1507">
        <f t="shared" si="13"/>
        <v>100</v>
      </c>
      <c r="V41" s="1506" t="s">
        <v>8</v>
      </c>
      <c r="W41" s="1507">
        <f t="shared" si="14"/>
        <v>100</v>
      </c>
      <c r="X41" s="1500"/>
      <c r="Y41" s="4005"/>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4005"/>
      <c r="Q42" s="1534" t="str">
        <f t="shared" si="11"/>
        <v>单套建筑面积</v>
      </c>
      <c r="R42" s="1510" t="s">
        <v>8</v>
      </c>
      <c r="S42" s="1511">
        <f t="shared" si="12"/>
        <v>100</v>
      </c>
      <c r="T42" s="1510" t="s">
        <v>8</v>
      </c>
      <c r="U42" s="1511">
        <f t="shared" si="13"/>
        <v>100</v>
      </c>
      <c r="V42" s="1510" t="s">
        <v>8</v>
      </c>
      <c r="W42" s="1511">
        <f t="shared" si="14"/>
        <v>100</v>
      </c>
      <c r="X42" s="1512"/>
      <c r="Y42" s="4005"/>
      <c r="Z42" s="1513" t="str">
        <f t="shared" si="15"/>
        <v>单套建筑面积</v>
      </c>
      <c r="AA42" s="1509">
        <f t="shared" si="3"/>
        <v>1</v>
      </c>
      <c r="AB42" s="1509">
        <f t="shared" si="4"/>
        <v>1</v>
      </c>
      <c r="AC42" s="1509">
        <f t="shared" si="5"/>
        <v>1</v>
      </c>
    </row>
    <row r="43" spans="1:29" ht="15.75" thickBot="1">
      <c r="A43" s="586"/>
      <c r="B43" s="519" t="s">
        <v>762</v>
      </c>
      <c r="C43" s="566" t="s">
        <v>3111</v>
      </c>
      <c r="D43" s="532">
        <v>100</v>
      </c>
      <c r="E43" s="566" t="s">
        <v>3109</v>
      </c>
      <c r="F43" s="567">
        <f>SUMIF(123:123,E43,124:124)-SUMIF(123:123,C43,124:124)+100</f>
        <v>101</v>
      </c>
      <c r="G43" s="566" t="s">
        <v>3109</v>
      </c>
      <c r="H43" s="532">
        <f>SUMIF(123:123,G43,124:124)-SUMIF(123:123,C43,124:124)+100</f>
        <v>101</v>
      </c>
      <c r="I43" s="566" t="s">
        <v>3171</v>
      </c>
      <c r="J43" s="532">
        <f>SUMIF(123:123,I43,124:124)-SUMIF(123:123,C43,124:124)+100</f>
        <v>99</v>
      </c>
      <c r="K43" s="576">
        <v>1</v>
      </c>
      <c r="L43" s="2022"/>
      <c r="M43" s="2014"/>
      <c r="N43" s="2014"/>
      <c r="O43" s="2014"/>
      <c r="P43" s="4005"/>
      <c r="Q43" s="1505" t="str">
        <f t="shared" si="11"/>
        <v>内部装修</v>
      </c>
      <c r="R43" s="1506" t="s">
        <v>8</v>
      </c>
      <c r="S43" s="1507">
        <f t="shared" si="12"/>
        <v>101</v>
      </c>
      <c r="T43" s="1506" t="s">
        <v>8</v>
      </c>
      <c r="U43" s="1507">
        <f t="shared" si="13"/>
        <v>101</v>
      </c>
      <c r="V43" s="1506" t="s">
        <v>8</v>
      </c>
      <c r="W43" s="1507">
        <f t="shared" si="14"/>
        <v>99</v>
      </c>
      <c r="X43" s="1500"/>
      <c r="Y43" s="4005"/>
      <c r="Z43" s="1508" t="str">
        <f t="shared" si="15"/>
        <v>内部装修</v>
      </c>
      <c r="AA43" s="1509">
        <f t="shared" si="3"/>
        <v>0.99009900990099009</v>
      </c>
      <c r="AB43" s="1509">
        <f t="shared" si="4"/>
        <v>0.99009900990099009</v>
      </c>
      <c r="AC43" s="1509">
        <f t="shared" si="5"/>
        <v>1.0101010101010102</v>
      </c>
    </row>
    <row r="44" spans="1:29" ht="27" hidden="1">
      <c r="A44" s="586"/>
      <c r="B44" s="519" t="s">
        <v>727</v>
      </c>
      <c r="C44" s="566" t="s">
        <v>3077</v>
      </c>
      <c r="D44" s="532">
        <v>100</v>
      </c>
      <c r="E44" s="591" t="s">
        <v>3077</v>
      </c>
      <c r="F44" s="567">
        <f>SUMIF(125:125,E44,126:126)-SUMIF(125:125,C44,126:126)+100</f>
        <v>100</v>
      </c>
      <c r="G44" s="591" t="s">
        <v>3077</v>
      </c>
      <c r="H44" s="532">
        <f>SUMIF(125:125,G44,126:126)-SUMIF(125:125,C44,126:126)+100</f>
        <v>100</v>
      </c>
      <c r="I44" s="591" t="s">
        <v>3077</v>
      </c>
      <c r="J44" s="532">
        <f>SUMIF(125:125,I44,126:126)-SUMIF(125:125,C44,126:126)+100</f>
        <v>100</v>
      </c>
      <c r="K44" s="576"/>
      <c r="L44" s="2022"/>
      <c r="M44" s="2014"/>
      <c r="N44" s="2014"/>
      <c r="O44" s="2014"/>
      <c r="P44" s="4005"/>
      <c r="Q44" s="1505" t="str">
        <f t="shared" si="11"/>
        <v>内部装修维护情况</v>
      </c>
      <c r="R44" s="1506" t="s">
        <v>8</v>
      </c>
      <c r="S44" s="1507">
        <f t="shared" si="12"/>
        <v>100</v>
      </c>
      <c r="T44" s="1506" t="s">
        <v>8</v>
      </c>
      <c r="U44" s="1507">
        <f t="shared" si="13"/>
        <v>100</v>
      </c>
      <c r="V44" s="1506" t="s">
        <v>8</v>
      </c>
      <c r="W44" s="1507">
        <f t="shared" si="14"/>
        <v>100</v>
      </c>
      <c r="X44" s="1500"/>
      <c r="Y44" s="4005"/>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4005"/>
      <c r="Q45" s="1132">
        <f t="shared" si="11"/>
        <v>111</v>
      </c>
      <c r="R45" s="1501" t="s">
        <v>8</v>
      </c>
      <c r="S45" s="1502">
        <f t="shared" si="12"/>
        <v>100</v>
      </c>
      <c r="T45" s="1501" t="s">
        <v>8</v>
      </c>
      <c r="U45" s="1502">
        <f t="shared" si="13"/>
        <v>100</v>
      </c>
      <c r="V45" s="1501" t="s">
        <v>8</v>
      </c>
      <c r="W45" s="1502">
        <f t="shared" si="14"/>
        <v>100</v>
      </c>
      <c r="X45" s="1503"/>
      <c r="Y45" s="4005"/>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4005"/>
      <c r="Q46" s="1505">
        <f t="shared" si="11"/>
        <v>111</v>
      </c>
      <c r="R46" s="1506" t="s">
        <v>8</v>
      </c>
      <c r="S46" s="1507">
        <f t="shared" si="12"/>
        <v>100</v>
      </c>
      <c r="T46" s="1506" t="s">
        <v>8</v>
      </c>
      <c r="U46" s="1507">
        <f t="shared" si="13"/>
        <v>100</v>
      </c>
      <c r="V46" s="1506" t="s">
        <v>8</v>
      </c>
      <c r="W46" s="1507">
        <f t="shared" si="14"/>
        <v>100</v>
      </c>
      <c r="X46" s="1500"/>
      <c r="Y46" s="4005"/>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4127"/>
      <c r="Q47" s="1505">
        <f t="shared" si="11"/>
        <v>111</v>
      </c>
      <c r="R47" s="1506" t="s">
        <v>8</v>
      </c>
      <c r="S47" s="1507">
        <f t="shared" si="12"/>
        <v>100</v>
      </c>
      <c r="T47" s="1506" t="s">
        <v>8</v>
      </c>
      <c r="U47" s="1507">
        <f t="shared" si="13"/>
        <v>100</v>
      </c>
      <c r="V47" s="1506" t="s">
        <v>8</v>
      </c>
      <c r="W47" s="1507">
        <f t="shared" si="14"/>
        <v>100</v>
      </c>
      <c r="X47" s="1500"/>
      <c r="Y47" s="4127"/>
      <c r="Z47" s="1508">
        <f t="shared" si="15"/>
        <v>111</v>
      </c>
      <c r="AA47" s="1509">
        <f t="shared" si="3"/>
        <v>1</v>
      </c>
      <c r="AB47" s="1509">
        <f t="shared" si="4"/>
        <v>1</v>
      </c>
      <c r="AC47" s="1509">
        <f t="shared" si="5"/>
        <v>1</v>
      </c>
    </row>
    <row r="48" spans="1:29" ht="15">
      <c r="A48" s="599" t="s">
        <v>728</v>
      </c>
      <c r="B48" s="874"/>
      <c r="C48" s="2468" t="s">
        <v>1</v>
      </c>
      <c r="D48" s="2469"/>
      <c r="E48" s="2470">
        <v>3.5</v>
      </c>
      <c r="F48" s="2471"/>
      <c r="G48" s="2472">
        <v>4</v>
      </c>
      <c r="H48" s="2473"/>
      <c r="I48" s="2470">
        <v>4.3</v>
      </c>
      <c r="J48" s="2473"/>
      <c r="K48" s="1539"/>
      <c r="L48" s="2024"/>
      <c r="M48" s="2014"/>
      <c r="N48" s="2014"/>
      <c r="O48" s="2014"/>
      <c r="P48" s="3966" t="str">
        <f>A48</f>
        <v>成交单价（元/平方米）</v>
      </c>
      <c r="Q48" s="3968"/>
      <c r="R48" s="4126">
        <f>E48</f>
        <v>3.5</v>
      </c>
      <c r="S48" s="4126"/>
      <c r="T48" s="4126">
        <f>G48</f>
        <v>4</v>
      </c>
      <c r="U48" s="4126"/>
      <c r="V48" s="4126">
        <f>I48</f>
        <v>4.3</v>
      </c>
      <c r="W48" s="4126"/>
      <c r="X48" s="1495"/>
      <c r="Y48" s="1514"/>
      <c r="Z48" s="1495"/>
      <c r="AA48" s="1495"/>
      <c r="AB48" s="1495"/>
      <c r="AC48" s="1495"/>
    </row>
    <row r="49" spans="1:29" ht="15.75" thickBot="1">
      <c r="A49" s="607" t="s">
        <v>2738</v>
      </c>
      <c r="B49" s="875"/>
      <c r="C49" s="2474">
        <f>R50</f>
        <v>4</v>
      </c>
      <c r="D49" s="3003" t="s">
        <v>2963</v>
      </c>
      <c r="E49" s="2475">
        <f>R49</f>
        <v>3.6</v>
      </c>
      <c r="F49" s="3004"/>
      <c r="G49" s="2474">
        <f>T49</f>
        <v>4</v>
      </c>
      <c r="H49" s="3004"/>
      <c r="I49" s="2475">
        <f>V49</f>
        <v>4.3</v>
      </c>
      <c r="J49" s="3004"/>
      <c r="K49" s="3012">
        <f>F49+H49+J49</f>
        <v>0</v>
      </c>
      <c r="L49" s="2024"/>
      <c r="M49" s="2014"/>
      <c r="N49" s="2014"/>
      <c r="O49" s="2014"/>
      <c r="P49" s="3966" t="str">
        <f>A49</f>
        <v>比较价格（元/平方米）</v>
      </c>
      <c r="Q49" s="3968"/>
      <c r="R49" s="4126">
        <f>IF(F1="售价",ROUND(PRODUCT(R48,AA7:AA47),0),ROUND(PRODUCT(R48,AA7:AA47),1))</f>
        <v>3.6</v>
      </c>
      <c r="S49" s="4126"/>
      <c r="T49" s="4126">
        <f>IF(F1="售价",ROUND(PRODUCT(T48,AB7:AB47),0),ROUND(PRODUCT(T48,AB7:AB47),1))</f>
        <v>4</v>
      </c>
      <c r="U49" s="4126"/>
      <c r="V49" s="4126">
        <f>IF(F1="售价",ROUND(PRODUCT(V48,AC7:AC47),0),ROUND(PRODUCT(V48,AC7:AC47),1))</f>
        <v>4.3</v>
      </c>
      <c r="W49" s="4126"/>
      <c r="X49" s="1495"/>
      <c r="Y49" s="1495"/>
      <c r="Z49" s="1495"/>
      <c r="AA49" s="1495"/>
      <c r="AB49" s="1495"/>
      <c r="AC49" s="1495"/>
    </row>
    <row r="50" spans="1:29" ht="15.75" thickBot="1">
      <c r="A50" s="611" t="s">
        <v>2898</v>
      </c>
      <c r="B50" s="612"/>
      <c r="C50" s="2476">
        <f>R50</f>
        <v>4</v>
      </c>
      <c r="D50" s="2476"/>
      <c r="E50" s="2476"/>
      <c r="F50" s="2476"/>
      <c r="G50" s="2476"/>
      <c r="H50" s="2476"/>
      <c r="I50" s="2476"/>
      <c r="J50" s="2476"/>
      <c r="K50" s="1540"/>
      <c r="L50" s="2024"/>
      <c r="M50" s="2014"/>
      <c r="N50" s="2014"/>
      <c r="O50" s="2014"/>
      <c r="P50" s="4137" t="str">
        <f>A50</f>
        <v>估价对象XX用房的比较价格（楼面单价，元/平方米）</v>
      </c>
      <c r="Q50" s="3966"/>
      <c r="R50" s="4125">
        <f>IF(F1="售价",ROUND(IF(D49="简单平均",AVERAGE(R49:V49),R49*F49+T49*H49+V49*J49),0),ROUND(IF(D49="简单平均",AVERAGE(R49:V49),R49*F49+T49*H49+V49*J49),1))</f>
        <v>4</v>
      </c>
      <c r="S50" s="4125"/>
      <c r="T50" s="4125"/>
      <c r="U50" s="4125"/>
      <c r="V50" s="4125"/>
      <c r="W50" s="4125"/>
      <c r="X50" s="1495"/>
      <c r="Y50" s="1495"/>
      <c r="Z50" s="1495"/>
      <c r="AA50" s="1495"/>
      <c r="AB50" s="1495"/>
      <c r="AC50" s="1495"/>
    </row>
    <row r="51" spans="1:29">
      <c r="A51" s="3201"/>
      <c r="B51" s="3201"/>
      <c r="C51" s="3201"/>
      <c r="D51" s="3201"/>
      <c r="E51" s="3201"/>
      <c r="F51" s="3201"/>
      <c r="G51" s="3203"/>
      <c r="H51" s="3201"/>
      <c r="I51" s="3201"/>
      <c r="J51" s="3201"/>
      <c r="K51" s="3204"/>
      <c r="L51" s="2029"/>
      <c r="M51" s="2025"/>
      <c r="N51" s="2025"/>
      <c r="O51" s="2025"/>
      <c r="P51" s="2086"/>
      <c r="Q51" s="2025"/>
      <c r="R51" s="2025"/>
      <c r="S51" s="2025"/>
      <c r="T51" s="2025"/>
      <c r="U51" s="2025"/>
      <c r="V51" s="2025"/>
      <c r="W51" s="2025"/>
      <c r="X51" s="2025"/>
      <c r="Y51" s="2025"/>
      <c r="Z51" s="2025"/>
      <c r="AA51" s="2025"/>
      <c r="AB51" s="2025"/>
      <c r="AC51" s="2025"/>
    </row>
    <row r="52" spans="1:29">
      <c r="A52" s="3201"/>
      <c r="B52" s="3201"/>
      <c r="C52" s="3201"/>
      <c r="D52" s="3201"/>
      <c r="E52" s="3201"/>
      <c r="F52" s="3201"/>
      <c r="G52" s="3201"/>
      <c r="H52" s="3201"/>
      <c r="I52" s="3201"/>
      <c r="J52" s="3201"/>
      <c r="K52" s="3204"/>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f>IF(E48&lt;E49,E49/E48-1,E48/E49-1)</f>
        <v>2.8571428571428692E-2</v>
      </c>
      <c r="F53" s="617" t="str">
        <f>IF(OR(E53&gt;=0.3,E53&lt;=-0.3),"超过30%","")</f>
        <v/>
      </c>
      <c r="G53" s="616">
        <f>IF(G48&lt;G49,G49/G48-1,G48/G49-1)</f>
        <v>0</v>
      </c>
      <c r="H53" s="617" t="str">
        <f>IF(OR(G53&gt;=0.3,G53&lt;=-0.3),"超过30%","")</f>
        <v/>
      </c>
      <c r="I53" s="616">
        <f>IF(I48&lt;I49,I49/I48-1,I48/I49-1)</f>
        <v>0</v>
      </c>
      <c r="J53" s="617" t="str">
        <f>IF(OR(I53&gt;=0.3,I53&lt;=-0.3),"超过30%","")</f>
        <v/>
      </c>
      <c r="K53" s="3204"/>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f>IF(E49&lt;G49,G49/E49-1,E49/G49-1)</f>
        <v>0.11111111111111116</v>
      </c>
      <c r="F54" s="617" t="str">
        <f>IF(OR(E54&gt;=0.2,E54&lt;=-0.2),"超过20%","")</f>
        <v/>
      </c>
      <c r="G54" s="616">
        <f>IF(G49&lt;I49,I49/G49-1,G49/I49-1)</f>
        <v>7.4999999999999956E-2</v>
      </c>
      <c r="H54" s="617" t="str">
        <f>IF(OR(G54&gt;=0.2,G54&lt;=-0.2),"超过20%","")</f>
        <v/>
      </c>
      <c r="I54" s="616">
        <f>IF(I49&lt;E49,E49/I49-1,I49/E49-1)</f>
        <v>0.19444444444444442</v>
      </c>
      <c r="J54" s="617" t="str">
        <f>IF(OR(I54&gt;=0.2,I54&lt;=-0.2),"超过20%","")</f>
        <v/>
      </c>
      <c r="K54" s="3204"/>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f>IF(E48&lt;G48,G48/E48-1,E48/G48-1)</f>
        <v>0.14285714285714279</v>
      </c>
      <c r="F55" s="617" t="str">
        <f>IF(OR(E55&gt;=0.3,E55&lt;=-0.3),"超过30%","")</f>
        <v/>
      </c>
      <c r="G55" s="616">
        <f>IF(G48&lt;I48,I48/G48-1,G48/I48-1)</f>
        <v>7.4999999999999956E-2</v>
      </c>
      <c r="H55" s="617" t="str">
        <f>IF(OR(G55&gt;=0.3,G55&lt;=-0.3),"超过30%","")</f>
        <v/>
      </c>
      <c r="I55" s="616">
        <f>IF(I48&lt;E48,E48/I48-1,I48/E48-1)</f>
        <v>0.22857142857142843</v>
      </c>
      <c r="J55" s="617" t="str">
        <f>IF(OR(I55&gt;=0.3,I55&lt;=-0.3),"超过30%","")</f>
        <v/>
      </c>
      <c r="K55" s="3205"/>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2021-12</v>
      </c>
      <c r="D59" s="2519">
        <f>EDATE(C59,-1)</f>
        <v>44501</v>
      </c>
      <c r="E59" s="2519">
        <f t="shared" ref="E59:O59" si="16">EDATE(D59,-1)</f>
        <v>44470</v>
      </c>
      <c r="F59" s="2519">
        <f t="shared" si="16"/>
        <v>44440</v>
      </c>
      <c r="G59" s="2519">
        <f t="shared" si="16"/>
        <v>44409</v>
      </c>
      <c r="H59" s="2519">
        <f t="shared" si="16"/>
        <v>44378</v>
      </c>
      <c r="I59" s="2519">
        <f t="shared" si="16"/>
        <v>44348</v>
      </c>
      <c r="J59" s="2519">
        <f t="shared" si="16"/>
        <v>44317</v>
      </c>
      <c r="K59" s="2519">
        <f t="shared" si="16"/>
        <v>44287</v>
      </c>
      <c r="L59" s="2519">
        <f t="shared" si="16"/>
        <v>44256</v>
      </c>
      <c r="M59" s="2519">
        <f t="shared" si="16"/>
        <v>44228</v>
      </c>
      <c r="N59" s="2519">
        <f t="shared" si="16"/>
        <v>44197</v>
      </c>
      <c r="O59" s="2519">
        <f t="shared" si="16"/>
        <v>44166</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c r="I60" s="640"/>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98</v>
      </c>
      <c r="E80" s="669">
        <f>D80-$K17</f>
        <v>96</v>
      </c>
      <c r="F80" s="669">
        <f>E80-$K17</f>
        <v>94</v>
      </c>
      <c r="G80" s="669">
        <f>F80-$K17</f>
        <v>92</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98</v>
      </c>
      <c r="E82" s="669">
        <f>D82-$K19</f>
        <v>96</v>
      </c>
      <c r="F82" s="669">
        <f>E82-$K19</f>
        <v>94</v>
      </c>
      <c r="G82" s="669">
        <f>F82-$K19</f>
        <v>92</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98</v>
      </c>
      <c r="E86" s="669">
        <f>D86-$K23</f>
        <v>96</v>
      </c>
      <c r="F86" s="669">
        <f>E86-$K23</f>
        <v>94</v>
      </c>
      <c r="G86" s="669">
        <f>F86-$K23</f>
        <v>92</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35" t="s">
        <v>3079</v>
      </c>
      <c r="D87" s="3335" t="s">
        <v>3080</v>
      </c>
      <c r="E87" s="3335" t="s">
        <v>3082</v>
      </c>
      <c r="F87" s="3335" t="s">
        <v>3084</v>
      </c>
      <c r="G87" s="3335" t="s">
        <v>3085</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543</v>
      </c>
      <c r="B101" s="655" t="s">
        <v>739</v>
      </c>
      <c r="C101" s="3340" t="s">
        <v>3141</v>
      </c>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0(含)-50000</v>
      </c>
      <c r="D103" s="698" t="str">
        <f t="shared" ref="D103:L103" si="23">D104&amp;"(含)"&amp;"-"&amp;E104</f>
        <v>50000(含)-100000</v>
      </c>
      <c r="E103" s="698" t="str">
        <f t="shared" si="23"/>
        <v>100000(含)-200000</v>
      </c>
      <c r="F103" s="698" t="str">
        <f t="shared" si="23"/>
        <v>200000(含)-400000</v>
      </c>
      <c r="G103" s="698" t="str">
        <f t="shared" si="23"/>
        <v>400000(含)-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50000</v>
      </c>
      <c r="E104" s="720">
        <v>100000</v>
      </c>
      <c r="F104" s="720">
        <v>200000</v>
      </c>
      <c r="G104" s="720">
        <v>400000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c r="I105" s="661"/>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35" t="s">
        <v>3131</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98</v>
      </c>
      <c r="E107" s="669">
        <f t="shared" si="24"/>
        <v>96</v>
      </c>
      <c r="F107" s="669">
        <f t="shared" si="24"/>
        <v>94</v>
      </c>
      <c r="G107" s="669">
        <f t="shared" si="24"/>
        <v>92</v>
      </c>
      <c r="H107" s="669">
        <f t="shared" si="24"/>
        <v>90</v>
      </c>
      <c r="I107" s="669">
        <f t="shared" si="24"/>
        <v>88</v>
      </c>
      <c r="J107" s="669">
        <f t="shared" si="24"/>
        <v>86</v>
      </c>
      <c r="K107" s="669">
        <f t="shared" si="24"/>
        <v>84</v>
      </c>
      <c r="L107" s="669">
        <f t="shared" si="24"/>
        <v>82</v>
      </c>
      <c r="M107" s="670">
        <f t="shared" si="24"/>
        <v>80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743</v>
      </c>
      <c r="C108" s="3335" t="s">
        <v>3110</v>
      </c>
      <c r="D108" s="3335" t="s">
        <v>3112</v>
      </c>
      <c r="E108" s="3335" t="s">
        <v>3113</v>
      </c>
      <c r="F108" s="3341" t="s">
        <v>3115</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35" t="s">
        <v>3144</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98</v>
      </c>
      <c r="E116" s="669">
        <f t="shared" si="28"/>
        <v>96</v>
      </c>
      <c r="F116" s="669">
        <f t="shared" si="28"/>
        <v>94</v>
      </c>
      <c r="G116" s="669">
        <f t="shared" si="28"/>
        <v>92</v>
      </c>
      <c r="H116" s="669">
        <f t="shared" si="28"/>
        <v>90</v>
      </c>
      <c r="I116" s="669">
        <f t="shared" si="28"/>
        <v>88</v>
      </c>
      <c r="J116" s="669">
        <f t="shared" si="28"/>
        <v>86</v>
      </c>
      <c r="K116" s="669">
        <f t="shared" si="28"/>
        <v>84</v>
      </c>
      <c r="L116" s="669">
        <f t="shared" si="28"/>
        <v>82</v>
      </c>
      <c r="M116" s="670">
        <f t="shared" si="28"/>
        <v>80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35" t="s">
        <v>3135</v>
      </c>
      <c r="D117" s="3335" t="s">
        <v>3136</v>
      </c>
      <c r="E117" s="3335" t="s">
        <v>3137</v>
      </c>
      <c r="F117" s="3335" t="s">
        <v>3138</v>
      </c>
      <c r="G117" s="3335" t="s">
        <v>3139</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41" t="s">
        <v>3134</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747</v>
      </c>
      <c r="C123" s="3335" t="s">
        <v>3110</v>
      </c>
      <c r="D123" s="3335" t="s">
        <v>3112</v>
      </c>
      <c r="E123" s="3335" t="s">
        <v>3113</v>
      </c>
      <c r="F123" s="3341" t="s">
        <v>3115</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90"/>
  <sheetViews>
    <sheetView topLeftCell="A106" workbookViewId="0">
      <selection activeCell="O27" sqref="O27"/>
    </sheetView>
  </sheetViews>
  <sheetFormatPr defaultRowHeight="13.5"/>
  <sheetData>
    <row r="1" spans="1:1">
      <c r="A1" s="3235" t="s">
        <v>3142</v>
      </c>
    </row>
    <row r="38" spans="2:2">
      <c r="B38" s="3235" t="s">
        <v>3145</v>
      </c>
    </row>
    <row r="90" spans="1:1">
      <c r="A90" s="3235" t="s">
        <v>3169</v>
      </c>
    </row>
  </sheetData>
  <phoneticPr fontId="228"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cols>
    <col min="1" max="16384" width="9" style="3361"/>
  </cols>
  <sheetData/>
  <phoneticPr fontId="228"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513</v>
      </c>
      <c r="B4" s="505"/>
      <c r="C4" s="3974" t="s">
        <v>514</v>
      </c>
      <c r="D4" s="3975"/>
      <c r="E4" s="4008" t="s">
        <v>515</v>
      </c>
      <c r="F4" s="4009"/>
      <c r="G4" s="3974" t="s">
        <v>516</v>
      </c>
      <c r="H4" s="3975"/>
      <c r="I4" s="3974" t="s">
        <v>517</v>
      </c>
      <c r="J4" s="3975"/>
      <c r="K4" s="506" t="s">
        <v>518</v>
      </c>
      <c r="L4" s="2013"/>
      <c r="M4" s="2014"/>
      <c r="N4" s="2014"/>
      <c r="O4" s="2014"/>
      <c r="P4" s="3976" t="s">
        <v>519</v>
      </c>
      <c r="Q4" s="3977"/>
      <c r="R4" s="3982" t="s">
        <v>515</v>
      </c>
      <c r="S4" s="3983"/>
      <c r="T4" s="3982" t="s">
        <v>516</v>
      </c>
      <c r="U4" s="3983"/>
      <c r="V4" s="3969" t="s">
        <v>517</v>
      </c>
      <c r="W4" s="3969"/>
      <c r="X4" s="1500"/>
      <c r="Y4" s="3982" t="s">
        <v>519</v>
      </c>
      <c r="Z4" s="3983"/>
      <c r="AA4" s="3971" t="s">
        <v>515</v>
      </c>
      <c r="AB4" s="3972" t="s">
        <v>516</v>
      </c>
      <c r="AC4" s="3971" t="s">
        <v>517</v>
      </c>
    </row>
    <row r="5" spans="1:29" ht="15">
      <c r="A5" s="507"/>
      <c r="B5" s="508"/>
      <c r="C5" s="3990" t="s">
        <v>2892</v>
      </c>
      <c r="D5" s="3991"/>
      <c r="E5" s="4010" t="s">
        <v>2893</v>
      </c>
      <c r="F5" s="4011"/>
      <c r="G5" s="3990" t="s">
        <v>2894</v>
      </c>
      <c r="H5" s="3991"/>
      <c r="I5" s="3990" t="s">
        <v>2895</v>
      </c>
      <c r="J5" s="3991"/>
      <c r="K5" s="506"/>
      <c r="L5" s="2013"/>
      <c r="M5" s="2014"/>
      <c r="N5" s="2014"/>
      <c r="O5" s="2014"/>
      <c r="P5" s="3978"/>
      <c r="Q5" s="3979"/>
      <c r="R5" s="3984"/>
      <c r="S5" s="3985"/>
      <c r="T5" s="3984"/>
      <c r="U5" s="3985"/>
      <c r="V5" s="3969"/>
      <c r="W5" s="3969"/>
      <c r="X5" s="1500"/>
      <c r="Y5" s="3984"/>
      <c r="Z5" s="3985"/>
      <c r="AA5" s="3972"/>
      <c r="AB5" s="3972"/>
      <c r="AC5" s="3972"/>
    </row>
    <row r="6" spans="1:29" ht="15.75" thickBot="1">
      <c r="A6" s="509"/>
      <c r="B6" s="510"/>
      <c r="C6" s="3988" t="s">
        <v>2896</v>
      </c>
      <c r="D6" s="3989"/>
      <c r="E6" s="4006" t="s">
        <v>2896</v>
      </c>
      <c r="F6" s="4007"/>
      <c r="G6" s="3988" t="s">
        <v>2896</v>
      </c>
      <c r="H6" s="3989"/>
      <c r="I6" s="3988" t="s">
        <v>2896</v>
      </c>
      <c r="J6" s="3989"/>
      <c r="K6" s="506" t="s">
        <v>520</v>
      </c>
      <c r="L6" s="2013"/>
      <c r="M6" s="2014"/>
      <c r="N6" s="2014"/>
      <c r="O6" s="2014"/>
      <c r="P6" s="3980"/>
      <c r="Q6" s="3981"/>
      <c r="R6" s="3984"/>
      <c r="S6" s="3985"/>
      <c r="T6" s="3986"/>
      <c r="U6" s="3987"/>
      <c r="V6" s="3969"/>
      <c r="W6" s="3969"/>
      <c r="X6" s="1500"/>
      <c r="Y6" s="3986"/>
      <c r="Z6" s="3987"/>
      <c r="AA6" s="3973"/>
      <c r="AB6" s="3973"/>
      <c r="AC6" s="3973"/>
    </row>
    <row r="7" spans="1:29" s="1201" customFormat="1" ht="15.75" thickBot="1">
      <c r="A7" s="2627"/>
      <c r="B7" s="2634" t="s">
        <v>521</v>
      </c>
      <c r="C7" s="511">
        <f>'数据-取费表'!B2</f>
        <v>44545</v>
      </c>
      <c r="D7" s="512">
        <v>100</v>
      </c>
      <c r="E7" s="513"/>
      <c r="F7" s="514">
        <f>SUMIF(52:52,YEAR(E7)&amp;"-"&amp;MONTH(E7),53:53)</f>
        <v>0</v>
      </c>
      <c r="G7" s="513"/>
      <c r="H7" s="512">
        <f>SUMIF(52:52,YEAR(G7)&amp;"-"&amp;MONTH(G7),53:53)</f>
        <v>0</v>
      </c>
      <c r="I7" s="513"/>
      <c r="J7" s="512">
        <f>SUMIF(52:52,YEAR(I7)&amp;"-"&amp;MONTH(I7),53:53)</f>
        <v>0</v>
      </c>
      <c r="K7" s="516"/>
      <c r="L7" s="2015"/>
      <c r="M7" s="2016"/>
      <c r="N7" s="2016"/>
      <c r="O7" s="2016"/>
      <c r="P7" s="3999" t="s">
        <v>522</v>
      </c>
      <c r="Q7" s="4001"/>
      <c r="R7" s="1501" t="s">
        <v>8</v>
      </c>
      <c r="S7" s="1502">
        <f t="shared" ref="S7:S15" si="0">F7</f>
        <v>0</v>
      </c>
      <c r="T7" s="1501" t="s">
        <v>8</v>
      </c>
      <c r="U7" s="1502">
        <f t="shared" ref="U7:U15" si="1">H7</f>
        <v>0</v>
      </c>
      <c r="V7" s="1501" t="s">
        <v>8</v>
      </c>
      <c r="W7" s="1502">
        <f t="shared" ref="W7:W15" si="2">J7</f>
        <v>0</v>
      </c>
      <c r="X7" s="1503"/>
      <c r="Y7" s="3999" t="s">
        <v>522</v>
      </c>
      <c r="Z7" s="4000"/>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999" t="s">
        <v>525</v>
      </c>
      <c r="Q8" s="4000"/>
      <c r="R8" s="1501" t="s">
        <v>8</v>
      </c>
      <c r="S8" s="1502">
        <f t="shared" si="0"/>
        <v>0</v>
      </c>
      <c r="T8" s="1501" t="s">
        <v>8</v>
      </c>
      <c r="U8" s="1502">
        <f t="shared" si="1"/>
        <v>0</v>
      </c>
      <c r="V8" s="1501" t="s">
        <v>8</v>
      </c>
      <c r="W8" s="1502">
        <f t="shared" si="2"/>
        <v>0</v>
      </c>
      <c r="X8" s="1503"/>
      <c r="Y8" s="3999" t="s">
        <v>525</v>
      </c>
      <c r="Z8" s="4000"/>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968" t="s">
        <v>527</v>
      </c>
      <c r="Q9" s="1132" t="str">
        <f t="shared" ref="Q9:Q15" si="6">B9</f>
        <v>用途</v>
      </c>
      <c r="R9" s="1501" t="s">
        <v>8</v>
      </c>
      <c r="S9" s="1502">
        <f t="shared" si="0"/>
        <v>100</v>
      </c>
      <c r="T9" s="1501" t="s">
        <v>8</v>
      </c>
      <c r="U9" s="1502">
        <f t="shared" si="1"/>
        <v>100</v>
      </c>
      <c r="V9" s="1501" t="s">
        <v>8</v>
      </c>
      <c r="W9" s="1502">
        <f t="shared" si="2"/>
        <v>100</v>
      </c>
      <c r="X9" s="1503"/>
      <c r="Y9" s="3914"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968"/>
      <c r="Q10" s="1132" t="str">
        <f t="shared" si="6"/>
        <v>土地使用年限（年）</v>
      </c>
      <c r="R10" s="1501" t="s">
        <v>8</v>
      </c>
      <c r="S10" s="1502">
        <f t="shared" si="0"/>
        <v>100</v>
      </c>
      <c r="T10" s="1501" t="s">
        <v>8</v>
      </c>
      <c r="U10" s="1502">
        <f t="shared" si="1"/>
        <v>100</v>
      </c>
      <c r="V10" s="1501" t="s">
        <v>8</v>
      </c>
      <c r="W10" s="1502">
        <f t="shared" si="2"/>
        <v>100</v>
      </c>
      <c r="X10" s="1503"/>
      <c r="Y10" s="3914"/>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968"/>
      <c r="Q11" s="1132" t="str">
        <f t="shared" si="6"/>
        <v>容积率</v>
      </c>
      <c r="R11" s="1501" t="s">
        <v>8</v>
      </c>
      <c r="S11" s="1502" t="e">
        <f t="shared" si="0"/>
        <v>#N/A</v>
      </c>
      <c r="T11" s="1501" t="s">
        <v>8</v>
      </c>
      <c r="U11" s="1502" t="e">
        <f t="shared" si="1"/>
        <v>#N/A</v>
      </c>
      <c r="V11" s="1501" t="s">
        <v>8</v>
      </c>
      <c r="W11" s="1502" t="e">
        <f t="shared" si="2"/>
        <v>#N/A</v>
      </c>
      <c r="X11" s="1503"/>
      <c r="Y11" s="3914"/>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968"/>
      <c r="Q12" s="1132">
        <f t="shared" si="6"/>
        <v>111</v>
      </c>
      <c r="R12" s="1501" t="s">
        <v>8</v>
      </c>
      <c r="S12" s="1502">
        <f t="shared" si="0"/>
        <v>100</v>
      </c>
      <c r="T12" s="1501" t="s">
        <v>8</v>
      </c>
      <c r="U12" s="1502">
        <f t="shared" si="1"/>
        <v>100</v>
      </c>
      <c r="V12" s="1501" t="s">
        <v>8</v>
      </c>
      <c r="W12" s="1502">
        <f t="shared" si="2"/>
        <v>100</v>
      </c>
      <c r="X12" s="1503"/>
      <c r="Y12" s="3914"/>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968"/>
      <c r="Q13" s="1132">
        <f t="shared" si="6"/>
        <v>111</v>
      </c>
      <c r="R13" s="1501" t="s">
        <v>8</v>
      </c>
      <c r="S13" s="1502">
        <f t="shared" si="0"/>
        <v>100</v>
      </c>
      <c r="T13" s="1501" t="s">
        <v>8</v>
      </c>
      <c r="U13" s="1502">
        <f t="shared" si="1"/>
        <v>100</v>
      </c>
      <c r="V13" s="1501" t="s">
        <v>8</v>
      </c>
      <c r="W13" s="1502">
        <f t="shared" si="2"/>
        <v>100</v>
      </c>
      <c r="X13" s="1503"/>
      <c r="Y13" s="3914"/>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968"/>
      <c r="Q14" s="1132">
        <f t="shared" si="6"/>
        <v>111</v>
      </c>
      <c r="R14" s="1501" t="s">
        <v>8</v>
      </c>
      <c r="S14" s="1502">
        <f t="shared" si="0"/>
        <v>100</v>
      </c>
      <c r="T14" s="1501" t="s">
        <v>8</v>
      </c>
      <c r="U14" s="1502">
        <f t="shared" si="1"/>
        <v>100</v>
      </c>
      <c r="V14" s="1501" t="s">
        <v>8</v>
      </c>
      <c r="W14" s="1502">
        <f t="shared" si="2"/>
        <v>100</v>
      </c>
      <c r="X14" s="1503"/>
      <c r="Y14" s="3914"/>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4002" t="s">
        <v>532</v>
      </c>
      <c r="Q15" s="1505" t="str">
        <f t="shared" si="6"/>
        <v>产业集聚程度</v>
      </c>
      <c r="R15" s="1506" t="s">
        <v>8</v>
      </c>
      <c r="S15" s="1507">
        <f t="shared" si="0"/>
        <v>100</v>
      </c>
      <c r="T15" s="1506" t="s">
        <v>8</v>
      </c>
      <c r="U15" s="1507">
        <f t="shared" si="1"/>
        <v>100</v>
      </c>
      <c r="V15" s="1506" t="s">
        <v>8</v>
      </c>
      <c r="W15" s="1507">
        <f t="shared" si="2"/>
        <v>100</v>
      </c>
      <c r="X15" s="1500"/>
      <c r="Y15" s="4002"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4003"/>
      <c r="Q16" s="1505"/>
      <c r="R16" s="1506"/>
      <c r="S16" s="1507"/>
      <c r="T16" s="1506"/>
      <c r="U16" s="1507"/>
      <c r="V16" s="1506"/>
      <c r="W16" s="1507"/>
      <c r="X16" s="1500"/>
      <c r="Y16" s="4003"/>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4003"/>
      <c r="Q17" s="1505" t="str">
        <f>B17</f>
        <v>交通便捷度</v>
      </c>
      <c r="R17" s="1506" t="s">
        <v>8</v>
      </c>
      <c r="S17" s="1507">
        <f>F17</f>
        <v>100</v>
      </c>
      <c r="T17" s="1506" t="s">
        <v>8</v>
      </c>
      <c r="U17" s="1507">
        <f>H17</f>
        <v>100</v>
      </c>
      <c r="V17" s="1506" t="s">
        <v>8</v>
      </c>
      <c r="W17" s="1507">
        <f>J17</f>
        <v>100</v>
      </c>
      <c r="X17" s="1500"/>
      <c r="Y17" s="4003"/>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4003"/>
      <c r="Q18" s="1505"/>
      <c r="R18" s="1506"/>
      <c r="S18" s="1507"/>
      <c r="T18" s="1506"/>
      <c r="U18" s="1507"/>
      <c r="V18" s="1506"/>
      <c r="W18" s="1507"/>
      <c r="X18" s="1500"/>
      <c r="Y18" s="4003"/>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4003"/>
      <c r="Q19" s="1505" t="str">
        <f>B19</f>
        <v>公共配套设施</v>
      </c>
      <c r="R19" s="1506" t="s">
        <v>8</v>
      </c>
      <c r="S19" s="1507">
        <f>F19</f>
        <v>100</v>
      </c>
      <c r="T19" s="1506" t="s">
        <v>8</v>
      </c>
      <c r="U19" s="1507">
        <f>H19</f>
        <v>100</v>
      </c>
      <c r="V19" s="1506" t="s">
        <v>8</v>
      </c>
      <c r="W19" s="1507">
        <f>J19</f>
        <v>100</v>
      </c>
      <c r="X19" s="1500"/>
      <c r="Y19" s="4003"/>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4003"/>
      <c r="Q20" s="1505"/>
      <c r="R20" s="1506"/>
      <c r="S20" s="1507"/>
      <c r="T20" s="1506"/>
      <c r="U20" s="1507"/>
      <c r="V20" s="1506"/>
      <c r="W20" s="1507"/>
      <c r="X20" s="1500"/>
      <c r="Y20" s="4003"/>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4003"/>
      <c r="Q21" s="2427" t="str">
        <f>B21</f>
        <v>基础设施水平</v>
      </c>
      <c r="R21" s="1506" t="s">
        <v>8</v>
      </c>
      <c r="S21" s="1507">
        <f>F21</f>
        <v>100</v>
      </c>
      <c r="T21" s="1506" t="s">
        <v>8</v>
      </c>
      <c r="U21" s="1507">
        <f>H21</f>
        <v>100</v>
      </c>
      <c r="V21" s="1506" t="s">
        <v>8</v>
      </c>
      <c r="W21" s="1507">
        <f>J21</f>
        <v>100</v>
      </c>
      <c r="X21" s="2429"/>
      <c r="Y21" s="4003"/>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4003"/>
      <c r="Q22" s="2427"/>
      <c r="R22" s="1506"/>
      <c r="S22" s="1507"/>
      <c r="T22" s="1506"/>
      <c r="U22" s="1507"/>
      <c r="V22" s="1506"/>
      <c r="W22" s="1507"/>
      <c r="X22" s="2429"/>
      <c r="Y22" s="4003"/>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4003"/>
      <c r="Q23" s="1505" t="str">
        <f>B23</f>
        <v>环境质量</v>
      </c>
      <c r="R23" s="1506" t="s">
        <v>8</v>
      </c>
      <c r="S23" s="1507">
        <f>F23</f>
        <v>100</v>
      </c>
      <c r="T23" s="1506" t="s">
        <v>8</v>
      </c>
      <c r="U23" s="1507">
        <f>H23</f>
        <v>100</v>
      </c>
      <c r="V23" s="1506" t="s">
        <v>8</v>
      </c>
      <c r="W23" s="1507">
        <f>J23</f>
        <v>100</v>
      </c>
      <c r="X23" s="1500"/>
      <c r="Y23" s="4003"/>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4003"/>
      <c r="Q24" s="1505"/>
      <c r="R24" s="1506"/>
      <c r="S24" s="1507"/>
      <c r="T24" s="1506"/>
      <c r="U24" s="1507"/>
      <c r="V24" s="1506"/>
      <c r="W24" s="1507"/>
      <c r="X24" s="1500"/>
      <c r="Y24" s="4003"/>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4003"/>
      <c r="Q25" s="1505">
        <f>B25</f>
        <v>111</v>
      </c>
      <c r="R25" s="1506" t="s">
        <v>8</v>
      </c>
      <c r="S25" s="1507">
        <f>F25</f>
        <v>100</v>
      </c>
      <c r="T25" s="1506" t="s">
        <v>8</v>
      </c>
      <c r="U25" s="1507">
        <f>H25</f>
        <v>100</v>
      </c>
      <c r="V25" s="1506" t="s">
        <v>8</v>
      </c>
      <c r="W25" s="1507">
        <f>J25</f>
        <v>100</v>
      </c>
      <c r="X25" s="1500"/>
      <c r="Y25" s="4003"/>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4003"/>
      <c r="Q26" s="1505">
        <f t="shared" ref="Q26:Q40" si="11">B26</f>
        <v>111</v>
      </c>
      <c r="R26" s="1506" t="s">
        <v>8</v>
      </c>
      <c r="S26" s="1507">
        <f>F26</f>
        <v>100</v>
      </c>
      <c r="T26" s="1506" t="s">
        <v>8</v>
      </c>
      <c r="U26" s="1507">
        <f>H26</f>
        <v>100</v>
      </c>
      <c r="V26" s="1506" t="s">
        <v>8</v>
      </c>
      <c r="W26" s="1507">
        <f>J26</f>
        <v>100</v>
      </c>
      <c r="X26" s="1500"/>
      <c r="Y26" s="4003"/>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4003"/>
      <c r="Q27" s="1132">
        <f t="shared" si="11"/>
        <v>111</v>
      </c>
      <c r="R27" s="1501" t="s">
        <v>8</v>
      </c>
      <c r="S27" s="1502">
        <f>F27</f>
        <v>100</v>
      </c>
      <c r="T27" s="1501" t="s">
        <v>8</v>
      </c>
      <c r="U27" s="1502">
        <f>H27</f>
        <v>100</v>
      </c>
      <c r="V27" s="1501" t="s">
        <v>8</v>
      </c>
      <c r="W27" s="1502">
        <f>J27</f>
        <v>100</v>
      </c>
      <c r="X27" s="1503"/>
      <c r="Y27" s="4003"/>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4003"/>
      <c r="Q28" s="1505">
        <f t="shared" si="11"/>
        <v>111</v>
      </c>
      <c r="R28" s="1506" t="s">
        <v>8</v>
      </c>
      <c r="S28" s="1507">
        <f t="shared" ref="S28:S40" si="12">F28</f>
        <v>100</v>
      </c>
      <c r="T28" s="1506" t="s">
        <v>8</v>
      </c>
      <c r="U28" s="1507">
        <f t="shared" ref="U28:U40" si="13">H28</f>
        <v>100</v>
      </c>
      <c r="V28" s="1506" t="s">
        <v>8</v>
      </c>
      <c r="W28" s="1507">
        <f t="shared" ref="W28:W40" si="14">J28</f>
        <v>100</v>
      </c>
      <c r="X28" s="1500"/>
      <c r="Y28" s="4003"/>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4004" t="s">
        <v>542</v>
      </c>
      <c r="Q29" s="1505" t="str">
        <f t="shared" si="11"/>
        <v>建筑类型</v>
      </c>
      <c r="R29" s="1506" t="s">
        <v>8</v>
      </c>
      <c r="S29" s="1507">
        <f t="shared" si="12"/>
        <v>100</v>
      </c>
      <c r="T29" s="1506" t="s">
        <v>8</v>
      </c>
      <c r="U29" s="1507">
        <f t="shared" si="13"/>
        <v>100</v>
      </c>
      <c r="V29" s="1506" t="s">
        <v>8</v>
      </c>
      <c r="W29" s="1507">
        <f t="shared" si="14"/>
        <v>100</v>
      </c>
      <c r="X29" s="1500"/>
      <c r="Y29" s="4005"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4005"/>
      <c r="Q30" s="1534" t="str">
        <f t="shared" si="11"/>
        <v>项目建筑规模</v>
      </c>
      <c r="R30" s="1510" t="s">
        <v>8</v>
      </c>
      <c r="S30" s="1511" t="e">
        <f t="shared" si="12"/>
        <v>#N/A</v>
      </c>
      <c r="T30" s="1510" t="s">
        <v>8</v>
      </c>
      <c r="U30" s="1511" t="e">
        <f t="shared" si="13"/>
        <v>#N/A</v>
      </c>
      <c r="V30" s="1510" t="s">
        <v>8</v>
      </c>
      <c r="W30" s="1511" t="e">
        <f t="shared" si="14"/>
        <v>#N/A</v>
      </c>
      <c r="X30" s="1512"/>
      <c r="Y30" s="4005"/>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4005"/>
      <c r="Q31" s="1505" t="str">
        <f t="shared" si="11"/>
        <v>建筑结构</v>
      </c>
      <c r="R31" s="1506" t="s">
        <v>8</v>
      </c>
      <c r="S31" s="1507">
        <f t="shared" si="12"/>
        <v>100</v>
      </c>
      <c r="T31" s="1506" t="s">
        <v>8</v>
      </c>
      <c r="U31" s="1507">
        <f t="shared" si="13"/>
        <v>100</v>
      </c>
      <c r="V31" s="1506" t="s">
        <v>8</v>
      </c>
      <c r="W31" s="1507">
        <f t="shared" si="14"/>
        <v>100</v>
      </c>
      <c r="X31" s="1500"/>
      <c r="Y31" s="4005"/>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4005"/>
      <c r="Q32" s="1505" t="str">
        <f t="shared" si="11"/>
        <v>公共部分装修</v>
      </c>
      <c r="R32" s="1506" t="s">
        <v>8</v>
      </c>
      <c r="S32" s="1507">
        <f t="shared" si="12"/>
        <v>100</v>
      </c>
      <c r="T32" s="1506" t="s">
        <v>8</v>
      </c>
      <c r="U32" s="1507">
        <f t="shared" si="13"/>
        <v>100</v>
      </c>
      <c r="V32" s="1506" t="s">
        <v>8</v>
      </c>
      <c r="W32" s="1507">
        <f t="shared" si="14"/>
        <v>100</v>
      </c>
      <c r="X32" s="1500"/>
      <c r="Y32" s="4005"/>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4005"/>
      <c r="Q33" s="1505" t="str">
        <f t="shared" si="11"/>
        <v>成新度</v>
      </c>
      <c r="R33" s="1506" t="s">
        <v>8</v>
      </c>
      <c r="S33" s="1507" t="e">
        <f t="shared" si="12"/>
        <v>#N/A</v>
      </c>
      <c r="T33" s="1506" t="s">
        <v>8</v>
      </c>
      <c r="U33" s="1507" t="e">
        <f t="shared" si="13"/>
        <v>#N/A</v>
      </c>
      <c r="V33" s="1506" t="s">
        <v>8</v>
      </c>
      <c r="W33" s="1507" t="e">
        <f t="shared" si="14"/>
        <v>#N/A</v>
      </c>
      <c r="X33" s="1500"/>
      <c r="Y33" s="4005"/>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4005"/>
      <c r="Q34" s="1132" t="str">
        <f t="shared" si="11"/>
        <v>物业管理</v>
      </c>
      <c r="R34" s="1501" t="s">
        <v>8</v>
      </c>
      <c r="S34" s="1502">
        <f t="shared" si="12"/>
        <v>100</v>
      </c>
      <c r="T34" s="1501" t="s">
        <v>8</v>
      </c>
      <c r="U34" s="1502">
        <f t="shared" si="13"/>
        <v>100</v>
      </c>
      <c r="V34" s="1501" t="s">
        <v>8</v>
      </c>
      <c r="W34" s="1502">
        <f t="shared" si="14"/>
        <v>100</v>
      </c>
      <c r="X34" s="1503"/>
      <c r="Y34" s="4005"/>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4005" t="s">
        <v>542</v>
      </c>
      <c r="Q35" s="1505" t="str">
        <f t="shared" si="11"/>
        <v>市政基础设施</v>
      </c>
      <c r="R35" s="1506" t="s">
        <v>8</v>
      </c>
      <c r="S35" s="1507">
        <f t="shared" si="12"/>
        <v>100</v>
      </c>
      <c r="T35" s="1506" t="s">
        <v>8</v>
      </c>
      <c r="U35" s="1507">
        <f t="shared" si="13"/>
        <v>100</v>
      </c>
      <c r="V35" s="1506" t="s">
        <v>8</v>
      </c>
      <c r="W35" s="1507">
        <f t="shared" si="14"/>
        <v>100</v>
      </c>
      <c r="X35" s="1500"/>
      <c r="Y35" s="4005"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4005"/>
      <c r="Q36" s="1505" t="str">
        <f t="shared" si="11"/>
        <v>内部装修</v>
      </c>
      <c r="R36" s="1506" t="s">
        <v>8</v>
      </c>
      <c r="S36" s="1507">
        <f t="shared" si="12"/>
        <v>100</v>
      </c>
      <c r="T36" s="1506" t="s">
        <v>8</v>
      </c>
      <c r="U36" s="1507">
        <f t="shared" si="13"/>
        <v>100</v>
      </c>
      <c r="V36" s="1506" t="s">
        <v>8</v>
      </c>
      <c r="W36" s="1507">
        <f t="shared" si="14"/>
        <v>100</v>
      </c>
      <c r="X36" s="1500"/>
      <c r="Y36" s="4005"/>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4005"/>
      <c r="Q37" s="1505" t="str">
        <f t="shared" si="11"/>
        <v>内部装修状况</v>
      </c>
      <c r="R37" s="1506" t="s">
        <v>8</v>
      </c>
      <c r="S37" s="1507">
        <f t="shared" si="12"/>
        <v>100</v>
      </c>
      <c r="T37" s="1506" t="s">
        <v>8</v>
      </c>
      <c r="U37" s="1507">
        <f t="shared" si="13"/>
        <v>100</v>
      </c>
      <c r="V37" s="1506" t="s">
        <v>8</v>
      </c>
      <c r="W37" s="1507">
        <f t="shared" si="14"/>
        <v>100</v>
      </c>
      <c r="X37" s="1500"/>
      <c r="Y37" s="4005"/>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4005"/>
      <c r="Q38" s="1534">
        <f t="shared" si="11"/>
        <v>111</v>
      </c>
      <c r="R38" s="1510" t="s">
        <v>8</v>
      </c>
      <c r="S38" s="1511">
        <f t="shared" si="12"/>
        <v>100</v>
      </c>
      <c r="T38" s="1510" t="s">
        <v>8</v>
      </c>
      <c r="U38" s="1511">
        <f t="shared" si="13"/>
        <v>100</v>
      </c>
      <c r="V38" s="1510" t="s">
        <v>8</v>
      </c>
      <c r="W38" s="1511">
        <f t="shared" si="14"/>
        <v>100</v>
      </c>
      <c r="X38" s="1512"/>
      <c r="Y38" s="4005"/>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4005"/>
      <c r="Q39" s="1505">
        <f t="shared" si="11"/>
        <v>111</v>
      </c>
      <c r="R39" s="1506" t="s">
        <v>8</v>
      </c>
      <c r="S39" s="1507">
        <f t="shared" si="12"/>
        <v>100</v>
      </c>
      <c r="T39" s="1506" t="s">
        <v>8</v>
      </c>
      <c r="U39" s="1507">
        <f t="shared" si="13"/>
        <v>100</v>
      </c>
      <c r="V39" s="1506" t="s">
        <v>8</v>
      </c>
      <c r="W39" s="1507">
        <f t="shared" si="14"/>
        <v>100</v>
      </c>
      <c r="X39" s="1500"/>
      <c r="Y39" s="4005"/>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4127"/>
      <c r="Q40" s="1505">
        <f t="shared" si="11"/>
        <v>111</v>
      </c>
      <c r="R40" s="1506" t="s">
        <v>8</v>
      </c>
      <c r="S40" s="1507">
        <f t="shared" si="12"/>
        <v>100</v>
      </c>
      <c r="T40" s="1506" t="s">
        <v>8</v>
      </c>
      <c r="U40" s="1507">
        <f t="shared" si="13"/>
        <v>100</v>
      </c>
      <c r="V40" s="1506" t="s">
        <v>8</v>
      </c>
      <c r="W40" s="1507">
        <f t="shared" si="14"/>
        <v>100</v>
      </c>
      <c r="X40" s="1500"/>
      <c r="Y40" s="4127"/>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968" t="str">
        <f>A41</f>
        <v>成交单价（元/平方米）</v>
      </c>
      <c r="Q41" s="3968"/>
      <c r="R41" s="4126">
        <f>E41</f>
        <v>0</v>
      </c>
      <c r="S41" s="4126"/>
      <c r="T41" s="4126">
        <f>G41</f>
        <v>0</v>
      </c>
      <c r="U41" s="4126"/>
      <c r="V41" s="4126">
        <f>I41</f>
        <v>0</v>
      </c>
      <c r="W41" s="4126"/>
      <c r="X41" s="1495"/>
      <c r="Y41" s="1514"/>
      <c r="Z41" s="1495"/>
      <c r="AA41" s="1495"/>
      <c r="AB41" s="1495"/>
      <c r="AC41" s="1495"/>
    </row>
    <row r="42" spans="1:29" ht="15.75" thickBot="1">
      <c r="A42" s="607" t="s">
        <v>2738</v>
      </c>
      <c r="B42" s="875"/>
      <c r="C42" s="2474" t="e">
        <f>R43</f>
        <v>#DIV/0!</v>
      </c>
      <c r="D42" s="3003" t="s">
        <v>2963</v>
      </c>
      <c r="E42" s="2475" t="e">
        <f>R42</f>
        <v>#DIV/0!</v>
      </c>
      <c r="F42" s="3004"/>
      <c r="G42" s="2474" t="e">
        <f>T42</f>
        <v>#DIV/0!</v>
      </c>
      <c r="H42" s="3004"/>
      <c r="I42" s="2475" t="e">
        <f>V42</f>
        <v>#DIV/0!</v>
      </c>
      <c r="J42" s="3004"/>
      <c r="K42" s="3012">
        <f>F42+H42+J42</f>
        <v>0</v>
      </c>
      <c r="L42" s="2024"/>
      <c r="M42" s="2025"/>
      <c r="N42" s="2014"/>
      <c r="O42" s="2025"/>
      <c r="P42" s="3968" t="str">
        <f>A42</f>
        <v>比较价格（元/平方米）</v>
      </c>
      <c r="Q42" s="3968"/>
      <c r="R42" s="4126" t="e">
        <f>IF(F1="售价",ROUND(PRODUCT(R41,AA7:AA40),0),ROUND(PRODUCT(R41,AA7:AA40),1))</f>
        <v>#DIV/0!</v>
      </c>
      <c r="S42" s="4126"/>
      <c r="T42" s="4126" t="e">
        <f>IF(F1="售价",ROUND(PRODUCT(T41,AB7:AB40),0),ROUND(PRODUCT(T41,AB7:AB40),1))</f>
        <v>#DIV/0!</v>
      </c>
      <c r="U42" s="4126"/>
      <c r="V42" s="4126" t="e">
        <f>IF(F1="售价",ROUND(PRODUCT(V41,AC7:AC40),0),ROUND(PRODUCT(V41,AC7:AC40),1))</f>
        <v>#DIV/0!</v>
      </c>
      <c r="W42" s="4126"/>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965" t="str">
        <f>A43</f>
        <v>估价对象XX用房的比较价格（楼面单价，元/平方米）</v>
      </c>
      <c r="Q43" s="3966"/>
      <c r="R43" s="4125" t="e">
        <f>IF(F1="售价",ROUND(IF(D42="简单平均",AVERAGE(R42:V42),R42*F42+T42*H42+V42*J42),0),ROUND(IF(D42="简单平均",AVERAGE(R42:V42),R42*F42+T42*H42+V42*J42),1))</f>
        <v>#DIV/0!</v>
      </c>
      <c r="S43" s="4125"/>
      <c r="T43" s="4125"/>
      <c r="U43" s="4125"/>
      <c r="V43" s="4125"/>
      <c r="W43" s="4125"/>
      <c r="X43" s="1495"/>
      <c r="Y43" s="1495"/>
      <c r="Z43" s="1495"/>
      <c r="AA43" s="1495"/>
      <c r="AB43" s="1495"/>
      <c r="AC43" s="1495"/>
    </row>
    <row r="44" spans="1:29">
      <c r="A44" s="3201"/>
      <c r="B44" s="3201"/>
      <c r="C44" s="3201"/>
      <c r="D44" s="3201"/>
      <c r="E44" s="3201"/>
      <c r="F44" s="3201"/>
      <c r="G44" s="3203"/>
      <c r="H44" s="3201"/>
      <c r="I44" s="3201"/>
      <c r="J44" s="3201"/>
      <c r="K44" s="3204"/>
      <c r="L44" s="2029"/>
      <c r="M44" s="2025"/>
      <c r="N44" s="2025"/>
      <c r="O44" s="2025"/>
      <c r="P44" s="2025"/>
      <c r="Q44" s="2025"/>
      <c r="R44" s="2025"/>
      <c r="S44" s="2025"/>
      <c r="T44" s="2025"/>
      <c r="U44" s="2025"/>
      <c r="V44" s="2025"/>
      <c r="W44" s="2025"/>
      <c r="X44" s="2025"/>
      <c r="Y44" s="2025"/>
      <c r="Z44" s="2025"/>
      <c r="AA44" s="2025"/>
      <c r="AB44" s="2025"/>
      <c r="AC44" s="2025"/>
    </row>
    <row r="45" spans="1:29">
      <c r="A45" s="3201"/>
      <c r="B45" s="3201"/>
      <c r="C45" s="3201"/>
      <c r="D45" s="3201"/>
      <c r="E45" s="3201"/>
      <c r="F45" s="3201"/>
      <c r="G45" s="3201"/>
      <c r="H45" s="3201"/>
      <c r="I45" s="3201"/>
      <c r="J45" s="3201"/>
      <c r="K45" s="3204"/>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1"/>
      <c r="B46" s="320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4"/>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1"/>
      <c r="B47" s="320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4"/>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2"/>
      <c r="B48" s="320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05"/>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2021-12</v>
      </c>
      <c r="D52" s="2519">
        <f>EDATE(C52,-1)</f>
        <v>44501</v>
      </c>
      <c r="E52" s="2519">
        <f t="shared" ref="E52:O52" si="16">EDATE(D52,-1)</f>
        <v>44470</v>
      </c>
      <c r="F52" s="2519">
        <f t="shared" si="16"/>
        <v>44440</v>
      </c>
      <c r="G52" s="2519">
        <f t="shared" si="16"/>
        <v>44409</v>
      </c>
      <c r="H52" s="2519">
        <f t="shared" si="16"/>
        <v>44378</v>
      </c>
      <c r="I52" s="2519">
        <f t="shared" si="16"/>
        <v>44348</v>
      </c>
      <c r="J52" s="2519">
        <f t="shared" si="16"/>
        <v>44317</v>
      </c>
      <c r="K52" s="2519">
        <f t="shared" si="16"/>
        <v>44287</v>
      </c>
      <c r="L52" s="2519">
        <f t="shared" si="16"/>
        <v>44256</v>
      </c>
      <c r="M52" s="2519">
        <f t="shared" si="16"/>
        <v>44228</v>
      </c>
      <c r="N52" s="2519">
        <f t="shared" si="16"/>
        <v>44197</v>
      </c>
      <c r="O52" s="2519">
        <f t="shared" si="16"/>
        <v>44166</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74" t="s">
        <v>790</v>
      </c>
      <c r="D4" s="3975"/>
      <c r="E4" s="3974" t="s">
        <v>791</v>
      </c>
      <c r="F4" s="3975"/>
      <c r="G4" s="3974" t="s">
        <v>792</v>
      </c>
      <c r="H4" s="3975"/>
      <c r="I4" s="3974" t="s">
        <v>793</v>
      </c>
      <c r="J4" s="3975"/>
      <c r="K4" s="506" t="s">
        <v>794</v>
      </c>
      <c r="L4" s="2013"/>
      <c r="M4" s="2014"/>
      <c r="N4" s="2014"/>
      <c r="O4" s="2014"/>
      <c r="P4" s="3976" t="s">
        <v>795</v>
      </c>
      <c r="Q4" s="3977"/>
      <c r="R4" s="3982" t="s">
        <v>791</v>
      </c>
      <c r="S4" s="3983"/>
      <c r="T4" s="3982" t="s">
        <v>792</v>
      </c>
      <c r="U4" s="3983"/>
      <c r="V4" s="3969" t="s">
        <v>793</v>
      </c>
      <c r="W4" s="3969"/>
      <c r="X4" s="1500"/>
      <c r="Y4" s="3982" t="s">
        <v>795</v>
      </c>
      <c r="Z4" s="3983"/>
      <c r="AA4" s="3971" t="s">
        <v>791</v>
      </c>
      <c r="AB4" s="3972" t="s">
        <v>792</v>
      </c>
      <c r="AC4" s="3971" t="s">
        <v>793</v>
      </c>
    </row>
    <row r="5" spans="1:29" ht="15">
      <c r="A5" s="507"/>
      <c r="B5" s="508"/>
      <c r="C5" s="3990" t="s">
        <v>2892</v>
      </c>
      <c r="D5" s="3991"/>
      <c r="E5" s="3990" t="s">
        <v>2893</v>
      </c>
      <c r="F5" s="3991"/>
      <c r="G5" s="3990" t="s">
        <v>2894</v>
      </c>
      <c r="H5" s="3991"/>
      <c r="I5" s="3990" t="s">
        <v>2895</v>
      </c>
      <c r="J5" s="3991"/>
      <c r="K5" s="506"/>
      <c r="L5" s="2013"/>
      <c r="M5" s="2014"/>
      <c r="N5" s="2014"/>
      <c r="O5" s="2014"/>
      <c r="P5" s="3978"/>
      <c r="Q5" s="3979"/>
      <c r="R5" s="3984"/>
      <c r="S5" s="3985"/>
      <c r="T5" s="3984"/>
      <c r="U5" s="3985"/>
      <c r="V5" s="3969"/>
      <c r="W5" s="3969"/>
      <c r="X5" s="1500"/>
      <c r="Y5" s="3984"/>
      <c r="Z5" s="3985"/>
      <c r="AA5" s="3972"/>
      <c r="AB5" s="3972"/>
      <c r="AC5" s="3972"/>
    </row>
    <row r="6" spans="1:29" ht="15.75" thickBot="1">
      <c r="A6" s="509"/>
      <c r="B6" s="510"/>
      <c r="C6" s="3988" t="s">
        <v>2896</v>
      </c>
      <c r="D6" s="3989"/>
      <c r="E6" s="3992" t="s">
        <v>2896</v>
      </c>
      <c r="F6" s="3993"/>
      <c r="G6" s="3988" t="s">
        <v>2896</v>
      </c>
      <c r="H6" s="3989"/>
      <c r="I6" s="3988" t="s">
        <v>2896</v>
      </c>
      <c r="J6" s="3989"/>
      <c r="K6" s="506" t="s">
        <v>520</v>
      </c>
      <c r="L6" s="2013"/>
      <c r="M6" s="2014"/>
      <c r="N6" s="2014"/>
      <c r="O6" s="2014"/>
      <c r="P6" s="3980"/>
      <c r="Q6" s="3981"/>
      <c r="R6" s="3984"/>
      <c r="S6" s="3985"/>
      <c r="T6" s="3986"/>
      <c r="U6" s="3987"/>
      <c r="V6" s="3969"/>
      <c r="W6" s="3969"/>
      <c r="X6" s="1500"/>
      <c r="Y6" s="3986"/>
      <c r="Z6" s="3987"/>
      <c r="AA6" s="3973"/>
      <c r="AB6" s="3973"/>
      <c r="AC6" s="3973"/>
    </row>
    <row r="7" spans="1:29" s="1201" customFormat="1" ht="15.75" thickBot="1">
      <c r="A7" s="2627"/>
      <c r="B7" s="2634" t="s">
        <v>521</v>
      </c>
      <c r="C7" s="511">
        <f>'数据-取费表'!B2</f>
        <v>44545</v>
      </c>
      <c r="D7" s="512">
        <v>100</v>
      </c>
      <c r="E7" s="513"/>
      <c r="F7" s="514">
        <f>SUMIF(48:48,YEAR(E7)&amp;"-"&amp;MONTH(E7),49:49)</f>
        <v>0</v>
      </c>
      <c r="G7" s="515"/>
      <c r="H7" s="512">
        <f>SUMIF(48:48,YEAR(G7)&amp;"-"&amp;MONTH(G7),49:49)</f>
        <v>0</v>
      </c>
      <c r="I7" s="515"/>
      <c r="J7" s="512">
        <f>SUMIF(48:48,YEAR(I7)&amp;"-"&amp;MONTH(I7),49:49)</f>
        <v>0</v>
      </c>
      <c r="K7" s="516"/>
      <c r="L7" s="2015"/>
      <c r="M7" s="2016"/>
      <c r="N7" s="2016"/>
      <c r="O7" s="2016"/>
      <c r="P7" s="3999" t="s">
        <v>522</v>
      </c>
      <c r="Q7" s="4001"/>
      <c r="R7" s="1501" t="s">
        <v>8</v>
      </c>
      <c r="S7" s="1502">
        <f t="shared" ref="S7:S14" si="0">F7</f>
        <v>0</v>
      </c>
      <c r="T7" s="1501" t="s">
        <v>8</v>
      </c>
      <c r="U7" s="1502">
        <f t="shared" ref="U7:U14" si="1">H7</f>
        <v>0</v>
      </c>
      <c r="V7" s="1501" t="s">
        <v>8</v>
      </c>
      <c r="W7" s="1502">
        <f t="shared" ref="W7:W14" si="2">J7</f>
        <v>0</v>
      </c>
      <c r="X7" s="1503"/>
      <c r="Y7" s="3999" t="s">
        <v>522</v>
      </c>
      <c r="Z7" s="4000"/>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999" t="s">
        <v>525</v>
      </c>
      <c r="Q8" s="4000"/>
      <c r="R8" s="1501" t="s">
        <v>8</v>
      </c>
      <c r="S8" s="1502">
        <f t="shared" si="0"/>
        <v>0</v>
      </c>
      <c r="T8" s="1501" t="s">
        <v>8</v>
      </c>
      <c r="U8" s="1502">
        <f t="shared" si="1"/>
        <v>0</v>
      </c>
      <c r="V8" s="1501" t="s">
        <v>8</v>
      </c>
      <c r="W8" s="1502">
        <f t="shared" si="2"/>
        <v>0</v>
      </c>
      <c r="X8" s="1503"/>
      <c r="Y8" s="3999" t="s">
        <v>525</v>
      </c>
      <c r="Z8" s="4000"/>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968" t="s">
        <v>527</v>
      </c>
      <c r="Q9" s="1132" t="str">
        <f t="shared" ref="Q9:Q14" si="6">B9</f>
        <v>用途</v>
      </c>
      <c r="R9" s="1501" t="s">
        <v>8</v>
      </c>
      <c r="S9" s="1502">
        <f t="shared" si="0"/>
        <v>100</v>
      </c>
      <c r="T9" s="1501" t="s">
        <v>8</v>
      </c>
      <c r="U9" s="1502">
        <f t="shared" si="1"/>
        <v>100</v>
      </c>
      <c r="V9" s="1501" t="s">
        <v>8</v>
      </c>
      <c r="W9" s="1502">
        <f t="shared" si="2"/>
        <v>100</v>
      </c>
      <c r="X9" s="1503"/>
      <c r="Y9" s="3914"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968"/>
      <c r="Q10" s="1132" t="str">
        <f t="shared" si="6"/>
        <v>土地使用年限（年）</v>
      </c>
      <c r="R10" s="1501" t="s">
        <v>8</v>
      </c>
      <c r="S10" s="1502">
        <f t="shared" si="0"/>
        <v>100</v>
      </c>
      <c r="T10" s="1501" t="s">
        <v>8</v>
      </c>
      <c r="U10" s="1502">
        <f t="shared" si="1"/>
        <v>100</v>
      </c>
      <c r="V10" s="1501" t="s">
        <v>8</v>
      </c>
      <c r="W10" s="1502">
        <f t="shared" si="2"/>
        <v>100</v>
      </c>
      <c r="X10" s="1503"/>
      <c r="Y10" s="3914"/>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968"/>
      <c r="Q11" s="1132">
        <f t="shared" si="6"/>
        <v>111</v>
      </c>
      <c r="R11" s="1501" t="s">
        <v>8</v>
      </c>
      <c r="S11" s="1502">
        <f t="shared" si="0"/>
        <v>100</v>
      </c>
      <c r="T11" s="1501" t="s">
        <v>8</v>
      </c>
      <c r="U11" s="1502">
        <f t="shared" si="1"/>
        <v>100</v>
      </c>
      <c r="V11" s="1501" t="s">
        <v>8</v>
      </c>
      <c r="W11" s="1502">
        <f t="shared" si="2"/>
        <v>100</v>
      </c>
      <c r="X11" s="1503"/>
      <c r="Y11" s="3914"/>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968"/>
      <c r="Q12" s="1132">
        <f t="shared" si="6"/>
        <v>111</v>
      </c>
      <c r="R12" s="1501" t="s">
        <v>8</v>
      </c>
      <c r="S12" s="1502">
        <f t="shared" si="0"/>
        <v>100</v>
      </c>
      <c r="T12" s="1501" t="s">
        <v>8</v>
      </c>
      <c r="U12" s="1502">
        <f t="shared" si="1"/>
        <v>100</v>
      </c>
      <c r="V12" s="1501" t="s">
        <v>8</v>
      </c>
      <c r="W12" s="1502">
        <f t="shared" si="2"/>
        <v>100</v>
      </c>
      <c r="X12" s="1503"/>
      <c r="Y12" s="3914"/>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968"/>
      <c r="Q13" s="1132">
        <f t="shared" si="6"/>
        <v>111</v>
      </c>
      <c r="R13" s="1501" t="s">
        <v>8</v>
      </c>
      <c r="S13" s="1502">
        <f t="shared" si="0"/>
        <v>100</v>
      </c>
      <c r="T13" s="1501" t="s">
        <v>8</v>
      </c>
      <c r="U13" s="1502">
        <f t="shared" si="1"/>
        <v>100</v>
      </c>
      <c r="V13" s="1501" t="s">
        <v>8</v>
      </c>
      <c r="W13" s="1502">
        <f t="shared" si="2"/>
        <v>100</v>
      </c>
      <c r="X13" s="1503"/>
      <c r="Y13" s="3914"/>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4002" t="s">
        <v>532</v>
      </c>
      <c r="Q14" s="1505" t="str">
        <f t="shared" si="6"/>
        <v>交通便捷度</v>
      </c>
      <c r="R14" s="1506" t="s">
        <v>8</v>
      </c>
      <c r="S14" s="1507">
        <f t="shared" si="0"/>
        <v>100</v>
      </c>
      <c r="T14" s="1506" t="s">
        <v>8</v>
      </c>
      <c r="U14" s="1507">
        <f t="shared" si="1"/>
        <v>100</v>
      </c>
      <c r="V14" s="1506" t="s">
        <v>8</v>
      </c>
      <c r="W14" s="1507">
        <f t="shared" si="2"/>
        <v>100</v>
      </c>
      <c r="X14" s="1500"/>
      <c r="Y14" s="4002"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4003"/>
      <c r="Q15" s="1505"/>
      <c r="R15" s="1506"/>
      <c r="S15" s="1507"/>
      <c r="T15" s="1506"/>
      <c r="U15" s="1507"/>
      <c r="V15" s="1506"/>
      <c r="W15" s="1507"/>
      <c r="X15" s="1500"/>
      <c r="Y15" s="4003"/>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4003"/>
      <c r="Q16" s="1505" t="str">
        <f>B16</f>
        <v>公共配套设施</v>
      </c>
      <c r="R16" s="1506" t="s">
        <v>8</v>
      </c>
      <c r="S16" s="1507">
        <f>F16</f>
        <v>100</v>
      </c>
      <c r="T16" s="1506" t="s">
        <v>8</v>
      </c>
      <c r="U16" s="1507">
        <f>H16</f>
        <v>100</v>
      </c>
      <c r="V16" s="1506" t="s">
        <v>8</v>
      </c>
      <c r="W16" s="1507">
        <f>J16</f>
        <v>100</v>
      </c>
      <c r="X16" s="1500"/>
      <c r="Y16" s="4003"/>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4003"/>
      <c r="Q17" s="1505"/>
      <c r="R17" s="1506"/>
      <c r="S17" s="1507"/>
      <c r="T17" s="1506"/>
      <c r="U17" s="1507"/>
      <c r="V17" s="1506"/>
      <c r="W17" s="1507"/>
      <c r="X17" s="1500"/>
      <c r="Y17" s="4003"/>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4003"/>
      <c r="Q18" s="2427" t="str">
        <f>B18</f>
        <v>基础设施水平</v>
      </c>
      <c r="R18" s="1506" t="s">
        <v>8</v>
      </c>
      <c r="S18" s="1507">
        <f>F18</f>
        <v>100</v>
      </c>
      <c r="T18" s="1506" t="s">
        <v>8</v>
      </c>
      <c r="U18" s="1507">
        <f>H18</f>
        <v>100</v>
      </c>
      <c r="V18" s="1506" t="s">
        <v>8</v>
      </c>
      <c r="W18" s="1507">
        <f>J18</f>
        <v>100</v>
      </c>
      <c r="X18" s="2429"/>
      <c r="Y18" s="4003"/>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4003"/>
      <c r="Q19" s="2427"/>
      <c r="R19" s="1506"/>
      <c r="S19" s="1507"/>
      <c r="T19" s="1506"/>
      <c r="U19" s="1507"/>
      <c r="V19" s="1506"/>
      <c r="W19" s="1507"/>
      <c r="X19" s="2429"/>
      <c r="Y19" s="4003"/>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4003"/>
      <c r="Q20" s="1505" t="str">
        <f>B20</f>
        <v>自然及人文环境</v>
      </c>
      <c r="R20" s="1506" t="s">
        <v>8</v>
      </c>
      <c r="S20" s="1507">
        <f>F20</f>
        <v>100</v>
      </c>
      <c r="T20" s="1506" t="s">
        <v>8</v>
      </c>
      <c r="U20" s="1507">
        <f>H20</f>
        <v>100</v>
      </c>
      <c r="V20" s="1506" t="s">
        <v>8</v>
      </c>
      <c r="W20" s="1507">
        <f>J20</f>
        <v>100</v>
      </c>
      <c r="X20" s="1500"/>
      <c r="Y20" s="4003"/>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4003"/>
      <c r="Q21" s="1505"/>
      <c r="R21" s="1506"/>
      <c r="S21" s="1507"/>
      <c r="T21" s="1506"/>
      <c r="U21" s="1507"/>
      <c r="V21" s="1506"/>
      <c r="W21" s="1507"/>
      <c r="X21" s="1500"/>
      <c r="Y21" s="4003"/>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4003"/>
      <c r="Q22" s="1505" t="str">
        <f>B22</f>
        <v>楼层</v>
      </c>
      <c r="R22" s="1506" t="s">
        <v>8</v>
      </c>
      <c r="S22" s="1507">
        <f>F22</f>
        <v>100</v>
      </c>
      <c r="T22" s="1506" t="s">
        <v>8</v>
      </c>
      <c r="U22" s="1507">
        <f>H22</f>
        <v>100</v>
      </c>
      <c r="V22" s="1506" t="s">
        <v>8</v>
      </c>
      <c r="W22" s="1507">
        <f>J22</f>
        <v>100</v>
      </c>
      <c r="X22" s="1500"/>
      <c r="Y22" s="4003"/>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4003"/>
      <c r="Q23" s="1505">
        <f>B23</f>
        <v>111</v>
      </c>
      <c r="R23" s="1506" t="s">
        <v>8</v>
      </c>
      <c r="S23" s="1507">
        <f>F23</f>
        <v>100</v>
      </c>
      <c r="T23" s="1506" t="s">
        <v>8</v>
      </c>
      <c r="U23" s="1507">
        <f>H23</f>
        <v>100</v>
      </c>
      <c r="V23" s="1506" t="s">
        <v>8</v>
      </c>
      <c r="W23" s="1507">
        <f>J23</f>
        <v>100</v>
      </c>
      <c r="X23" s="1500"/>
      <c r="Y23" s="4003"/>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4003"/>
      <c r="Q24" s="1505">
        <f t="shared" ref="Q24:Q36" si="11">B24</f>
        <v>111</v>
      </c>
      <c r="R24" s="1506" t="s">
        <v>8</v>
      </c>
      <c r="S24" s="1507">
        <f>F24</f>
        <v>100</v>
      </c>
      <c r="T24" s="1506" t="s">
        <v>8</v>
      </c>
      <c r="U24" s="1507">
        <f>H24</f>
        <v>100</v>
      </c>
      <c r="V24" s="1506" t="s">
        <v>8</v>
      </c>
      <c r="W24" s="1507">
        <f>J24</f>
        <v>100</v>
      </c>
      <c r="X24" s="1500"/>
      <c r="Y24" s="4003"/>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4003"/>
      <c r="Q25" s="1132">
        <f t="shared" si="11"/>
        <v>111</v>
      </c>
      <c r="R25" s="1501" t="s">
        <v>8</v>
      </c>
      <c r="S25" s="1502">
        <f>F25</f>
        <v>100</v>
      </c>
      <c r="T25" s="1501" t="s">
        <v>8</v>
      </c>
      <c r="U25" s="1502">
        <f>H25</f>
        <v>100</v>
      </c>
      <c r="V25" s="1501" t="s">
        <v>8</v>
      </c>
      <c r="W25" s="1502">
        <f>J25</f>
        <v>100</v>
      </c>
      <c r="X25" s="1503"/>
      <c r="Y25" s="4003"/>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4004"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4005"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4005"/>
      <c r="Q27" s="1534" t="str">
        <f t="shared" si="11"/>
        <v>项目停车位配比</v>
      </c>
      <c r="R27" s="1510" t="s">
        <v>8</v>
      </c>
      <c r="S27" s="1511">
        <f t="shared" si="12"/>
        <v>100</v>
      </c>
      <c r="T27" s="1510" t="s">
        <v>8</v>
      </c>
      <c r="U27" s="1511">
        <f t="shared" si="13"/>
        <v>100</v>
      </c>
      <c r="V27" s="1510" t="s">
        <v>8</v>
      </c>
      <c r="W27" s="1511">
        <f t="shared" si="14"/>
        <v>100</v>
      </c>
      <c r="X27" s="1512"/>
      <c r="Y27" s="4005"/>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4005"/>
      <c r="Q28" s="1505" t="str">
        <f t="shared" si="11"/>
        <v>公共部分装修</v>
      </c>
      <c r="R28" s="1506" t="s">
        <v>8</v>
      </c>
      <c r="S28" s="1507">
        <f t="shared" si="12"/>
        <v>100</v>
      </c>
      <c r="T28" s="1506" t="s">
        <v>8</v>
      </c>
      <c r="U28" s="1507">
        <f t="shared" si="13"/>
        <v>100</v>
      </c>
      <c r="V28" s="1506" t="s">
        <v>8</v>
      </c>
      <c r="W28" s="1507">
        <f t="shared" si="14"/>
        <v>100</v>
      </c>
      <c r="X28" s="1500"/>
      <c r="Y28" s="4005"/>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4005"/>
      <c r="Q29" s="1505" t="str">
        <f t="shared" si="11"/>
        <v>成新率</v>
      </c>
      <c r="R29" s="1506" t="s">
        <v>8</v>
      </c>
      <c r="S29" s="1507" t="e">
        <f t="shared" si="12"/>
        <v>#N/A</v>
      </c>
      <c r="T29" s="1506" t="s">
        <v>8</v>
      </c>
      <c r="U29" s="1507" t="e">
        <f t="shared" si="13"/>
        <v>#N/A</v>
      </c>
      <c r="V29" s="1506" t="s">
        <v>8</v>
      </c>
      <c r="W29" s="1507" t="e">
        <f t="shared" si="14"/>
        <v>#N/A</v>
      </c>
      <c r="X29" s="1500"/>
      <c r="Y29" s="4005"/>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4005"/>
      <c r="Q30" s="1505" t="str">
        <f t="shared" si="11"/>
        <v>物业等级</v>
      </c>
      <c r="R30" s="1506" t="s">
        <v>8</v>
      </c>
      <c r="S30" s="1507">
        <f t="shared" si="12"/>
        <v>100</v>
      </c>
      <c r="T30" s="1506" t="s">
        <v>8</v>
      </c>
      <c r="U30" s="1507">
        <f t="shared" si="13"/>
        <v>100</v>
      </c>
      <c r="V30" s="1506" t="s">
        <v>8</v>
      </c>
      <c r="W30" s="1507">
        <f t="shared" si="14"/>
        <v>100</v>
      </c>
      <c r="X30" s="1500"/>
      <c r="Y30" s="4005"/>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4005"/>
      <c r="Q31" s="1132" t="str">
        <f t="shared" si="11"/>
        <v>停车位面积</v>
      </c>
      <c r="R31" s="1501" t="s">
        <v>8</v>
      </c>
      <c r="S31" s="1502" t="e">
        <f t="shared" si="12"/>
        <v>#N/A</v>
      </c>
      <c r="T31" s="1501" t="s">
        <v>8</v>
      </c>
      <c r="U31" s="1502" t="e">
        <f t="shared" si="13"/>
        <v>#N/A</v>
      </c>
      <c r="V31" s="1501" t="s">
        <v>8</v>
      </c>
      <c r="W31" s="1502" t="e">
        <f t="shared" si="14"/>
        <v>#N/A</v>
      </c>
      <c r="X31" s="1503"/>
      <c r="Y31" s="4005"/>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4005" t="s">
        <v>542</v>
      </c>
      <c r="Q32" s="1505" t="str">
        <f t="shared" si="11"/>
        <v>车位类型</v>
      </c>
      <c r="R32" s="1506" t="s">
        <v>8</v>
      </c>
      <c r="S32" s="1507">
        <f t="shared" si="12"/>
        <v>100</v>
      </c>
      <c r="T32" s="1506" t="s">
        <v>8</v>
      </c>
      <c r="U32" s="1507">
        <f t="shared" si="13"/>
        <v>100</v>
      </c>
      <c r="V32" s="1506" t="s">
        <v>8</v>
      </c>
      <c r="W32" s="1507">
        <f t="shared" si="14"/>
        <v>100</v>
      </c>
      <c r="X32" s="1500"/>
      <c r="Y32" s="4005"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4005"/>
      <c r="Q33" s="1505" t="str">
        <f t="shared" si="11"/>
        <v>是否直接入户</v>
      </c>
      <c r="R33" s="1506" t="s">
        <v>8</v>
      </c>
      <c r="S33" s="1507">
        <f t="shared" si="12"/>
        <v>100</v>
      </c>
      <c r="T33" s="1506" t="s">
        <v>8</v>
      </c>
      <c r="U33" s="1507">
        <f t="shared" si="13"/>
        <v>100</v>
      </c>
      <c r="V33" s="1506" t="s">
        <v>8</v>
      </c>
      <c r="W33" s="1507">
        <f t="shared" si="14"/>
        <v>100</v>
      </c>
      <c r="X33" s="1500"/>
      <c r="Y33" s="4005"/>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4005"/>
      <c r="Q34" s="1505">
        <f t="shared" si="11"/>
        <v>111</v>
      </c>
      <c r="R34" s="1506" t="s">
        <v>8</v>
      </c>
      <c r="S34" s="1507">
        <f t="shared" si="12"/>
        <v>100</v>
      </c>
      <c r="T34" s="1506" t="s">
        <v>8</v>
      </c>
      <c r="U34" s="1507">
        <f t="shared" si="13"/>
        <v>100</v>
      </c>
      <c r="V34" s="1506" t="s">
        <v>8</v>
      </c>
      <c r="W34" s="1507">
        <f t="shared" si="14"/>
        <v>100</v>
      </c>
      <c r="X34" s="1500"/>
      <c r="Y34" s="4005"/>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4005"/>
      <c r="Q35" s="1534">
        <f t="shared" si="11"/>
        <v>111</v>
      </c>
      <c r="R35" s="1510" t="s">
        <v>8</v>
      </c>
      <c r="S35" s="1511">
        <f t="shared" si="12"/>
        <v>100</v>
      </c>
      <c r="T35" s="1510" t="s">
        <v>8</v>
      </c>
      <c r="U35" s="1511">
        <f t="shared" si="13"/>
        <v>100</v>
      </c>
      <c r="V35" s="1510" t="s">
        <v>8</v>
      </c>
      <c r="W35" s="1511">
        <f t="shared" si="14"/>
        <v>100</v>
      </c>
      <c r="X35" s="1512"/>
      <c r="Y35" s="4005"/>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4005"/>
      <c r="Q36" s="1505">
        <f t="shared" si="11"/>
        <v>111</v>
      </c>
      <c r="R36" s="1506" t="s">
        <v>8</v>
      </c>
      <c r="S36" s="1507">
        <f t="shared" si="12"/>
        <v>100</v>
      </c>
      <c r="T36" s="1506" t="s">
        <v>8</v>
      </c>
      <c r="U36" s="1507">
        <f t="shared" si="13"/>
        <v>100</v>
      </c>
      <c r="V36" s="1506" t="s">
        <v>8</v>
      </c>
      <c r="W36" s="1507">
        <f t="shared" si="14"/>
        <v>100</v>
      </c>
      <c r="X36" s="1500"/>
      <c r="Y36" s="4005"/>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968" t="str">
        <f>A37</f>
        <v>成交单价</v>
      </c>
      <c r="Q37" s="3968"/>
      <c r="R37" s="4126">
        <f>E37</f>
        <v>0</v>
      </c>
      <c r="S37" s="4126"/>
      <c r="T37" s="4126">
        <f>G37</f>
        <v>0</v>
      </c>
      <c r="U37" s="4126"/>
      <c r="V37" s="4126">
        <f>I37</f>
        <v>0</v>
      </c>
      <c r="W37" s="4126"/>
      <c r="X37" s="1495"/>
      <c r="Y37" s="1514"/>
      <c r="Z37" s="1495"/>
      <c r="AA37" s="1495"/>
      <c r="AB37" s="1495"/>
      <c r="AC37" s="1495"/>
    </row>
    <row r="38" spans="1:29" ht="15.75" thickBot="1">
      <c r="A38" s="607" t="s">
        <v>2738</v>
      </c>
      <c r="B38" s="875"/>
      <c r="C38" s="2474" t="e">
        <f>R39</f>
        <v>#DIV/0!</v>
      </c>
      <c r="D38" s="3003" t="s">
        <v>2963</v>
      </c>
      <c r="E38" s="2475" t="e">
        <f>R38</f>
        <v>#DIV/0!</v>
      </c>
      <c r="F38" s="3004"/>
      <c r="G38" s="2474" t="e">
        <f>T38</f>
        <v>#DIV/0!</v>
      </c>
      <c r="H38" s="3004"/>
      <c r="I38" s="2475" t="e">
        <f>V38</f>
        <v>#DIV/0!</v>
      </c>
      <c r="J38" s="3004"/>
      <c r="K38" s="3012">
        <f>F38+H38+J38</f>
        <v>0</v>
      </c>
      <c r="L38" s="2024"/>
      <c r="M38" s="2025"/>
      <c r="N38" s="2025"/>
      <c r="O38" s="2025"/>
      <c r="P38" s="3968" t="str">
        <f>A38</f>
        <v>比较价格（元/平方米）</v>
      </c>
      <c r="Q38" s="3968"/>
      <c r="R38" s="4126" t="e">
        <f>IF(F1="售价",ROUND(PRODUCT(R37,AA7:AA36),0),ROUND(PRODUCT(R37,AA7:AA36),1))</f>
        <v>#DIV/0!</v>
      </c>
      <c r="S38" s="4126"/>
      <c r="T38" s="4126" t="e">
        <f>IF(F1="售价",ROUND(PRODUCT(T37,AB7:AB36),0),ROUND(PRODUCT(T37,AB7:AB36),1))</f>
        <v>#DIV/0!</v>
      </c>
      <c r="U38" s="4126"/>
      <c r="V38" s="4126" t="e">
        <f>IF(F1="售价",ROUND(PRODUCT(V37,AC7:AC36),0),ROUND(PRODUCT(V37,AC7:AC36),1))</f>
        <v>#DIV/0!</v>
      </c>
      <c r="W38" s="4126"/>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965" t="str">
        <f>A39</f>
        <v>估价对象XX用房的比较价格（楼面单价，元/平方米）</v>
      </c>
      <c r="Q39" s="3966"/>
      <c r="R39" s="4125" t="e">
        <f>IF(F1="售价",ROUND(IF(D38="简单平均",AVERAGE(R38:W38),R38*F38+T38*H38+V38*J38),0),ROUND(IF(D38="简单平均",AVERAGE(R38:V38),R38*F38+T38*H38+V38*J38),1))</f>
        <v>#DIV/0!</v>
      </c>
      <c r="S39" s="4125"/>
      <c r="T39" s="4125"/>
      <c r="U39" s="4125"/>
      <c r="V39" s="4125"/>
      <c r="W39" s="4125"/>
      <c r="X39" s="1495"/>
      <c r="Y39" s="1495"/>
      <c r="Z39" s="1495"/>
      <c r="AA39" s="1495"/>
      <c r="AB39" s="1495"/>
      <c r="AC39" s="1495"/>
    </row>
    <row r="40" spans="1:29">
      <c r="A40" s="3201"/>
      <c r="B40" s="3201"/>
      <c r="C40" s="3201"/>
      <c r="D40" s="3201"/>
      <c r="E40" s="3201"/>
      <c r="F40" s="3201"/>
      <c r="G40" s="3203"/>
      <c r="H40" s="3201"/>
      <c r="I40" s="3201"/>
      <c r="J40" s="3201"/>
      <c r="K40" s="3204"/>
      <c r="L40" s="2029"/>
      <c r="M40" s="2025"/>
      <c r="N40" s="2025"/>
      <c r="O40" s="2025"/>
      <c r="P40" s="2025"/>
      <c r="Q40" s="2025"/>
      <c r="R40" s="2025"/>
      <c r="S40" s="2025"/>
      <c r="T40" s="2025"/>
      <c r="U40" s="2025"/>
      <c r="V40" s="2025"/>
      <c r="W40" s="2025"/>
      <c r="X40" s="2025"/>
      <c r="Y40" s="2025"/>
      <c r="Z40" s="2025"/>
      <c r="AA40" s="2025"/>
      <c r="AB40" s="2025"/>
      <c r="AC40" s="2025"/>
    </row>
    <row r="41" spans="1:29">
      <c r="A41" s="3201"/>
      <c r="B41" s="3201"/>
      <c r="C41" s="3201"/>
      <c r="D41" s="3201"/>
      <c r="E41" s="3201"/>
      <c r="F41" s="3201"/>
      <c r="G41" s="3201"/>
      <c r="H41" s="3201"/>
      <c r="I41" s="3201"/>
      <c r="J41" s="3201"/>
      <c r="K41" s="3204"/>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1"/>
      <c r="B42" s="320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4"/>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1"/>
      <c r="B43" s="320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4"/>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2"/>
      <c r="B44" s="320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05"/>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2021-12</v>
      </c>
      <c r="D48" s="2519">
        <f>EDATE(C48,-1)</f>
        <v>44501</v>
      </c>
      <c r="E48" s="2519">
        <f t="shared" ref="E48:O48" si="16">EDATE(D48,-1)</f>
        <v>44470</v>
      </c>
      <c r="F48" s="2519">
        <f t="shared" si="16"/>
        <v>44440</v>
      </c>
      <c r="G48" s="2519">
        <f t="shared" si="16"/>
        <v>44409</v>
      </c>
      <c r="H48" s="2519">
        <f t="shared" si="16"/>
        <v>44378</v>
      </c>
      <c r="I48" s="2519">
        <f t="shared" si="16"/>
        <v>44348</v>
      </c>
      <c r="J48" s="2519">
        <f t="shared" si="16"/>
        <v>44317</v>
      </c>
      <c r="K48" s="2519">
        <f t="shared" si="16"/>
        <v>44287</v>
      </c>
      <c r="L48" s="2519">
        <f t="shared" si="16"/>
        <v>44256</v>
      </c>
      <c r="M48" s="2519">
        <f t="shared" si="16"/>
        <v>44228</v>
      </c>
      <c r="N48" s="2519">
        <f t="shared" si="16"/>
        <v>44197</v>
      </c>
      <c r="O48" s="2519">
        <f t="shared" si="16"/>
        <v>44166</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74" t="s">
        <v>790</v>
      </c>
      <c r="D4" s="3975"/>
      <c r="E4" s="4008" t="s">
        <v>791</v>
      </c>
      <c r="F4" s="4009"/>
      <c r="G4" s="3974" t="s">
        <v>792</v>
      </c>
      <c r="H4" s="3975"/>
      <c r="I4" s="3974" t="s">
        <v>793</v>
      </c>
      <c r="J4" s="3975"/>
      <c r="K4" s="506" t="s">
        <v>794</v>
      </c>
      <c r="L4" s="2013"/>
      <c r="M4" s="2014"/>
      <c r="N4" s="2014"/>
      <c r="O4" s="2014"/>
      <c r="P4" s="3976" t="s">
        <v>795</v>
      </c>
      <c r="Q4" s="3977"/>
      <c r="R4" s="3982" t="s">
        <v>791</v>
      </c>
      <c r="S4" s="3983"/>
      <c r="T4" s="3982" t="s">
        <v>792</v>
      </c>
      <c r="U4" s="3983"/>
      <c r="V4" s="3969" t="s">
        <v>793</v>
      </c>
      <c r="W4" s="3969"/>
      <c r="X4" s="1500"/>
      <c r="Y4" s="3982" t="s">
        <v>795</v>
      </c>
      <c r="Z4" s="3983"/>
      <c r="AA4" s="3971" t="s">
        <v>791</v>
      </c>
      <c r="AB4" s="3972" t="s">
        <v>792</v>
      </c>
      <c r="AC4" s="3971" t="s">
        <v>793</v>
      </c>
    </row>
    <row r="5" spans="1:29" ht="15">
      <c r="A5" s="507"/>
      <c r="B5" s="508"/>
      <c r="C5" s="3990" t="s">
        <v>2892</v>
      </c>
      <c r="D5" s="3991"/>
      <c r="E5" s="4010" t="s">
        <v>2893</v>
      </c>
      <c r="F5" s="4011"/>
      <c r="G5" s="3990" t="s">
        <v>2894</v>
      </c>
      <c r="H5" s="3991"/>
      <c r="I5" s="3990" t="s">
        <v>2895</v>
      </c>
      <c r="J5" s="3991"/>
      <c r="K5" s="506"/>
      <c r="L5" s="2013"/>
      <c r="M5" s="2014"/>
      <c r="N5" s="2014"/>
      <c r="O5" s="2014"/>
      <c r="P5" s="3978"/>
      <c r="Q5" s="3979"/>
      <c r="R5" s="3984"/>
      <c r="S5" s="3985"/>
      <c r="T5" s="3984"/>
      <c r="U5" s="3985"/>
      <c r="V5" s="3969"/>
      <c r="W5" s="3969"/>
      <c r="X5" s="1500"/>
      <c r="Y5" s="3984"/>
      <c r="Z5" s="3985"/>
      <c r="AA5" s="3972"/>
      <c r="AB5" s="3972"/>
      <c r="AC5" s="3972"/>
    </row>
    <row r="6" spans="1:29" ht="15.75" thickBot="1">
      <c r="A6" s="509"/>
      <c r="B6" s="510"/>
      <c r="C6" s="3988" t="s">
        <v>2896</v>
      </c>
      <c r="D6" s="3989"/>
      <c r="E6" s="4006" t="s">
        <v>2896</v>
      </c>
      <c r="F6" s="4007"/>
      <c r="G6" s="3988" t="s">
        <v>2896</v>
      </c>
      <c r="H6" s="3989"/>
      <c r="I6" s="3988" t="s">
        <v>2896</v>
      </c>
      <c r="J6" s="3989"/>
      <c r="K6" s="506" t="s">
        <v>520</v>
      </c>
      <c r="L6" s="2013"/>
      <c r="M6" s="2014"/>
      <c r="N6" s="2014"/>
      <c r="O6" s="2014"/>
      <c r="P6" s="3980"/>
      <c r="Q6" s="3981"/>
      <c r="R6" s="3984"/>
      <c r="S6" s="3985"/>
      <c r="T6" s="3986"/>
      <c r="U6" s="3987"/>
      <c r="V6" s="3969"/>
      <c r="W6" s="3969"/>
      <c r="X6" s="1500"/>
      <c r="Y6" s="3986"/>
      <c r="Z6" s="3987"/>
      <c r="AA6" s="3973"/>
      <c r="AB6" s="3973"/>
      <c r="AC6" s="3973"/>
    </row>
    <row r="7" spans="1:29" s="1201" customFormat="1" ht="15.75" thickBot="1">
      <c r="A7" s="2627"/>
      <c r="B7" s="2634" t="s">
        <v>521</v>
      </c>
      <c r="C7" s="511">
        <f>'数据-取费表'!B2</f>
        <v>44545</v>
      </c>
      <c r="D7" s="512">
        <v>100</v>
      </c>
      <c r="E7" s="513"/>
      <c r="F7" s="514">
        <f>SUMIF(46:46,YEAR(E7)&amp;"-"&amp;MONTH(E7),47:47)</f>
        <v>0</v>
      </c>
      <c r="G7" s="515"/>
      <c r="H7" s="512">
        <f>SUMIF(46:46,YEAR(G7)&amp;"-"&amp;MONTH(G7),47:47)</f>
        <v>0</v>
      </c>
      <c r="I7" s="515"/>
      <c r="J7" s="512">
        <f>SUMIF(46:46,YEAR(I7)&amp;"-"&amp;MONTH(I7),47:47)</f>
        <v>0</v>
      </c>
      <c r="K7" s="516"/>
      <c r="L7" s="2015"/>
      <c r="M7" s="2016"/>
      <c r="N7" s="2016"/>
      <c r="O7" s="2016"/>
      <c r="P7" s="3999" t="s">
        <v>522</v>
      </c>
      <c r="Q7" s="4001"/>
      <c r="R7" s="1501" t="s">
        <v>8</v>
      </c>
      <c r="S7" s="1502">
        <f t="shared" ref="S7:S14" si="0">F7</f>
        <v>0</v>
      </c>
      <c r="T7" s="1501" t="s">
        <v>8</v>
      </c>
      <c r="U7" s="1502">
        <f t="shared" ref="U7:U14" si="1">H7</f>
        <v>0</v>
      </c>
      <c r="V7" s="1501" t="s">
        <v>8</v>
      </c>
      <c r="W7" s="1502">
        <f t="shared" ref="W7:W14" si="2">J7</f>
        <v>0</v>
      </c>
      <c r="X7" s="1503"/>
      <c r="Y7" s="3999" t="s">
        <v>522</v>
      </c>
      <c r="Z7" s="4000"/>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999" t="s">
        <v>525</v>
      </c>
      <c r="Q8" s="4000"/>
      <c r="R8" s="1501" t="s">
        <v>8</v>
      </c>
      <c r="S8" s="1502">
        <f t="shared" si="0"/>
        <v>0</v>
      </c>
      <c r="T8" s="1501" t="s">
        <v>8</v>
      </c>
      <c r="U8" s="1502">
        <f t="shared" si="1"/>
        <v>0</v>
      </c>
      <c r="V8" s="1501" t="s">
        <v>8</v>
      </c>
      <c r="W8" s="1502">
        <f t="shared" si="2"/>
        <v>0</v>
      </c>
      <c r="X8" s="1503"/>
      <c r="Y8" s="3999" t="s">
        <v>525</v>
      </c>
      <c r="Z8" s="4000"/>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968" t="s">
        <v>527</v>
      </c>
      <c r="Q9" s="1132" t="str">
        <f t="shared" ref="Q9:Q14" si="6">B9</f>
        <v>用途</v>
      </c>
      <c r="R9" s="1501" t="s">
        <v>8</v>
      </c>
      <c r="S9" s="1502">
        <f t="shared" si="0"/>
        <v>100</v>
      </c>
      <c r="T9" s="1501" t="s">
        <v>8</v>
      </c>
      <c r="U9" s="1502">
        <f t="shared" si="1"/>
        <v>100</v>
      </c>
      <c r="V9" s="1501" t="s">
        <v>8</v>
      </c>
      <c r="W9" s="1502">
        <f t="shared" si="2"/>
        <v>100</v>
      </c>
      <c r="X9" s="1503"/>
      <c r="Y9" s="3914"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968"/>
      <c r="Q10" s="1132" t="str">
        <f t="shared" si="6"/>
        <v>土地使用年限（年）</v>
      </c>
      <c r="R10" s="1501" t="s">
        <v>8</v>
      </c>
      <c r="S10" s="1502">
        <f t="shared" si="0"/>
        <v>100</v>
      </c>
      <c r="T10" s="1501" t="s">
        <v>8</v>
      </c>
      <c r="U10" s="1502">
        <f t="shared" si="1"/>
        <v>100</v>
      </c>
      <c r="V10" s="1501" t="s">
        <v>8</v>
      </c>
      <c r="W10" s="1502">
        <f t="shared" si="2"/>
        <v>100</v>
      </c>
      <c r="X10" s="1503"/>
      <c r="Y10" s="3914"/>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968"/>
      <c r="Q11" s="1132">
        <f t="shared" si="6"/>
        <v>111</v>
      </c>
      <c r="R11" s="1501" t="s">
        <v>8</v>
      </c>
      <c r="S11" s="1502">
        <f t="shared" si="0"/>
        <v>100</v>
      </c>
      <c r="T11" s="1501" t="s">
        <v>8</v>
      </c>
      <c r="U11" s="1502">
        <f t="shared" si="1"/>
        <v>100</v>
      </c>
      <c r="V11" s="1501" t="s">
        <v>8</v>
      </c>
      <c r="W11" s="1502">
        <f t="shared" si="2"/>
        <v>100</v>
      </c>
      <c r="X11" s="1503"/>
      <c r="Y11" s="3914"/>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968"/>
      <c r="Q12" s="1132">
        <f t="shared" si="6"/>
        <v>111</v>
      </c>
      <c r="R12" s="1501" t="s">
        <v>8</v>
      </c>
      <c r="S12" s="1502">
        <f t="shared" si="0"/>
        <v>100</v>
      </c>
      <c r="T12" s="1501" t="s">
        <v>8</v>
      </c>
      <c r="U12" s="1502">
        <f t="shared" si="1"/>
        <v>100</v>
      </c>
      <c r="V12" s="1501" t="s">
        <v>8</v>
      </c>
      <c r="W12" s="1502">
        <f t="shared" si="2"/>
        <v>100</v>
      </c>
      <c r="X12" s="1503"/>
      <c r="Y12" s="3914"/>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968"/>
      <c r="Q13" s="1132">
        <f t="shared" si="6"/>
        <v>111</v>
      </c>
      <c r="R13" s="1501" t="s">
        <v>8</v>
      </c>
      <c r="S13" s="1502">
        <f t="shared" si="0"/>
        <v>100</v>
      </c>
      <c r="T13" s="1501" t="s">
        <v>8</v>
      </c>
      <c r="U13" s="1502">
        <f t="shared" si="1"/>
        <v>100</v>
      </c>
      <c r="V13" s="1501" t="s">
        <v>8</v>
      </c>
      <c r="W13" s="1502">
        <f t="shared" si="2"/>
        <v>100</v>
      </c>
      <c r="X13" s="1503"/>
      <c r="Y13" s="3914"/>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4002" t="s">
        <v>532</v>
      </c>
      <c r="Q14" s="1505" t="str">
        <f t="shared" si="6"/>
        <v>交通便捷度</v>
      </c>
      <c r="R14" s="1506" t="s">
        <v>8</v>
      </c>
      <c r="S14" s="1507">
        <f t="shared" si="0"/>
        <v>100</v>
      </c>
      <c r="T14" s="1506" t="s">
        <v>8</v>
      </c>
      <c r="U14" s="1507">
        <f t="shared" si="1"/>
        <v>100</v>
      </c>
      <c r="V14" s="1506" t="s">
        <v>8</v>
      </c>
      <c r="W14" s="1507">
        <f t="shared" si="2"/>
        <v>100</v>
      </c>
      <c r="X14" s="1500"/>
      <c r="Y14" s="4002"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4003"/>
      <c r="Q15" s="1505"/>
      <c r="R15" s="1506"/>
      <c r="S15" s="1507"/>
      <c r="T15" s="1506"/>
      <c r="U15" s="1507"/>
      <c r="V15" s="1506"/>
      <c r="W15" s="1507"/>
      <c r="X15" s="1500"/>
      <c r="Y15" s="4003"/>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4003"/>
      <c r="Q16" s="1505" t="str">
        <f>B16</f>
        <v>公共配套设施</v>
      </c>
      <c r="R16" s="1506" t="s">
        <v>8</v>
      </c>
      <c r="S16" s="1507">
        <f>F16</f>
        <v>100</v>
      </c>
      <c r="T16" s="1506" t="s">
        <v>8</v>
      </c>
      <c r="U16" s="1507">
        <f>H16</f>
        <v>100</v>
      </c>
      <c r="V16" s="1506" t="s">
        <v>8</v>
      </c>
      <c r="W16" s="1507">
        <f>J16</f>
        <v>100</v>
      </c>
      <c r="X16" s="1500"/>
      <c r="Y16" s="4003"/>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4003"/>
      <c r="Q17" s="1505"/>
      <c r="R17" s="1506"/>
      <c r="S17" s="1507"/>
      <c r="T17" s="1506"/>
      <c r="U17" s="1507"/>
      <c r="V17" s="1506"/>
      <c r="W17" s="1507"/>
      <c r="X17" s="1500"/>
      <c r="Y17" s="4003"/>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4003"/>
      <c r="Q18" s="2427" t="str">
        <f>B18</f>
        <v>基础设施水平</v>
      </c>
      <c r="R18" s="1506" t="s">
        <v>8</v>
      </c>
      <c r="S18" s="1507">
        <f>F18</f>
        <v>100</v>
      </c>
      <c r="T18" s="1506" t="s">
        <v>8</v>
      </c>
      <c r="U18" s="1507">
        <f>H18</f>
        <v>100</v>
      </c>
      <c r="V18" s="1506" t="s">
        <v>8</v>
      </c>
      <c r="W18" s="1507">
        <f>J18</f>
        <v>100</v>
      </c>
      <c r="X18" s="2429"/>
      <c r="Y18" s="4003"/>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4003"/>
      <c r="Q19" s="2427"/>
      <c r="R19" s="1506"/>
      <c r="S19" s="1507"/>
      <c r="T19" s="1506"/>
      <c r="U19" s="1507"/>
      <c r="V19" s="1506"/>
      <c r="W19" s="1507"/>
      <c r="X19" s="2429"/>
      <c r="Y19" s="4003"/>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4003"/>
      <c r="Q20" s="1505" t="str">
        <f>B20</f>
        <v>自然及人文环境</v>
      </c>
      <c r="R20" s="1506" t="s">
        <v>8</v>
      </c>
      <c r="S20" s="1507">
        <f>F20</f>
        <v>100</v>
      </c>
      <c r="T20" s="1506" t="s">
        <v>8</v>
      </c>
      <c r="U20" s="1507">
        <f>H20</f>
        <v>100</v>
      </c>
      <c r="V20" s="1506" t="s">
        <v>8</v>
      </c>
      <c r="W20" s="1507">
        <f>J20</f>
        <v>100</v>
      </c>
      <c r="X20" s="1500"/>
      <c r="Y20" s="4003"/>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4003"/>
      <c r="Q21" s="1505"/>
      <c r="R21" s="1506"/>
      <c r="S21" s="1507"/>
      <c r="T21" s="1506"/>
      <c r="U21" s="1507"/>
      <c r="V21" s="1506"/>
      <c r="W21" s="1507"/>
      <c r="X21" s="1500"/>
      <c r="Y21" s="4003"/>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4003"/>
      <c r="Q22" s="1505" t="str">
        <f>B22</f>
        <v>楼层</v>
      </c>
      <c r="R22" s="1506" t="s">
        <v>8</v>
      </c>
      <c r="S22" s="1507">
        <f>F22</f>
        <v>100</v>
      </c>
      <c r="T22" s="1506" t="s">
        <v>8</v>
      </c>
      <c r="U22" s="1507">
        <f>H22</f>
        <v>100</v>
      </c>
      <c r="V22" s="1506" t="s">
        <v>8</v>
      </c>
      <c r="W22" s="1507">
        <f>J22</f>
        <v>100</v>
      </c>
      <c r="X22" s="1500"/>
      <c r="Y22" s="4003"/>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4003"/>
      <c r="Q23" s="1505">
        <f>B23</f>
        <v>111</v>
      </c>
      <c r="R23" s="1506" t="s">
        <v>8</v>
      </c>
      <c r="S23" s="1507">
        <f>F23</f>
        <v>100</v>
      </c>
      <c r="T23" s="1506" t="s">
        <v>8</v>
      </c>
      <c r="U23" s="1507">
        <f>H23</f>
        <v>100</v>
      </c>
      <c r="V23" s="1506" t="s">
        <v>8</v>
      </c>
      <c r="W23" s="1507">
        <f>J23</f>
        <v>100</v>
      </c>
      <c r="X23" s="1500"/>
      <c r="Y23" s="4003"/>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4003"/>
      <c r="Q24" s="1505">
        <f t="shared" ref="Q24:Q34" si="11">B24</f>
        <v>111</v>
      </c>
      <c r="R24" s="1506" t="s">
        <v>8</v>
      </c>
      <c r="S24" s="1507">
        <f>F24</f>
        <v>100</v>
      </c>
      <c r="T24" s="1506" t="s">
        <v>8</v>
      </c>
      <c r="U24" s="1507">
        <f>H24</f>
        <v>100</v>
      </c>
      <c r="V24" s="1506" t="s">
        <v>8</v>
      </c>
      <c r="W24" s="1507">
        <f>J24</f>
        <v>100</v>
      </c>
      <c r="X24" s="1500"/>
      <c r="Y24" s="4003"/>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4003"/>
      <c r="Q25" s="1132">
        <f t="shared" si="11"/>
        <v>111</v>
      </c>
      <c r="R25" s="1501" t="s">
        <v>8</v>
      </c>
      <c r="S25" s="1502">
        <f>F25</f>
        <v>100</v>
      </c>
      <c r="T25" s="1501" t="s">
        <v>8</v>
      </c>
      <c r="U25" s="1502">
        <f>H25</f>
        <v>100</v>
      </c>
      <c r="V25" s="1501" t="s">
        <v>8</v>
      </c>
      <c r="W25" s="1502">
        <f>J25</f>
        <v>100</v>
      </c>
      <c r="X25" s="1503"/>
      <c r="Y25" s="4003"/>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4004"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4005"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4005"/>
      <c r="Q27" s="1534" t="str">
        <f t="shared" si="11"/>
        <v>成新率</v>
      </c>
      <c r="R27" s="1510" t="s">
        <v>8</v>
      </c>
      <c r="S27" s="1511" t="e">
        <f t="shared" si="12"/>
        <v>#N/A</v>
      </c>
      <c r="T27" s="1510" t="s">
        <v>8</v>
      </c>
      <c r="U27" s="1511" t="e">
        <f t="shared" si="13"/>
        <v>#N/A</v>
      </c>
      <c r="V27" s="1510" t="s">
        <v>8</v>
      </c>
      <c r="W27" s="1511" t="e">
        <f t="shared" si="14"/>
        <v>#N/A</v>
      </c>
      <c r="X27" s="1512"/>
      <c r="Y27" s="4005"/>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4005"/>
      <c r="Q28" s="1505" t="str">
        <f t="shared" si="11"/>
        <v>物业等级</v>
      </c>
      <c r="R28" s="1506" t="s">
        <v>8</v>
      </c>
      <c r="S28" s="1507">
        <f t="shared" si="12"/>
        <v>100</v>
      </c>
      <c r="T28" s="1506" t="s">
        <v>8</v>
      </c>
      <c r="U28" s="1507">
        <f t="shared" si="13"/>
        <v>100</v>
      </c>
      <c r="V28" s="1506" t="s">
        <v>8</v>
      </c>
      <c r="W28" s="1507">
        <f t="shared" si="14"/>
        <v>100</v>
      </c>
      <c r="X28" s="1500"/>
      <c r="Y28" s="4005"/>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4005"/>
      <c r="Q29" s="1505" t="str">
        <f t="shared" si="11"/>
        <v>有无电梯</v>
      </c>
      <c r="R29" s="1506" t="s">
        <v>8</v>
      </c>
      <c r="S29" s="1507">
        <f t="shared" si="12"/>
        <v>100</v>
      </c>
      <c r="T29" s="1506" t="s">
        <v>8</v>
      </c>
      <c r="U29" s="1507">
        <f t="shared" si="13"/>
        <v>100</v>
      </c>
      <c r="V29" s="1506" t="s">
        <v>8</v>
      </c>
      <c r="W29" s="1507">
        <f t="shared" si="14"/>
        <v>100</v>
      </c>
      <c r="X29" s="1500"/>
      <c r="Y29" s="4005"/>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4005"/>
      <c r="Q30" s="1505" t="str">
        <f t="shared" si="11"/>
        <v>建筑面积</v>
      </c>
      <c r="R30" s="1506" t="s">
        <v>8</v>
      </c>
      <c r="S30" s="1507" t="e">
        <f t="shared" si="12"/>
        <v>#N/A</v>
      </c>
      <c r="T30" s="1506" t="s">
        <v>8</v>
      </c>
      <c r="U30" s="1507" t="e">
        <f t="shared" si="13"/>
        <v>#N/A</v>
      </c>
      <c r="V30" s="1506" t="s">
        <v>8</v>
      </c>
      <c r="W30" s="1507" t="e">
        <f t="shared" si="14"/>
        <v>#N/A</v>
      </c>
      <c r="X30" s="1500"/>
      <c r="Y30" s="4005"/>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4005"/>
      <c r="Q31" s="1132" t="str">
        <f t="shared" si="11"/>
        <v>是否封闭</v>
      </c>
      <c r="R31" s="1501" t="s">
        <v>8</v>
      </c>
      <c r="S31" s="1502">
        <f t="shared" si="12"/>
        <v>100</v>
      </c>
      <c r="T31" s="1501" t="s">
        <v>8</v>
      </c>
      <c r="U31" s="1502">
        <f t="shared" si="13"/>
        <v>100</v>
      </c>
      <c r="V31" s="1501" t="s">
        <v>8</v>
      </c>
      <c r="W31" s="1502">
        <f t="shared" si="14"/>
        <v>100</v>
      </c>
      <c r="X31" s="1503"/>
      <c r="Y31" s="4005"/>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4005" t="s">
        <v>542</v>
      </c>
      <c r="Q32" s="1505">
        <f t="shared" si="11"/>
        <v>111</v>
      </c>
      <c r="R32" s="1506" t="s">
        <v>8</v>
      </c>
      <c r="S32" s="1507">
        <f t="shared" si="12"/>
        <v>100</v>
      </c>
      <c r="T32" s="1506" t="s">
        <v>8</v>
      </c>
      <c r="U32" s="1507">
        <f t="shared" si="13"/>
        <v>100</v>
      </c>
      <c r="V32" s="1506" t="s">
        <v>8</v>
      </c>
      <c r="W32" s="1507">
        <f t="shared" si="14"/>
        <v>100</v>
      </c>
      <c r="X32" s="1500"/>
      <c r="Y32" s="4005"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4005"/>
      <c r="Q33" s="1505">
        <f t="shared" si="11"/>
        <v>111</v>
      </c>
      <c r="R33" s="1506" t="s">
        <v>8</v>
      </c>
      <c r="S33" s="1507">
        <f t="shared" si="12"/>
        <v>100</v>
      </c>
      <c r="T33" s="1506" t="s">
        <v>8</v>
      </c>
      <c r="U33" s="1507">
        <f t="shared" si="13"/>
        <v>100</v>
      </c>
      <c r="V33" s="1506" t="s">
        <v>8</v>
      </c>
      <c r="W33" s="1507">
        <f t="shared" si="14"/>
        <v>100</v>
      </c>
      <c r="X33" s="1500"/>
      <c r="Y33" s="4005"/>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4005"/>
      <c r="Q34" s="1505">
        <f t="shared" si="11"/>
        <v>111</v>
      </c>
      <c r="R34" s="1506" t="s">
        <v>8</v>
      </c>
      <c r="S34" s="1507">
        <f t="shared" si="12"/>
        <v>100</v>
      </c>
      <c r="T34" s="1506" t="s">
        <v>8</v>
      </c>
      <c r="U34" s="1507">
        <f t="shared" si="13"/>
        <v>100</v>
      </c>
      <c r="V34" s="1506" t="s">
        <v>8</v>
      </c>
      <c r="W34" s="1507">
        <f t="shared" si="14"/>
        <v>100</v>
      </c>
      <c r="X34" s="1500"/>
      <c r="Y34" s="4005"/>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968" t="str">
        <f>A35</f>
        <v>成交单价（元/平方米）</v>
      </c>
      <c r="Q35" s="3968"/>
      <c r="R35" s="4126">
        <f>E35</f>
        <v>0</v>
      </c>
      <c r="S35" s="4126"/>
      <c r="T35" s="4126">
        <f>G35</f>
        <v>0</v>
      </c>
      <c r="U35" s="4126"/>
      <c r="V35" s="4126">
        <f>I35</f>
        <v>0</v>
      </c>
      <c r="W35" s="4126"/>
      <c r="X35" s="1495"/>
      <c r="Y35" s="1514"/>
      <c r="Z35" s="1495"/>
      <c r="AA35" s="1495"/>
      <c r="AB35" s="1495"/>
      <c r="AC35" s="1495"/>
    </row>
    <row r="36" spans="1:29" ht="15.75" thickBot="1">
      <c r="A36" s="607" t="s">
        <v>2738</v>
      </c>
      <c r="B36" s="875"/>
      <c r="C36" s="2474" t="e">
        <f>R37</f>
        <v>#DIV/0!</v>
      </c>
      <c r="D36" s="3003" t="s">
        <v>2964</v>
      </c>
      <c r="E36" s="2475" t="e">
        <f>R36</f>
        <v>#DIV/0!</v>
      </c>
      <c r="F36" s="3004"/>
      <c r="G36" s="2474" t="e">
        <f>T36</f>
        <v>#DIV/0!</v>
      </c>
      <c r="H36" s="3004"/>
      <c r="I36" s="2475" t="e">
        <f>V36</f>
        <v>#DIV/0!</v>
      </c>
      <c r="J36" s="3004"/>
      <c r="K36" s="3012">
        <f>F36+H36+J36</f>
        <v>0</v>
      </c>
      <c r="L36" s="2024"/>
      <c r="M36" s="2025"/>
      <c r="N36" s="2014"/>
      <c r="O36" s="2025"/>
      <c r="P36" s="3968" t="str">
        <f>A36</f>
        <v>比较价格（元/平方米）</v>
      </c>
      <c r="Q36" s="3968"/>
      <c r="R36" s="4126" t="e">
        <f>IF(F1="售价",ROUND(PRODUCT(R35,AA7:AA34),0),ROUND(PRODUCT(R35,AA7:AA34),1))</f>
        <v>#DIV/0!</v>
      </c>
      <c r="S36" s="4126"/>
      <c r="T36" s="4126" t="e">
        <f>IF(F1="售价",ROUND(PRODUCT(T35,AB7:AB34),0),ROUND(PRODUCT(T35,AB7:AB34),1))</f>
        <v>#DIV/0!</v>
      </c>
      <c r="U36" s="4126"/>
      <c r="V36" s="4126" t="e">
        <f>IF(F1="售价",ROUND(PRODUCT(V35,AC7:AC34),0),ROUND(PRODUCT(V35,AC7:AC34),1))</f>
        <v>#DIV/0!</v>
      </c>
      <c r="W36" s="4126"/>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965" t="str">
        <f>A37</f>
        <v>估价对象XX用房的比较价格（楼面单价，元/平方米）</v>
      </c>
      <c r="Q37" s="3966"/>
      <c r="R37" s="4125" t="e">
        <f>IF(F1="售价",ROUND(IF(D36="简单平均",AVERAGE(R36:W36),R36*F36+T36*H36+V36*J36),0),ROUND(IF(D36="简单平均",AVERAGE(R36:V36),R36*F36+T36*H36+V36*J36),1))</f>
        <v>#DIV/0!</v>
      </c>
      <c r="S37" s="4125"/>
      <c r="T37" s="4125"/>
      <c r="U37" s="4125"/>
      <c r="V37" s="4125"/>
      <c r="W37" s="4125"/>
      <c r="X37" s="1495"/>
      <c r="Y37" s="1495"/>
      <c r="Z37" s="1495"/>
      <c r="AA37" s="1495"/>
      <c r="AB37" s="1495"/>
      <c r="AC37" s="1495"/>
    </row>
    <row r="38" spans="1:29">
      <c r="A38" s="3201"/>
      <c r="B38" s="3201"/>
      <c r="C38" s="3201"/>
      <c r="D38" s="3201"/>
      <c r="E38" s="3201"/>
      <c r="F38" s="3201"/>
      <c r="G38" s="3203"/>
      <c r="H38" s="3201"/>
      <c r="I38" s="3201"/>
      <c r="J38" s="3201"/>
      <c r="K38" s="3204"/>
      <c r="L38" s="2029"/>
      <c r="M38" s="2025"/>
      <c r="N38" s="2025"/>
      <c r="O38" s="2025"/>
      <c r="P38" s="2025"/>
      <c r="Q38" s="2025"/>
      <c r="R38" s="2025"/>
      <c r="S38" s="2025"/>
      <c r="T38" s="2025"/>
      <c r="U38" s="2025"/>
      <c r="V38" s="2025"/>
      <c r="W38" s="2025"/>
      <c r="X38" s="2025"/>
      <c r="Y38" s="2025"/>
      <c r="Z38" s="2025"/>
      <c r="AA38" s="2025"/>
      <c r="AB38" s="2025"/>
      <c r="AC38" s="2025"/>
    </row>
    <row r="39" spans="1:29">
      <c r="A39" s="3201"/>
      <c r="B39" s="3201"/>
      <c r="C39" s="3201"/>
      <c r="D39" s="3201"/>
      <c r="E39" s="3201"/>
      <c r="F39" s="3201"/>
      <c r="G39" s="3201"/>
      <c r="H39" s="3201"/>
      <c r="I39" s="3201"/>
      <c r="J39" s="3201"/>
      <c r="K39" s="3204"/>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1"/>
      <c r="B40" s="320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4"/>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1"/>
      <c r="B41" s="320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4"/>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2"/>
      <c r="B42" s="320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05"/>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2021-12</v>
      </c>
      <c r="D46" s="2519">
        <f>EDATE(C46,-1)</f>
        <v>44501</v>
      </c>
      <c r="E46" s="2519">
        <f t="shared" ref="E46:O46" si="16">EDATE(D46,-1)</f>
        <v>44470</v>
      </c>
      <c r="F46" s="2519">
        <f t="shared" si="16"/>
        <v>44440</v>
      </c>
      <c r="G46" s="2519">
        <f t="shared" si="16"/>
        <v>44409</v>
      </c>
      <c r="H46" s="2519">
        <f t="shared" si="16"/>
        <v>44378</v>
      </c>
      <c r="I46" s="2519">
        <f t="shared" si="16"/>
        <v>44348</v>
      </c>
      <c r="J46" s="2519">
        <f t="shared" si="16"/>
        <v>44317</v>
      </c>
      <c r="K46" s="2519">
        <f t="shared" si="16"/>
        <v>44287</v>
      </c>
      <c r="L46" s="2519">
        <f t="shared" si="16"/>
        <v>44256</v>
      </c>
      <c r="M46" s="2519">
        <f t="shared" si="16"/>
        <v>44228</v>
      </c>
      <c r="N46" s="2519">
        <f t="shared" si="16"/>
        <v>44197</v>
      </c>
      <c r="O46" s="2519">
        <f t="shared" si="16"/>
        <v>44166</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4144" t="s">
        <v>2289</v>
      </c>
      <c r="D1" s="4145"/>
      <c r="E1" s="4145"/>
      <c r="F1" s="4145"/>
      <c r="G1" s="4145"/>
      <c r="H1" s="4145"/>
      <c r="I1" s="4145"/>
      <c r="J1" s="4145"/>
      <c r="K1" s="4145"/>
      <c r="L1" s="4145"/>
      <c r="M1" s="4145"/>
      <c r="N1" s="4145"/>
      <c r="O1" s="4145"/>
      <c r="P1" s="4145"/>
      <c r="Q1" s="4145"/>
      <c r="R1" s="4145"/>
      <c r="S1" s="4146"/>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4141" t="s">
        <v>20</v>
      </c>
      <c r="D22" s="4142"/>
      <c r="E22" s="4142"/>
      <c r="F22" s="4142"/>
      <c r="G22" s="4142"/>
      <c r="H22" s="4142"/>
      <c r="I22" s="4142"/>
      <c r="J22" s="4142"/>
      <c r="K22" s="4142"/>
      <c r="L22" s="4142"/>
      <c r="M22" s="4142"/>
      <c r="N22" s="4142"/>
      <c r="O22" s="4142"/>
      <c r="P22" s="4142"/>
      <c r="Q22" s="4143"/>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65">
        <v>1</v>
      </c>
      <c r="D24" s="3266"/>
      <c r="E24" s="3265">
        <v>1</v>
      </c>
      <c r="F24" s="3266"/>
      <c r="G24" s="3265">
        <v>1</v>
      </c>
      <c r="H24" s="3266"/>
      <c r="I24" s="3265">
        <v>1</v>
      </c>
      <c r="J24" s="3266"/>
      <c r="K24" s="3265">
        <v>1</v>
      </c>
      <c r="L24" s="3266"/>
      <c r="M24" s="3265">
        <v>1</v>
      </c>
      <c r="N24" s="3266"/>
      <c r="O24" s="3265">
        <v>1</v>
      </c>
      <c r="P24" s="3266"/>
      <c r="Q24" s="3265">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44545</v>
      </c>
      <c r="H1" s="2653">
        <f>IF(C1&gt;C13,0,MATCH(C1,C$13:C$100,-1))+IF(SUMIF(C13:C100,C1,D13:D100)=0,13,12)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3</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798" t="s">
        <v>2051</v>
      </c>
      <c r="B1" s="3798"/>
      <c r="C1" s="3798"/>
      <c r="D1" s="3798"/>
    </row>
    <row r="2" spans="1:4" ht="47.25" customHeight="1">
      <c r="A2" s="3799" t="str">
        <f>"1.权利限制："&amp;项目基本情况!L24&amp;"未设定租赁等其他他项权利。"</f>
        <v>1.权利限制：根据估价对象《不动产权证书》原件、《国有土地使用权》复印件，截至估价期日，估价对象抵押权未见登记。未设定租赁等其他他项权利。</v>
      </c>
      <c r="B2" s="3799"/>
      <c r="C2" s="3799"/>
      <c r="D2" s="3799"/>
    </row>
    <row r="3" spans="1:4" ht="48" customHeight="1">
      <c r="A3" s="37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98"/>
      <c r="C3" s="3798"/>
      <c r="D3" s="3798"/>
    </row>
    <row r="4" spans="1:4" ht="36.75" customHeight="1">
      <c r="A4" s="3798" t="str">
        <f>"3.估价规划限制条件：详见"&amp;项目基本情况!E21&amp;"。"</f>
        <v>3.估价规划限制条件：详见《建设工程规划许可证》[]、《出让合同》[]。</v>
      </c>
      <c r="B4" s="3798"/>
      <c r="C4" s="3798"/>
      <c r="D4" s="3798"/>
    </row>
    <row r="5" spans="1:4">
      <c r="A5" s="3797" t="s">
        <v>2052</v>
      </c>
      <c r="B5" s="3797"/>
      <c r="C5" s="3797"/>
      <c r="D5" s="3797"/>
    </row>
    <row r="6" spans="1:4">
      <c r="A6" s="3798" t="s">
        <v>2030</v>
      </c>
      <c r="B6" s="3798"/>
      <c r="C6" s="3798"/>
      <c r="D6" s="3798"/>
    </row>
    <row r="7" spans="1:4" ht="33" customHeight="1">
      <c r="A7" s="3798" t="s">
        <v>2553</v>
      </c>
      <c r="B7" s="3798"/>
      <c r="C7" s="3798"/>
      <c r="D7" s="3798"/>
    </row>
    <row r="8" spans="1:4" ht="32.25" customHeight="1">
      <c r="A8" s="37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98"/>
      <c r="C8" s="3798"/>
      <c r="D8" s="3798"/>
    </row>
    <row r="9" spans="1:4" ht="33.75" customHeight="1">
      <c r="A9" s="3798" t="str">
        <f>IF(项目基本情况!B8="抵押","3.抵押双方在办理抵押登记手续时，应使用本公司出具的正式《土地估价报告》，特提请报告使用者注意。","——")</f>
        <v>——</v>
      </c>
      <c r="B9" s="3798"/>
      <c r="C9" s="3798"/>
      <c r="D9" s="3798"/>
    </row>
    <row r="10" spans="1:4">
      <c r="A10" s="3798" t="str">
        <f>IF(项目基本情况!B8="抵押","4.估价师所知悉的法定优先受偿款情况为：","——")</f>
        <v>——</v>
      </c>
      <c r="B10" s="3798"/>
      <c r="C10" s="3798"/>
      <c r="D10" s="3798"/>
    </row>
    <row r="11" spans="1:4" ht="37.5" customHeight="1">
      <c r="A11" s="3800" t="str">
        <f>IF(项目基本情况!B8="抵押","（1）"&amp;CONCATENATE(项目基本情况!L24,项目基本情况!L25,项目基本情况!L26),"——")</f>
        <v>——</v>
      </c>
      <c r="B11" s="3800"/>
      <c r="C11" s="3800"/>
      <c r="D11" s="3800"/>
    </row>
    <row r="12" spans="1:4" ht="168" customHeight="1">
      <c r="A12" s="3797" t="s">
        <v>2054</v>
      </c>
      <c r="B12" s="3797"/>
      <c r="C12" s="3797"/>
      <c r="D12" s="3797"/>
    </row>
    <row r="13" spans="1:4">
      <c r="A13" s="3801" t="s">
        <v>2724</v>
      </c>
      <c r="B13" s="3801"/>
      <c r="C13" s="3801"/>
      <c r="D13" s="3801"/>
    </row>
    <row r="14" spans="1:4">
      <c r="A14" s="3800" t="str">
        <f>IF(项目基本情况!B8="抵押","综上，"&amp;结果表!K47,"——")</f>
        <v>——</v>
      </c>
      <c r="B14" s="3800"/>
      <c r="C14" s="3800"/>
      <c r="D14" s="3800"/>
    </row>
    <row r="15" spans="1:4" ht="58.5" customHeight="1">
      <c r="A15" s="37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98"/>
      <c r="C15" s="3798"/>
      <c r="D15" s="3798"/>
    </row>
    <row r="16" spans="1:4" ht="70.5" customHeight="1">
      <c r="A16" s="37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98"/>
      <c r="C16" s="3798"/>
      <c r="D16" s="3798"/>
    </row>
    <row r="17" spans="1:4">
      <c r="A17" s="3798" t="s">
        <v>2680</v>
      </c>
      <c r="B17" s="3798"/>
      <c r="C17" s="3798"/>
      <c r="D17" s="3798"/>
    </row>
    <row r="18" spans="1:4">
      <c r="A18" s="3798" t="s">
        <v>2672</v>
      </c>
      <c r="B18" s="3798"/>
      <c r="C18" s="3798"/>
      <c r="D18" s="3798"/>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798" t="s">
        <v>2677</v>
      </c>
      <c r="B23" s="3798"/>
      <c r="C23" s="3798"/>
      <c r="D23" s="3798"/>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809" t="s">
        <v>53</v>
      </c>
      <c r="B15" s="3810" t="s">
        <v>836</v>
      </c>
      <c r="C15" s="3806"/>
    </row>
    <row r="16" spans="1:7" ht="14.25">
      <c r="A16" s="3809"/>
      <c r="B16" s="3807" t="s">
        <v>54</v>
      </c>
      <c r="C16" s="1153" t="s">
        <v>53</v>
      </c>
    </row>
    <row r="17" spans="1:3" ht="14.25">
      <c r="A17" s="3809"/>
      <c r="B17" s="3807"/>
      <c r="C17" s="1153" t="s">
        <v>55</v>
      </c>
    </row>
    <row r="18" spans="1:3" ht="14.25">
      <c r="A18" s="3809"/>
      <c r="B18" s="3807"/>
      <c r="C18" s="1153" t="s">
        <v>56</v>
      </c>
    </row>
    <row r="19" spans="1:3" ht="14.25">
      <c r="A19" s="3809"/>
      <c r="B19" s="3805" t="s">
        <v>57</v>
      </c>
      <c r="C19" s="3806"/>
    </row>
    <row r="20" spans="1:3" ht="14.25">
      <c r="A20" s="1154" t="s">
        <v>58</v>
      </c>
      <c r="B20" s="1155"/>
      <c r="C20" s="1156"/>
    </row>
    <row r="21" spans="1:3" ht="14.25">
      <c r="A21" s="3808" t="s">
        <v>59</v>
      </c>
      <c r="B21" s="3805" t="s">
        <v>60</v>
      </c>
      <c r="C21" s="3806"/>
    </row>
    <row r="22" spans="1:3" ht="14.25">
      <c r="A22" s="3808"/>
      <c r="B22" s="3805" t="s">
        <v>61</v>
      </c>
      <c r="C22" s="3806"/>
    </row>
    <row r="23" spans="1:3" ht="14.25">
      <c r="A23" s="3808"/>
      <c r="B23" s="3805" t="s">
        <v>62</v>
      </c>
      <c r="C23" s="3806"/>
    </row>
    <row r="24" spans="1:3" ht="14.25">
      <c r="A24" s="3808"/>
      <c r="B24" s="3811" t="s">
        <v>63</v>
      </c>
      <c r="C24" s="1157" t="s">
        <v>827</v>
      </c>
    </row>
    <row r="25" spans="1:3" ht="14.25">
      <c r="A25" s="3808"/>
      <c r="B25" s="3812"/>
      <c r="C25" s="1157" t="s">
        <v>828</v>
      </c>
    </row>
    <row r="26" spans="1:3" ht="14.25">
      <c r="A26" s="3808"/>
      <c r="B26" s="3812"/>
      <c r="C26" s="1157" t="s">
        <v>829</v>
      </c>
    </row>
    <row r="27" spans="1:3" ht="14.25">
      <c r="A27" s="3808"/>
      <c r="B27" s="3812"/>
      <c r="C27" s="1157" t="s">
        <v>830</v>
      </c>
    </row>
    <row r="28" spans="1:3" ht="14.25">
      <c r="A28" s="3808"/>
      <c r="B28" s="3812"/>
      <c r="C28" s="1157" t="s">
        <v>831</v>
      </c>
    </row>
    <row r="29" spans="1:3" ht="14.25">
      <c r="A29" s="3808"/>
      <c r="B29" s="3812"/>
      <c r="C29" s="1157" t="s">
        <v>832</v>
      </c>
    </row>
    <row r="30" spans="1:3" ht="14.25">
      <c r="A30" s="3808"/>
      <c r="B30" s="3812"/>
      <c r="C30" s="1157" t="s">
        <v>833</v>
      </c>
    </row>
    <row r="31" spans="1:3" ht="14.25">
      <c r="A31" s="3808"/>
      <c r="B31" s="3812"/>
      <c r="C31" s="1157" t="s">
        <v>834</v>
      </c>
    </row>
    <row r="32" spans="1:3" ht="14.25">
      <c r="A32" s="3808"/>
      <c r="B32" s="3812"/>
      <c r="C32" s="1157" t="s">
        <v>1634</v>
      </c>
    </row>
    <row r="33" spans="1:3" ht="14.25">
      <c r="A33" s="3808"/>
      <c r="B33" s="3802" t="s">
        <v>1640</v>
      </c>
      <c r="C33" s="1157" t="s">
        <v>1635</v>
      </c>
    </row>
    <row r="34" spans="1:3" ht="14.25">
      <c r="A34" s="3808"/>
      <c r="B34" s="3803"/>
      <c r="C34" s="1162" t="s">
        <v>1636</v>
      </c>
    </row>
    <row r="35" spans="1:3" ht="14.25">
      <c r="A35" s="3808"/>
      <c r="B35" s="3803"/>
      <c r="C35" s="1163" t="s">
        <v>1637</v>
      </c>
    </row>
    <row r="36" spans="1:3" ht="14.25">
      <c r="A36" s="3808"/>
      <c r="B36" s="3803"/>
      <c r="C36" s="1163" t="s">
        <v>1638</v>
      </c>
    </row>
    <row r="37" spans="1:3" ht="14.25">
      <c r="A37" s="3808"/>
      <c r="B37" s="3804"/>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14"/>
      <c r="B1" s="3014"/>
      <c r="C1" s="3014"/>
      <c r="D1" s="3014"/>
      <c r="E1" s="3014"/>
      <c r="F1" s="3014"/>
      <c r="G1" s="3014"/>
    </row>
    <row r="2" spans="1:7" ht="20.25" customHeight="1">
      <c r="A2" s="3015" t="s">
        <v>1895</v>
      </c>
      <c r="B2" s="3016">
        <f ca="1">TODAY()</f>
        <v>44558</v>
      </c>
      <c r="C2" s="3017" t="s">
        <v>1896</v>
      </c>
      <c r="D2" s="3017"/>
      <c r="E2" s="3014"/>
      <c r="F2" s="3014"/>
      <c r="G2" s="3014"/>
    </row>
    <row r="3" spans="1:7" ht="20.25" customHeight="1">
      <c r="A3" s="3038" t="s">
        <v>1897</v>
      </c>
      <c r="B3" s="3019" t="s">
        <v>1898</v>
      </c>
      <c r="C3" s="3020" t="s">
        <v>1899</v>
      </c>
      <c r="D3" s="3039" t="s">
        <v>1900</v>
      </c>
      <c r="E3" s="3019" t="s">
        <v>1901</v>
      </c>
      <c r="F3" s="3019" t="s">
        <v>1899</v>
      </c>
      <c r="G3" s="3014"/>
    </row>
    <row r="4" spans="1:7" ht="20.25" customHeight="1">
      <c r="A4" s="3019" t="s">
        <v>1902</v>
      </c>
      <c r="B4" s="3019">
        <f ca="1">IF(C4&lt;B2,"已过期",1119970066)</f>
        <v>1119970066</v>
      </c>
      <c r="C4" s="3022">
        <v>44876</v>
      </c>
      <c r="D4" s="3030" t="s">
        <v>1902</v>
      </c>
      <c r="E4" s="3019">
        <f ca="1">IF(F4&lt;B2,"已过期",96010014)</f>
        <v>96010014</v>
      </c>
      <c r="F4" s="3021">
        <v>47118</v>
      </c>
      <c r="G4" s="3014"/>
    </row>
    <row r="5" spans="1:7" ht="20.25" customHeight="1">
      <c r="A5" s="3019" t="s">
        <v>1903</v>
      </c>
      <c r="B5" s="3019">
        <f ca="1">IF(C5&lt;B2,"已过期",1119970111)</f>
        <v>1119970111</v>
      </c>
      <c r="C5" s="3022">
        <v>44876</v>
      </c>
      <c r="D5" s="3030" t="s">
        <v>1903</v>
      </c>
      <c r="E5" s="3019">
        <f ca="1">IF(F5&lt;B2,"已过期",94010078)</f>
        <v>94010078</v>
      </c>
      <c r="F5" s="3021">
        <v>46387</v>
      </c>
      <c r="G5" s="3014"/>
    </row>
    <row r="6" spans="1:7" ht="20.25" customHeight="1">
      <c r="A6" s="3019" t="s">
        <v>1904</v>
      </c>
      <c r="B6" s="3019" t="str">
        <f ca="1">IF(C6&lt;B2,"已过期",1120050019)</f>
        <v>已过期</v>
      </c>
      <c r="C6" s="3022">
        <v>44395</v>
      </c>
      <c r="D6" s="3030" t="s">
        <v>1904</v>
      </c>
      <c r="E6" s="3019">
        <f ca="1">IF(F6&lt;B2,"已过期",2002110030)</f>
        <v>2002110030</v>
      </c>
      <c r="F6" s="3021">
        <v>46387</v>
      </c>
      <c r="G6" s="3014"/>
    </row>
    <row r="7" spans="1:7" ht="20.25" customHeight="1">
      <c r="A7" s="3019" t="s">
        <v>1905</v>
      </c>
      <c r="B7" s="3019">
        <f ca="1">IF(C7&lt;B2,"已过期",1120000080)</f>
        <v>1120000080</v>
      </c>
      <c r="C7" s="3022">
        <v>44876</v>
      </c>
      <c r="D7" s="3030" t="s">
        <v>1905</v>
      </c>
      <c r="E7" s="3019">
        <f ca="1">IF(F7&lt;B2,"已过期",2000110082)</f>
        <v>2000110082</v>
      </c>
      <c r="F7" s="3021">
        <v>46387</v>
      </c>
      <c r="G7" s="3014"/>
    </row>
    <row r="8" spans="1:7" ht="20.25" customHeight="1">
      <c r="A8" s="3019" t="s">
        <v>1906</v>
      </c>
      <c r="B8" s="3019">
        <f ca="1">IF(C8&lt;B2,"已过期",1419970001)</f>
        <v>1419970001</v>
      </c>
      <c r="C8" s="3022">
        <v>44899</v>
      </c>
      <c r="D8" s="3030" t="s">
        <v>1906</v>
      </c>
      <c r="E8" s="3019">
        <f ca="1">IF(F8&lt;B2,"已过期",2002110125)</f>
        <v>2002110125</v>
      </c>
      <c r="F8" s="3021">
        <v>47118</v>
      </c>
      <c r="G8" s="3014"/>
    </row>
    <row r="9" spans="1:7" ht="20.25" customHeight="1">
      <c r="A9" s="3019" t="s">
        <v>1907</v>
      </c>
      <c r="B9" s="3019" t="str">
        <f ca="1">IF(C9&lt;B2,"已过期",1120060040)</f>
        <v>已过期</v>
      </c>
      <c r="C9" s="3022">
        <v>44554</v>
      </c>
      <c r="D9" s="3030" t="s">
        <v>1907</v>
      </c>
      <c r="E9" s="3019">
        <f ca="1">IF(F9&lt;B2,"已过期",2004110096)</f>
        <v>2004110096</v>
      </c>
      <c r="F9" s="3021">
        <v>47118</v>
      </c>
      <c r="G9" s="3014"/>
    </row>
    <row r="10" spans="1:7" ht="20.25" customHeight="1">
      <c r="A10" s="3019" t="s">
        <v>1908</v>
      </c>
      <c r="B10" s="3019">
        <f ca="1">IF(C10&lt;B2,"已过期",1120100036)</f>
        <v>1120100036</v>
      </c>
      <c r="C10" s="3022">
        <v>44675</v>
      </c>
      <c r="D10" s="3030" t="s">
        <v>1908</v>
      </c>
      <c r="E10" s="3019">
        <f ca="1">IF(F10&lt;B2,"已过期",2010110070)</f>
        <v>2010110070</v>
      </c>
      <c r="F10" s="3021">
        <v>47907</v>
      </c>
      <c r="G10" s="3014"/>
    </row>
    <row r="11" spans="1:7" ht="20.25" customHeight="1">
      <c r="A11" s="3019" t="s">
        <v>1909</v>
      </c>
      <c r="B11" s="3019">
        <f ca="1">IF(C11&lt;B2,"已过期",1120070131)</f>
        <v>1120070131</v>
      </c>
      <c r="C11" s="3022">
        <v>44849</v>
      </c>
      <c r="D11" s="3030" t="s">
        <v>1909</v>
      </c>
      <c r="E11" s="3019">
        <f ca="1">IF(F11&lt;B2,"已过期",2014110011)</f>
        <v>2014110011</v>
      </c>
      <c r="F11" s="3021">
        <v>49302</v>
      </c>
      <c r="G11" s="3014"/>
    </row>
    <row r="12" spans="1:7" ht="20.25" customHeight="1">
      <c r="A12" s="3019" t="s">
        <v>2940</v>
      </c>
      <c r="B12" s="3019">
        <f ca="1">IF(C12&lt;B2,"已过期",1120040230)</f>
        <v>1120040230</v>
      </c>
      <c r="C12" s="3022">
        <v>44864</v>
      </c>
      <c r="D12" s="3030" t="s">
        <v>2941</v>
      </c>
      <c r="E12" s="3019">
        <f ca="1">IF(F12&lt;B2,"已过期",98030020)</f>
        <v>98030020</v>
      </c>
      <c r="F12" s="3021">
        <v>47118</v>
      </c>
      <c r="G12" s="3014"/>
    </row>
    <row r="13" spans="1:7" ht="20.25" customHeight="1">
      <c r="A13" s="3019"/>
      <c r="B13" s="3019"/>
      <c r="C13" s="3022"/>
      <c r="D13" s="3030" t="s">
        <v>1910</v>
      </c>
      <c r="E13" s="3019">
        <f ca="1">IF(F13&lt;B2,"已过期",2011110090)</f>
        <v>2011110090</v>
      </c>
      <c r="F13" s="3021">
        <v>48302</v>
      </c>
      <c r="G13" s="3014"/>
    </row>
    <row r="14" spans="1:7" ht="20.25" customHeight="1">
      <c r="A14" s="3019" t="s">
        <v>1911</v>
      </c>
      <c r="B14" s="3019" t="str">
        <f ca="1">IF(C14&lt;B2,"已过期",1120020033)</f>
        <v>已过期</v>
      </c>
      <c r="C14" s="3022">
        <v>44339</v>
      </c>
      <c r="D14" s="3030" t="s">
        <v>1911</v>
      </c>
      <c r="E14" s="3019">
        <f ca="1">IF(F14&lt;B2,"已过期",2000110137)</f>
        <v>2000110137</v>
      </c>
      <c r="F14" s="3021">
        <v>46387</v>
      </c>
      <c r="G14" s="3014"/>
    </row>
    <row r="15" spans="1:7" ht="20.25" customHeight="1">
      <c r="A15" s="3019" t="s">
        <v>2952</v>
      </c>
      <c r="B15" s="3019" t="str">
        <f ca="1">IF(C14&lt;B2,"已过期",1119980106)</f>
        <v>已过期</v>
      </c>
      <c r="C15" s="3022">
        <v>44969</v>
      </c>
      <c r="D15" s="3030"/>
      <c r="E15" s="3019"/>
      <c r="F15" s="3019"/>
      <c r="G15" s="3014"/>
    </row>
    <row r="16" spans="1:7" s="2829" customFormat="1" ht="20.25" customHeight="1">
      <c r="A16" s="3018" t="s">
        <v>2039</v>
      </c>
      <c r="B16" s="3018" t="s">
        <v>2039</v>
      </c>
      <c r="C16" s="3022"/>
      <c r="D16" s="3031" t="s">
        <v>2039</v>
      </c>
      <c r="E16" s="3019" t="s">
        <v>2039</v>
      </c>
      <c r="F16" s="3021"/>
      <c r="G16" s="3023"/>
    </row>
    <row r="17" spans="1:7" ht="20.25" customHeight="1">
      <c r="A17" s="3816" t="s">
        <v>1912</v>
      </c>
      <c r="B17" s="3817"/>
      <c r="C17" s="3817"/>
      <c r="D17" s="3817"/>
      <c r="E17" s="3817"/>
      <c r="F17" s="3817"/>
      <c r="G17" s="3023"/>
    </row>
    <row r="18" spans="1:7" ht="20.25" customHeight="1">
      <c r="A18" s="3813" t="s">
        <v>1913</v>
      </c>
      <c r="B18" s="3813"/>
      <c r="C18" s="3814"/>
      <c r="D18" s="3815" t="s">
        <v>1914</v>
      </c>
      <c r="E18" s="3813"/>
      <c r="F18" s="3813"/>
      <c r="G18" s="3023"/>
    </row>
    <row r="19" spans="1:7" s="2827" customFormat="1" ht="20.25" customHeight="1">
      <c r="A19" s="3024" t="s">
        <v>1915</v>
      </c>
      <c r="B19" s="3025" t="s">
        <v>1916</v>
      </c>
      <c r="C19" s="3032" t="s">
        <v>1917</v>
      </c>
      <c r="D19" s="3030" t="s">
        <v>1915</v>
      </c>
      <c r="E19" s="3025" t="s">
        <v>1916</v>
      </c>
      <c r="F19" s="3025" t="s">
        <v>1917</v>
      </c>
      <c r="G19" s="3015"/>
    </row>
    <row r="20" spans="1:7" s="2827" customFormat="1" ht="20.25" customHeight="1">
      <c r="A20" s="3026" t="s">
        <v>1918</v>
      </c>
      <c r="B20" s="3026" t="s">
        <v>1919</v>
      </c>
      <c r="C20" s="3033">
        <v>44820</v>
      </c>
      <c r="D20" s="3035" t="s">
        <v>1920</v>
      </c>
      <c r="E20" s="3026" t="s">
        <v>1921</v>
      </c>
      <c r="F20" s="3027">
        <v>44377</v>
      </c>
      <c r="G20" s="3015"/>
    </row>
    <row r="21" spans="1:7" s="2827" customFormat="1" ht="20.25" customHeight="1">
      <c r="A21" s="3026"/>
      <c r="B21" s="3026"/>
      <c r="C21" s="3034"/>
      <c r="D21" s="3035" t="s">
        <v>1922</v>
      </c>
      <c r="E21" s="3026" t="s">
        <v>2951</v>
      </c>
      <c r="F21" s="3027">
        <v>44012</v>
      </c>
      <c r="G21" s="3015"/>
    </row>
    <row r="22" spans="1:7" ht="20.25" customHeight="1">
      <c r="A22" s="3014"/>
      <c r="B22" s="3014"/>
      <c r="C22" s="3028"/>
      <c r="D22" s="3036"/>
      <c r="E22" s="3037"/>
      <c r="F22" s="3029" t="s">
        <v>2965</v>
      </c>
      <c r="G22" s="3014"/>
    </row>
  </sheetData>
  <sheetProtection password="CEE9" sheet="1" objects="1" scenarios="1"/>
  <mergeCells count="3">
    <mergeCell ref="A18:C18"/>
    <mergeCell ref="D18:F18"/>
    <mergeCell ref="A17:F17"/>
  </mergeCells>
  <phoneticPr fontId="3" type="noConversion"/>
  <conditionalFormatting sqref="C16:D16 C5 C12:C13">
    <cfRule type="expression" dxfId="311" priority="149">
      <formula>AND($C5-TODAY()&lt;30,TODAY()&lt;$C5)</formula>
    </cfRule>
  </conditionalFormatting>
  <conditionalFormatting sqref="C20">
    <cfRule type="expression" dxfId="310" priority="148">
      <formula>AND($C20-TODAY()&lt;30,TODAY()&lt;$C20)</formula>
    </cfRule>
  </conditionalFormatting>
  <conditionalFormatting sqref="C20 F4 C5 C13">
    <cfRule type="cellIs" dxfId="309" priority="150" stopIfTrue="1" operator="lessThan">
      <formula>$B$2</formula>
    </cfRule>
  </conditionalFormatting>
  <conditionalFormatting sqref="F5 F7 F9">
    <cfRule type="cellIs" dxfId="308" priority="144" stopIfTrue="1" operator="lessThan">
      <formula>$B$2</formula>
    </cfRule>
  </conditionalFormatting>
  <conditionalFormatting sqref="C16:D16">
    <cfRule type="expression" dxfId="307" priority="142">
      <formula>AND($C16-TODAY()&lt;30,TODAY()&lt;$C16)</formula>
    </cfRule>
  </conditionalFormatting>
  <conditionalFormatting sqref="F6 F8 F10 C16:D16">
    <cfRule type="cellIs" dxfId="306" priority="143" stopIfTrue="1" operator="lessThan">
      <formula>$B$2</formula>
    </cfRule>
  </conditionalFormatting>
  <conditionalFormatting sqref="F14">
    <cfRule type="cellIs" dxfId="305" priority="114" stopIfTrue="1" operator="lessThan">
      <formula>$B$2</formula>
    </cfRule>
  </conditionalFormatting>
  <conditionalFormatting sqref="F13">
    <cfRule type="cellIs" dxfId="304" priority="113" stopIfTrue="1" operator="lessThan">
      <formula>$B$2</formula>
    </cfRule>
  </conditionalFormatting>
  <conditionalFormatting sqref="B4:B11 E4:E11 E13:E15 B13:B15">
    <cfRule type="cellIs" dxfId="303" priority="111" stopIfTrue="1" operator="equal">
      <formula>"已过期"</formula>
    </cfRule>
  </conditionalFormatting>
  <conditionalFormatting sqref="F20">
    <cfRule type="cellIs" dxfId="302" priority="108" stopIfTrue="1" operator="lessThan">
      <formula>$B$2</formula>
    </cfRule>
  </conditionalFormatting>
  <conditionalFormatting sqref="F20">
    <cfRule type="expression" dxfId="301" priority="152">
      <formula>AND($E20-TODAY()&lt;30,TODAY()&lt;$E20)</formula>
    </cfRule>
  </conditionalFormatting>
  <conditionalFormatting sqref="C6">
    <cfRule type="expression" dxfId="300" priority="82">
      <formula>AND($C6-TODAY()&lt;30,TODAY()&lt;$C6)</formula>
    </cfRule>
  </conditionalFormatting>
  <conditionalFormatting sqref="C6">
    <cfRule type="cellIs" dxfId="299" priority="83" stopIfTrue="1" operator="lessThan">
      <formula>$B$2</formula>
    </cfRule>
  </conditionalFormatting>
  <conditionalFormatting sqref="C11 C15">
    <cfRule type="expression" dxfId="298" priority="80">
      <formula>AND($C11-TODAY()&lt;30,TODAY()&lt;$C11)</formula>
    </cfRule>
  </conditionalFormatting>
  <conditionalFormatting sqref="C11 C15">
    <cfRule type="cellIs" dxfId="297" priority="81" stopIfTrue="1" operator="lessThan">
      <formula>$B$2</formula>
    </cfRule>
  </conditionalFormatting>
  <conditionalFormatting sqref="F11">
    <cfRule type="cellIs" dxfId="296" priority="79" stopIfTrue="1" operator="lessThan">
      <formula>$B$2</formula>
    </cfRule>
  </conditionalFormatting>
  <conditionalFormatting sqref="C14">
    <cfRule type="expression" dxfId="295" priority="60">
      <formula>AND($C14-TODAY()&lt;30,TODAY()&lt;$C14)</formula>
    </cfRule>
  </conditionalFormatting>
  <conditionalFormatting sqref="C14">
    <cfRule type="cellIs" dxfId="294" priority="61" stopIfTrue="1" operator="lessThan">
      <formula>$B$2</formula>
    </cfRule>
  </conditionalFormatting>
  <conditionalFormatting sqref="C12">
    <cfRule type="cellIs" dxfId="293" priority="54" stopIfTrue="1" operator="lessThan">
      <formula>$B$2</formula>
    </cfRule>
  </conditionalFormatting>
  <conditionalFormatting sqref="C12">
    <cfRule type="expression" dxfId="292" priority="51">
      <formula>AND($C12-TODAY()&lt;30,TODAY()&lt;$C12)</formula>
    </cfRule>
  </conditionalFormatting>
  <conditionalFormatting sqref="C12">
    <cfRule type="cellIs" dxfId="291" priority="52" stopIfTrue="1" operator="lessThan">
      <formula>$B$2</formula>
    </cfRule>
  </conditionalFormatting>
  <conditionalFormatting sqref="B12">
    <cfRule type="cellIs" dxfId="290" priority="48" stopIfTrue="1" operator="equal">
      <formula>"已过期"</formula>
    </cfRule>
  </conditionalFormatting>
  <conditionalFormatting sqref="E12">
    <cfRule type="cellIs" dxfId="289" priority="38" stopIfTrue="1" operator="equal">
      <formula>"已过期"</formula>
    </cfRule>
  </conditionalFormatting>
  <conditionalFormatting sqref="F12">
    <cfRule type="cellIs" dxfId="288" priority="37" stopIfTrue="1" operator="lessThan">
      <formula>$B$2</formula>
    </cfRule>
  </conditionalFormatting>
  <conditionalFormatting sqref="C9:C10">
    <cfRule type="expression" dxfId="287" priority="33">
      <formula>AND($C9-TODAY()&lt;30,TODAY()&lt;$C9)</formula>
    </cfRule>
  </conditionalFormatting>
  <conditionalFormatting sqref="C9:C10">
    <cfRule type="cellIs" dxfId="286" priority="34" stopIfTrue="1" operator="lessThan">
      <formula>$B$2</formula>
    </cfRule>
  </conditionalFormatting>
  <conditionalFormatting sqref="F21">
    <cfRule type="cellIs" dxfId="285" priority="13" stopIfTrue="1" operator="lessThan">
      <formula>$B$2</formula>
    </cfRule>
  </conditionalFormatting>
  <conditionalFormatting sqref="F21">
    <cfRule type="expression" dxfId="284" priority="14">
      <formula>AND($E21-TODAY()&lt;30,TODAY()&lt;$E21)</formula>
    </cfRule>
  </conditionalFormatting>
  <conditionalFormatting sqref="C7:C8">
    <cfRule type="expression" dxfId="283" priority="5">
      <formula>AND($C7-TODAY()&lt;30,TODAY()&lt;$C7)</formula>
    </cfRule>
  </conditionalFormatting>
  <conditionalFormatting sqref="C7:C8">
    <cfRule type="cellIs" dxfId="282" priority="6" stopIfTrue="1" operator="lessThan">
      <formula>$B$2</formula>
    </cfRule>
  </conditionalFormatting>
  <conditionalFormatting sqref="C7:C8">
    <cfRule type="expression" dxfId="281" priority="3">
      <formula>AND($C7-TODAY()&lt;30,TODAY()&lt;$C7)</formula>
    </cfRule>
  </conditionalFormatting>
  <conditionalFormatting sqref="C7:C8">
    <cfRule type="cellIs" dxfId="280" priority="4" stopIfTrue="1" operator="lessThan">
      <formula>$B$2</formula>
    </cfRule>
  </conditionalFormatting>
  <conditionalFormatting sqref="C4">
    <cfRule type="expression" dxfId="279" priority="1">
      <formula>AND($C4-TODAY()&lt;30,TODAY()&lt;$C4)</formula>
    </cfRule>
  </conditionalFormatting>
  <conditionalFormatting sqref="C4">
    <cfRule type="cellIs" dxfId="27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AA32" sqref="AA32"/>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3073</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3075</v>
      </c>
      <c r="C25" s="1491"/>
    </row>
    <row r="26" spans="1:3">
      <c r="A26" s="8" t="s">
        <v>125</v>
      </c>
      <c r="B26" s="8" t="s">
        <v>1629</v>
      </c>
      <c r="C26" s="1491"/>
    </row>
    <row r="27" spans="1:3">
      <c r="A27" s="3787" t="s">
        <v>3230</v>
      </c>
      <c r="B27" s="8" t="s">
        <v>1629</v>
      </c>
      <c r="C27" s="1491"/>
    </row>
    <row r="28" spans="1:3">
      <c r="A28" s="3787" t="s">
        <v>3231</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83"/>
    </row>
    <row r="52" spans="1:5">
      <c r="A52" s="1681" t="s">
        <v>1972</v>
      </c>
      <c r="B52" s="1684" t="s">
        <v>1973</v>
      </c>
      <c r="C52" s="1682" t="s">
        <v>1974</v>
      </c>
      <c r="D52" s="1682" t="s">
        <v>1975</v>
      </c>
      <c r="E52" s="1683"/>
    </row>
    <row r="53" spans="1:5">
      <c r="A53" s="3818"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818"/>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83"/>
      <c r="E54" s="1683"/>
    </row>
    <row r="55" spans="1:5">
      <c r="A55" s="3818"/>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83"/>
      <c r="E55" s="1683"/>
    </row>
    <row r="56" spans="1:5">
      <c r="A56" s="3818"/>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83"/>
      <c r="E56" s="1683"/>
    </row>
    <row r="57" spans="1:5">
      <c r="A57" s="3818"/>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165</vt:i4>
      </vt:variant>
    </vt:vector>
  </HeadingPairs>
  <TitlesOfParts>
    <vt:vector size="22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基准地价商务公寓</vt:lpstr>
      <vt:lpstr>基准地价办公</vt:lpstr>
      <vt:lpstr>地价</vt:lpstr>
      <vt:lpstr>基准地价（汇总）</vt:lpstr>
      <vt:lpstr>收益还原法</vt:lpstr>
      <vt:lpstr>酒店收入计算</vt:lpstr>
      <vt:lpstr>成本逼近法</vt:lpstr>
      <vt:lpstr>住宅案例截图及地图</vt:lpstr>
      <vt:lpstr>剩余法商业</vt:lpstr>
      <vt:lpstr>剩余法办公</vt:lpstr>
      <vt:lpstr>剩余法商务公寓</vt:lpstr>
      <vt:lpstr>不动产比较法-商务办公</vt:lpstr>
      <vt:lpstr>不动产比较法商务公寓</vt:lpstr>
      <vt:lpstr>公寓案例截图及地图 </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'不动产比较法-办公租金'!Print_Area</vt:lpstr>
      <vt:lpstr>'不动产比较法-仓储'!Print_Area</vt:lpstr>
      <vt:lpstr>'不动产比较法-车位'!Print_Area</vt:lpstr>
      <vt:lpstr>'不动产比较法-工业'!Print_Area</vt:lpstr>
      <vt:lpstr>'不动产比较法-商务办公'!Print_Area</vt:lpstr>
      <vt:lpstr>不动产比较法商务公寓!Print_Area</vt:lpstr>
      <vt:lpstr>'不动产比较法-商业'!Print_Area</vt:lpstr>
      <vt:lpstr>'不动产比较法-商业租金'!Print_Area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基准地价商务公寓!Print_Area</vt:lpstr>
      <vt:lpstr>基准地价商业!Print_Area</vt:lpstr>
      <vt:lpstr>基准地价住宅!Print_Area</vt:lpstr>
      <vt:lpstr>结果表!Print_Area</vt:lpstr>
      <vt:lpstr>剩余法办公!Print_Area</vt:lpstr>
      <vt:lpstr>剩余法商务公寓!Print_Area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基准地价商务公寓!季度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2021-12-28T12:29:27Z</dcterms:modified>
</cp:coreProperties>
</file>