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codeName="ThisWorkbook" defaultThemeVersion="124226"/>
  <mc:AlternateContent xmlns:mc="http://schemas.openxmlformats.org/markup-compatibility/2006">
    <mc:Choice Requires="x15">
      <x15ac:absPath xmlns:x15ac="http://schemas.microsoft.com/office/spreadsheetml/2010/11/ac" url="D:\桌面\2020-1-0421常营在建询价\F02DYGJ2\结果\"/>
    </mc:Choice>
  </mc:AlternateContent>
  <xr:revisionPtr revIDLastSave="0" documentId="13_ncr:1_{68B905BB-7B62-4527-A374-934014BE1D7F}" xr6:coauthVersionLast="46" xr6:coauthVersionMax="46" xr10:uidLastSave="{00000000-0000-0000-0000-000000000000}"/>
  <bookViews>
    <workbookView xWindow="-120" yWindow="-120" windowWidth="19440" windowHeight="15000" tabRatio="899" firstSheet="14" activeTab="3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信息"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商业）" sheetId="9" r:id="rId19"/>
    <sheet name="成本法" sheetId="68" r:id="rId20"/>
    <sheet name="成本法 (元)" sheetId="69" state="hidden" r:id="rId21"/>
    <sheet name="假设开发法" sheetId="12" state="hidden"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收益法" sheetId="79" r:id="rId34"/>
    <sheet name="修正" sheetId="45" state="hidden" r:id="rId35"/>
    <sheet name="容积率修正" sheetId="46" state="hidden" r:id="rId36"/>
    <sheet name="基准地价（汇总）" sheetId="76" state="hidden" r:id="rId37"/>
    <sheet name="结果表 (办公)" sheetId="81" r:id="rId38"/>
    <sheet name="结果表" sheetId="82" r:id="rId39"/>
    <sheet name="成本法 (办公)" sheetId="80" r:id="rId40"/>
    <sheet name="基准地价修正 (办公)" sheetId="78" r:id="rId41"/>
    <sheet name="收益法（办公）" sheetId="15" r:id="rId42"/>
    <sheet name="收益法（汇总）" sheetId="70"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9">'成本法 (办公)'!$A$1:$G$57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2">基准地价修正!$A$1:$J$41,基准地价修正!$A$45:$H$88,基准地价修正!$R$1:$V$16</definedName>
    <definedName name="_xlnm.Print_Area" localSheetId="40">'基准地价修正 (办公)'!$A$1:$J$41,'基准地价修正 (办公)'!$A$45:$H$88,'基准地价修正 (办公)'!$R$1:$V$16</definedName>
    <definedName name="_xlnm.Print_Area" localSheetId="21">假设开发法!$A$1:$K$32</definedName>
    <definedName name="_xlnm.Print_Area" localSheetId="37">'结果表 (办公)'!$A$1:$I$127</definedName>
    <definedName name="_xlnm.Print_Area" localSheetId="18">'结果表（商业）'!$A$1:$I$127</definedName>
    <definedName name="_xlnm.Print_Area" localSheetId="33">收益法!$A$1:$F$43,收益法!$H$3:$M$29,收益法!$A$46:$F$71,收益法!$I$46:$N$65</definedName>
    <definedName name="_xlnm.Print_Area" localSheetId="22">'收益法 (元)'!$A$1:$F$43,'收益法 (元)'!$H$3:$M$29,'收益法 (元)'!$A$45:$F$71,'收益法 (元)'!$I$46:$N$65</definedName>
    <definedName name="_xlnm.Print_Area" localSheetId="41">'收益法（办公）'!$A$1:$F$43,'收益法（办公）'!$H$3:$M$29,'收益法（办公）'!$A$46:$F$71,'收益法（办公）'!$I$46:$N$65</definedName>
    <definedName name="_xlnm.Print_Area" localSheetId="42">'收益法（汇总）'!$A$1:$F$13</definedName>
    <definedName name="_xlnm.Print_Area" localSheetId="14">'数据-汇总表'!$A$1:$I$32</definedName>
    <definedName name="_xlnm.Print_Area" localSheetId="11">'数据-基础表'!$A$1:$K$13</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0">'基准地价修正 (办公)'!$Q$19:$AD$19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16" i="82" l="1"/>
  <c r="J118" i="81"/>
  <c r="J33" i="81"/>
  <c r="H42" i="79"/>
  <c r="H49" i="68"/>
  <c r="H34" i="68"/>
  <c r="R17" i="43"/>
  <c r="S20" i="43"/>
  <c r="S19" i="43"/>
  <c r="N17" i="82" l="1"/>
  <c r="N18" i="82" s="1"/>
  <c r="N19" i="82" s="1"/>
  <c r="N20" i="82" s="1"/>
  <c r="N21" i="82" s="1"/>
  <c r="N22" i="82" s="1"/>
  <c r="N23" i="82" s="1"/>
  <c r="N24" i="82" s="1"/>
  <c r="N25" i="82" s="1"/>
  <c r="N26" i="82" s="1"/>
  <c r="N27" i="82" s="1"/>
  <c r="C6" i="82"/>
  <c r="B6" i="82"/>
  <c r="B15" i="74"/>
  <c r="C15" i="74"/>
  <c r="D29" i="78"/>
  <c r="U3" i="43"/>
  <c r="U2" i="43"/>
  <c r="A124" i="81"/>
  <c r="A120" i="81"/>
  <c r="A118" i="81"/>
  <c r="E111" i="81"/>
  <c r="A126" i="81" s="1"/>
  <c r="H109" i="81"/>
  <c r="D124" i="81" s="1"/>
  <c r="D125" i="81" s="1"/>
  <c r="E109" i="81"/>
  <c r="E107" i="81"/>
  <c r="A122" i="81" s="1"/>
  <c r="H106" i="81"/>
  <c r="H103" i="81" s="1"/>
  <c r="D120" i="81" s="1"/>
  <c r="H105" i="81"/>
  <c r="H104" i="81"/>
  <c r="D101" i="81"/>
  <c r="C101" i="81"/>
  <c r="D93" i="81"/>
  <c r="C91" i="81"/>
  <c r="E90" i="81"/>
  <c r="D89" i="81"/>
  <c r="C89" i="81" s="1"/>
  <c r="C87" i="81" s="1"/>
  <c r="D78" i="81"/>
  <c r="H77" i="81"/>
  <c r="D77" i="81"/>
  <c r="C77" i="81"/>
  <c r="C76" i="81"/>
  <c r="C74" i="81" s="1"/>
  <c r="D68" i="81"/>
  <c r="F59" i="81"/>
  <c r="E59" i="81"/>
  <c r="N55" i="81" s="1"/>
  <c r="N56" i="81"/>
  <c r="M56" i="81"/>
  <c r="K56" i="81"/>
  <c r="J56" i="81"/>
  <c r="J57" i="81" s="1"/>
  <c r="J59" i="81" s="1"/>
  <c r="J61" i="81" s="1"/>
  <c r="F56" i="81"/>
  <c r="O55" i="81"/>
  <c r="K55" i="81"/>
  <c r="J55" i="81"/>
  <c r="I55" i="81"/>
  <c r="F55" i="81"/>
  <c r="O54" i="81"/>
  <c r="N54" i="81"/>
  <c r="F54" i="81"/>
  <c r="O53" i="81"/>
  <c r="N53" i="81"/>
  <c r="F53" i="81"/>
  <c r="F52" i="81"/>
  <c r="K49" i="81"/>
  <c r="F48" i="81"/>
  <c r="O52" i="81" s="1"/>
  <c r="E48" i="81"/>
  <c r="N52" i="81" s="1"/>
  <c r="D48" i="81"/>
  <c r="M52" i="81" s="1"/>
  <c r="M47" i="81"/>
  <c r="F33" i="81"/>
  <c r="D27" i="81"/>
  <c r="C25" i="81"/>
  <c r="C24" i="81"/>
  <c r="M19" i="81"/>
  <c r="C118" i="81" s="1"/>
  <c r="L19" i="81"/>
  <c r="M18" i="81"/>
  <c r="B118" i="81" s="1"/>
  <c r="L18" i="81"/>
  <c r="D17" i="81"/>
  <c r="C17" i="81"/>
  <c r="C18" i="81" s="1"/>
  <c r="D18" i="81" s="1"/>
  <c r="L4" i="81"/>
  <c r="K4" i="81"/>
  <c r="A2" i="81"/>
  <c r="H1" i="81"/>
  <c r="G41" i="80"/>
  <c r="C40" i="80"/>
  <c r="F38" i="80"/>
  <c r="E37" i="80"/>
  <c r="F36" i="80"/>
  <c r="F35" i="80"/>
  <c r="F34" i="80"/>
  <c r="F30" i="80"/>
  <c r="F48" i="80" s="1"/>
  <c r="G22" i="80"/>
  <c r="F21" i="80"/>
  <c r="F40" i="80" s="1"/>
  <c r="C21" i="80"/>
  <c r="F20" i="80"/>
  <c r="F39" i="80" s="1"/>
  <c r="E19" i="80"/>
  <c r="C19" i="80"/>
  <c r="E10" i="80"/>
  <c r="E9" i="80"/>
  <c r="F7" i="80"/>
  <c r="G1" i="80"/>
  <c r="F27" i="80"/>
  <c r="E2" i="80"/>
  <c r="N28" i="82" l="1"/>
  <c r="F45" i="80"/>
  <c r="C92" i="81"/>
  <c r="C94" i="81"/>
  <c r="K120" i="81"/>
  <c r="D121" i="81"/>
  <c r="H112" i="81"/>
  <c r="H110" i="81"/>
  <c r="H111" i="81"/>
  <c r="D126" i="81" s="1"/>
  <c r="D127" i="81" s="1"/>
  <c r="C29" i="80"/>
  <c r="D27" i="80" s="1"/>
  <c r="C47" i="80"/>
  <c r="D45" i="80" s="1"/>
  <c r="C48" i="80"/>
  <c r="C30" i="80"/>
  <c r="J51" i="77"/>
  <c r="K51" i="77"/>
  <c r="K41" i="77"/>
  <c r="K42" i="77"/>
  <c r="K43" i="77" s="1"/>
  <c r="K44" i="77" s="1"/>
  <c r="K45" i="77" s="1"/>
  <c r="K46" i="77" s="1"/>
  <c r="K47" i="77" s="1"/>
  <c r="K48" i="77" s="1"/>
  <c r="K49" i="77" s="1"/>
  <c r="K50" i="77" s="1"/>
  <c r="K40" i="77"/>
  <c r="K39" i="77"/>
  <c r="D10" i="80"/>
  <c r="C34" i="80"/>
  <c r="D9" i="80"/>
  <c r="C36" i="80"/>
  <c r="C9" i="80" l="1"/>
  <c r="D19" i="80"/>
  <c r="D37" i="80" s="1"/>
  <c r="C37" i="80" s="1"/>
  <c r="C10" i="80"/>
  <c r="C35" i="80"/>
  <c r="C38" i="80"/>
  <c r="D3" i="4"/>
  <c r="F31" i="74"/>
  <c r="C33" i="80" l="1"/>
  <c r="C39" i="80" s="1"/>
  <c r="D23" i="77"/>
  <c r="E23" i="77" s="1"/>
  <c r="F31" i="77"/>
  <c r="A3" i="3" s="1"/>
  <c r="B33" i="77"/>
  <c r="C23" i="77"/>
  <c r="J26" i="77"/>
  <c r="C33" i="77"/>
  <c r="C46" i="80" l="1"/>
  <c r="C45" i="80" s="1"/>
  <c r="C32" i="77"/>
  <c r="C30" i="77"/>
  <c r="S20" i="1"/>
  <c r="Q72" i="79"/>
  <c r="F60" i="79"/>
  <c r="Q59" i="79"/>
  <c r="K59" i="79"/>
  <c r="P74" i="79" s="1"/>
  <c r="F59" i="79"/>
  <c r="Q58" i="79"/>
  <c r="Q51" i="79"/>
  <c r="J50" i="79"/>
  <c r="M47" i="79"/>
  <c r="D46" i="79"/>
  <c r="F34" i="79"/>
  <c r="F62" i="79" s="1"/>
  <c r="F33" i="79"/>
  <c r="F61" i="79" s="1"/>
  <c r="F32" i="79"/>
  <c r="F31" i="79"/>
  <c r="F28" i="79"/>
  <c r="F23" i="79"/>
  <c r="F21" i="79"/>
  <c r="M20" i="79"/>
  <c r="F20" i="79"/>
  <c r="M19" i="79"/>
  <c r="M18" i="79"/>
  <c r="F18" i="79"/>
  <c r="M17" i="79"/>
  <c r="F17" i="79"/>
  <c r="F15" i="79"/>
  <c r="G1" i="79"/>
  <c r="U7" i="1"/>
  <c r="S19" i="1"/>
  <c r="G60" i="78"/>
  <c r="G61" i="78"/>
  <c r="K61" i="78" s="1"/>
  <c r="J61" i="78" s="1"/>
  <c r="G62" i="78"/>
  <c r="G63" i="78"/>
  <c r="K63" i="78" s="1"/>
  <c r="J63" i="78" s="1"/>
  <c r="G64" i="78"/>
  <c r="G65" i="78"/>
  <c r="K65" i="78" s="1"/>
  <c r="J65" i="78" s="1"/>
  <c r="G66" i="78"/>
  <c r="G67" i="78"/>
  <c r="K67" i="78" s="1"/>
  <c r="J67" i="78" s="1"/>
  <c r="G59" i="78"/>
  <c r="F113" i="78"/>
  <c r="N99" i="78"/>
  <c r="M99" i="78"/>
  <c r="M108" i="78" s="1"/>
  <c r="L99" i="78"/>
  <c r="K99" i="78"/>
  <c r="K108" i="78" s="1"/>
  <c r="J99" i="78"/>
  <c r="I99" i="78"/>
  <c r="I108" i="78" s="1"/>
  <c r="H99" i="78"/>
  <c r="G99" i="78"/>
  <c r="G108" i="78" s="1"/>
  <c r="F99" i="78"/>
  <c r="E99" i="78"/>
  <c r="E108" i="78" s="1"/>
  <c r="D99" i="78"/>
  <c r="D108" i="78" s="1"/>
  <c r="C99" i="78"/>
  <c r="C100" i="78" s="1"/>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F81" i="78"/>
  <c r="H87" i="78" s="1"/>
  <c r="E81" i="78"/>
  <c r="B79"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N74" i="78"/>
  <c r="M74" i="78"/>
  <c r="K74" i="78"/>
  <c r="J74" i="78" s="1"/>
  <c r="D74" i="78"/>
  <c r="B74" i="78"/>
  <c r="N73" i="78"/>
  <c r="M73" i="78"/>
  <c r="K73" i="78"/>
  <c r="J73" i="78" s="1"/>
  <c r="D73" i="78"/>
  <c r="N72" i="78"/>
  <c r="M72" i="78"/>
  <c r="K72" i="78"/>
  <c r="J72" i="78" s="1"/>
  <c r="D72" i="78"/>
  <c r="B72" i="78"/>
  <c r="N71" i="78"/>
  <c r="M71" i="78"/>
  <c r="K71" i="78"/>
  <c r="J71" i="78" s="1"/>
  <c r="D71" i="78"/>
  <c r="B71" i="78"/>
  <c r="N70" i="78"/>
  <c r="M70" i="78"/>
  <c r="K70" i="78"/>
  <c r="J70" i="78" s="1"/>
  <c r="F70" i="78"/>
  <c r="H76" i="78" s="1"/>
  <c r="D70" i="78"/>
  <c r="E70" i="78" s="1"/>
  <c r="B68" i="78" s="1"/>
  <c r="B70" i="78"/>
  <c r="M67" i="78"/>
  <c r="N67" i="78" s="1"/>
  <c r="D67" i="78"/>
  <c r="B67" i="78"/>
  <c r="M66" i="78"/>
  <c r="N66" i="78" s="1"/>
  <c r="K66" i="78"/>
  <c r="J66" i="78" s="1"/>
  <c r="D66" i="78"/>
  <c r="B66" i="78"/>
  <c r="M65" i="78"/>
  <c r="N65" i="78" s="1"/>
  <c r="D65" i="78"/>
  <c r="B65" i="78"/>
  <c r="M64" i="78"/>
  <c r="N64" i="78" s="1"/>
  <c r="K64" i="78"/>
  <c r="J64" i="78" s="1"/>
  <c r="D64" i="78"/>
  <c r="M63" i="78"/>
  <c r="N63" i="78" s="1"/>
  <c r="D63" i="78"/>
  <c r="N62" i="78"/>
  <c r="M62" i="78"/>
  <c r="K62" i="78"/>
  <c r="J62" i="78" s="1"/>
  <c r="D62" i="78"/>
  <c r="M61" i="78"/>
  <c r="N61" i="78" s="1"/>
  <c r="D61" i="78"/>
  <c r="B61" i="78"/>
  <c r="M60" i="78"/>
  <c r="N60" i="78" s="1"/>
  <c r="K60" i="78"/>
  <c r="J60" i="78" s="1"/>
  <c r="D60" i="78"/>
  <c r="B60" i="78"/>
  <c r="M59" i="78"/>
  <c r="N59" i="78" s="1"/>
  <c r="K59" i="78"/>
  <c r="J59" i="78"/>
  <c r="D59" i="78"/>
  <c r="B59" i="78"/>
  <c r="D56" i="78"/>
  <c r="B56" i="78"/>
  <c r="B55" i="78"/>
  <c r="B54" i="78"/>
  <c r="B50" i="78"/>
  <c r="B49" i="78"/>
  <c r="D48" i="78"/>
  <c r="B48" i="78"/>
  <c r="H39" i="78"/>
  <c r="H38" i="78"/>
  <c r="H37" i="78"/>
  <c r="H36" i="78"/>
  <c r="H35" i="78"/>
  <c r="H34" i="78"/>
  <c r="H33" i="78"/>
  <c r="J20" i="78"/>
  <c r="M19" i="78"/>
  <c r="I19" i="78"/>
  <c r="C18" i="78"/>
  <c r="C16" i="78"/>
  <c r="F15" i="78"/>
  <c r="E15" i="78"/>
  <c r="D15" i="78"/>
  <c r="C15" i="78"/>
  <c r="Y12" i="78"/>
  <c r="C12" i="78"/>
  <c r="Y10" i="78"/>
  <c r="C10" i="78"/>
  <c r="C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C9" i="78"/>
  <c r="C7" i="78"/>
  <c r="A7" i="78"/>
  <c r="G3" i="78"/>
  <c r="C23" i="78" s="1"/>
  <c r="I2" i="78"/>
  <c r="N12" i="78" s="1"/>
  <c r="G2" i="78"/>
  <c r="H113" i="78" s="1"/>
  <c r="G49" i="43"/>
  <c r="G50" i="43"/>
  <c r="G51" i="43"/>
  <c r="G52" i="43"/>
  <c r="G53" i="43"/>
  <c r="G54" i="43"/>
  <c r="G55" i="43"/>
  <c r="G56" i="43"/>
  <c r="G48" i="43"/>
  <c r="I7" i="1"/>
  <c r="F20" i="6"/>
  <c r="F19" i="6"/>
  <c r="D1" i="78" s="1"/>
  <c r="J9" i="77"/>
  <c r="I9" i="77"/>
  <c r="I15" i="77" s="1"/>
  <c r="J18" i="77" s="1"/>
  <c r="Q34" i="77"/>
  <c r="Q30" i="77"/>
  <c r="D25" i="77"/>
  <c r="L20" i="77"/>
  <c r="L19" i="77"/>
  <c r="C18" i="77"/>
  <c r="J17" i="77"/>
  <c r="L12" i="77"/>
  <c r="J15" i="77"/>
  <c r="J19" i="77" s="1"/>
  <c r="L9" i="77"/>
  <c r="AH5" i="71"/>
  <c r="AG5" i="71"/>
  <c r="AE5" i="71"/>
  <c r="AF5" i="71" s="1"/>
  <c r="AD5" i="71"/>
  <c r="Q5" i="71"/>
  <c r="P5" i="71"/>
  <c r="O5" i="71"/>
  <c r="N5" i="71"/>
  <c r="D23" i="79" l="1"/>
  <c r="D22" i="79"/>
  <c r="D24" i="79"/>
  <c r="P61" i="79"/>
  <c r="E59" i="78"/>
  <c r="B57" i="78" s="1"/>
  <c r="H70" i="78"/>
  <c r="H81" i="78"/>
  <c r="E9" i="78"/>
  <c r="E8" i="78"/>
  <c r="E11" i="78"/>
  <c r="E10" i="78"/>
  <c r="M1" i="78"/>
  <c r="N1" i="78"/>
  <c r="M2" i="78"/>
  <c r="S2" i="78"/>
  <c r="M3" i="78"/>
  <c r="S3" i="78"/>
  <c r="M4" i="78"/>
  <c r="S4" i="78"/>
  <c r="N5" i="78"/>
  <c r="N6" i="78"/>
  <c r="F59" i="78" s="1"/>
  <c r="H66" i="78" s="1"/>
  <c r="M7" i="78"/>
  <c r="S7" i="78"/>
  <c r="Z7" i="78"/>
  <c r="M8" i="78"/>
  <c r="M9" i="78"/>
  <c r="N10" i="78"/>
  <c r="Z10" i="78"/>
  <c r="AB10" i="78"/>
  <c r="AD10" i="78"/>
  <c r="AF10" i="78"/>
  <c r="AH10" i="78"/>
  <c r="AJ10" i="78"/>
  <c r="N11" i="78"/>
  <c r="Z11" i="78"/>
  <c r="Z13" i="78" s="1"/>
  <c r="AB11" i="78"/>
  <c r="AB13" i="78" s="1"/>
  <c r="AD11" i="78"/>
  <c r="AD13" i="78" s="1"/>
  <c r="AF11" i="78"/>
  <c r="AF13" i="78" s="1"/>
  <c r="AH11" i="78"/>
  <c r="AH13" i="78" s="1"/>
  <c r="AJ11" i="78"/>
  <c r="AJ13" i="78" s="1"/>
  <c r="M12" i="78"/>
  <c r="AA12" i="78"/>
  <c r="AC12" i="78"/>
  <c r="AE12" i="78"/>
  <c r="AG12" i="78"/>
  <c r="AI12" i="78"/>
  <c r="D17" i="78"/>
  <c r="I17" i="78"/>
  <c r="K17" i="78"/>
  <c r="M17" i="78"/>
  <c r="O17" i="78"/>
  <c r="E22" i="78"/>
  <c r="G22" i="78"/>
  <c r="J22" i="78"/>
  <c r="N2" i="78"/>
  <c r="N101" i="78"/>
  <c r="L101" i="78"/>
  <c r="J101" i="78"/>
  <c r="H101" i="78"/>
  <c r="F101" i="78"/>
  <c r="D101" i="78"/>
  <c r="D109" i="78" s="1"/>
  <c r="M101" i="78"/>
  <c r="I101" i="78"/>
  <c r="E101" i="78"/>
  <c r="E109" i="78" s="1"/>
  <c r="B113" i="78"/>
  <c r="K101" i="78"/>
  <c r="K109" i="78" s="1"/>
  <c r="G101" i="78"/>
  <c r="G109" i="78" s="1"/>
  <c r="C101" i="78"/>
  <c r="N3" i="78"/>
  <c r="N4" i="78"/>
  <c r="M5" i="78"/>
  <c r="S5" i="78"/>
  <c r="M6" i="78"/>
  <c r="C6" i="78" s="1"/>
  <c r="S6" i="78"/>
  <c r="N7" i="78"/>
  <c r="X7" i="78"/>
  <c r="N8" i="78"/>
  <c r="N9" i="78"/>
  <c r="M10" i="78"/>
  <c r="M11" i="78"/>
  <c r="Y11" i="78"/>
  <c r="Y13" i="78" s="1"/>
  <c r="AA11" i="78"/>
  <c r="AC11" i="78"/>
  <c r="AE11" i="78"/>
  <c r="AG11" i="78"/>
  <c r="AI11" i="78"/>
  <c r="C17" i="78"/>
  <c r="E17" i="78"/>
  <c r="H17" i="78"/>
  <c r="J17" i="78"/>
  <c r="L17" i="78"/>
  <c r="N17" i="78"/>
  <c r="F22" i="78"/>
  <c r="H22" i="78"/>
  <c r="F33" i="78"/>
  <c r="F34" i="78"/>
  <c r="F35" i="78"/>
  <c r="F36" i="78"/>
  <c r="F37" i="78"/>
  <c r="F38" i="78"/>
  <c r="F39" i="78"/>
  <c r="F48" i="78"/>
  <c r="I109" i="78"/>
  <c r="M109" i="78"/>
  <c r="H59" i="78"/>
  <c r="H62" i="78"/>
  <c r="H67" i="78"/>
  <c r="H72" i="78"/>
  <c r="H74" i="78"/>
  <c r="H77" i="78"/>
  <c r="H78" i="78"/>
  <c r="H83" i="78"/>
  <c r="H85" i="78"/>
  <c r="H88" i="78"/>
  <c r="F108" i="78"/>
  <c r="F100" i="78"/>
  <c r="H108" i="78"/>
  <c r="H109" i="78" s="1"/>
  <c r="H100" i="78"/>
  <c r="J108" i="78"/>
  <c r="J100" i="78"/>
  <c r="L108" i="78"/>
  <c r="L109" i="78" s="1"/>
  <c r="L100" i="78"/>
  <c r="N108" i="78"/>
  <c r="N100" i="78"/>
  <c r="D100" i="78"/>
  <c r="G100" i="78"/>
  <c r="K100" i="78"/>
  <c r="C108" i="78"/>
  <c r="C109" i="78" s="1"/>
  <c r="H63" i="78"/>
  <c r="H71" i="78"/>
  <c r="H73" i="78"/>
  <c r="H75" i="78"/>
  <c r="H82" i="78"/>
  <c r="H84" i="78"/>
  <c r="H86" i="78"/>
  <c r="E100" i="78"/>
  <c r="I100" i="78"/>
  <c r="M100" i="78"/>
  <c r="L11" i="77"/>
  <c r="C25" i="77"/>
  <c r="L13" i="77"/>
  <c r="L14" i="77"/>
  <c r="J21" i="77"/>
  <c r="AH6" i="71"/>
  <c r="AG6" i="71"/>
  <c r="AE6" i="71"/>
  <c r="AF6" i="71" s="1"/>
  <c r="AD6" i="71"/>
  <c r="Q6" i="71"/>
  <c r="P6" i="71"/>
  <c r="O6" i="71"/>
  <c r="N6" i="71"/>
  <c r="F16" i="79"/>
  <c r="F38" i="79"/>
  <c r="M6" i="79"/>
  <c r="F6" i="79"/>
  <c r="F8" i="79"/>
  <c r="J15" i="79"/>
  <c r="M8" i="79"/>
  <c r="M22" i="79"/>
  <c r="M24" i="79"/>
  <c r="L47" i="79"/>
  <c r="M27" i="79"/>
  <c r="C76" i="79"/>
  <c r="F37" i="79"/>
  <c r="F36" i="79"/>
  <c r="F13" i="79"/>
  <c r="F26" i="79"/>
  <c r="M23" i="79"/>
  <c r="F40" i="79"/>
  <c r="M26" i="79"/>
  <c r="F9" i="79"/>
  <c r="M28" i="79"/>
  <c r="F42" i="79"/>
  <c r="M9" i="79"/>
  <c r="N109" i="78" l="1"/>
  <c r="J109" i="78"/>
  <c r="F109" i="78"/>
  <c r="F65" i="79"/>
  <c r="F66" i="79"/>
  <c r="C27" i="79"/>
  <c r="F64" i="79"/>
  <c r="F51" i="79"/>
  <c r="F68" i="79"/>
  <c r="Q71" i="79"/>
  <c r="H64" i="78"/>
  <c r="H60" i="78"/>
  <c r="H65" i="78"/>
  <c r="H61" i="78"/>
  <c r="C5" i="78"/>
  <c r="D5" i="78"/>
  <c r="G17" i="78"/>
  <c r="G107" i="78"/>
  <c r="G106" i="78"/>
  <c r="G105" i="78"/>
  <c r="G104" i="78"/>
  <c r="G103" i="78"/>
  <c r="G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D117" i="78"/>
  <c r="E117" i="78" s="1"/>
  <c r="F117" i="78" s="1"/>
  <c r="G117" i="78" s="1"/>
  <c r="H117" i="78" s="1"/>
  <c r="D116" i="78"/>
  <c r="E116" i="78" s="1"/>
  <c r="F116" i="78" s="1"/>
  <c r="G116" i="78" s="1"/>
  <c r="H116" i="78" s="1"/>
  <c r="D115" i="78"/>
  <c r="E115" i="78" s="1"/>
  <c r="F115" i="78" s="1"/>
  <c r="G115" i="78" s="1"/>
  <c r="H115" i="78" s="1"/>
  <c r="B118" i="78"/>
  <c r="C118" i="78" s="1"/>
  <c r="B117" i="78"/>
  <c r="C117" i="78" s="1"/>
  <c r="B116" i="78"/>
  <c r="C116" i="78" s="1"/>
  <c r="B115" i="78"/>
  <c r="I107" i="78"/>
  <c r="I106" i="78"/>
  <c r="I105" i="78"/>
  <c r="I104" i="78"/>
  <c r="I103" i="78"/>
  <c r="I102" i="78"/>
  <c r="D107" i="78"/>
  <c r="D106" i="78"/>
  <c r="D105" i="78"/>
  <c r="D104" i="78"/>
  <c r="D103" i="78"/>
  <c r="D102" i="78"/>
  <c r="H107" i="78"/>
  <c r="H106" i="78"/>
  <c r="H105" i="78"/>
  <c r="H104" i="78"/>
  <c r="H103" i="78"/>
  <c r="H102" i="78"/>
  <c r="L107" i="78"/>
  <c r="L106" i="78"/>
  <c r="L105" i="78"/>
  <c r="L104" i="78"/>
  <c r="L103" i="78"/>
  <c r="L102" i="78"/>
  <c r="D22" i="78"/>
  <c r="C21" i="78" s="1"/>
  <c r="AI13" i="78"/>
  <c r="AE13" i="78"/>
  <c r="AA13" i="78"/>
  <c r="H56" i="78"/>
  <c r="G56" i="78" s="1"/>
  <c r="H55" i="78"/>
  <c r="G55" i="78" s="1"/>
  <c r="H54" i="78"/>
  <c r="G54" i="78" s="1"/>
  <c r="H53" i="78"/>
  <c r="G53" i="78" s="1"/>
  <c r="H50" i="78"/>
  <c r="G50" i="78" s="1"/>
  <c r="H49" i="78"/>
  <c r="G49" i="78" s="1"/>
  <c r="H48" i="78"/>
  <c r="G48" i="78" s="1"/>
  <c r="H52" i="78"/>
  <c r="G52" i="78" s="1"/>
  <c r="H51" i="78"/>
  <c r="G51" i="78" s="1"/>
  <c r="C107" i="78"/>
  <c r="C106" i="78"/>
  <c r="C105" i="78"/>
  <c r="C104" i="78"/>
  <c r="C103" i="78"/>
  <c r="C102" i="78"/>
  <c r="K107" i="78"/>
  <c r="K106" i="78"/>
  <c r="K105" i="78"/>
  <c r="K104" i="78"/>
  <c r="K103" i="78"/>
  <c r="K102" i="78"/>
  <c r="E107" i="78"/>
  <c r="E106" i="78"/>
  <c r="E105" i="78"/>
  <c r="E104" i="78"/>
  <c r="E103" i="78"/>
  <c r="E102" i="78"/>
  <c r="M107" i="78"/>
  <c r="M106" i="78"/>
  <c r="M105" i="78"/>
  <c r="M104" i="78"/>
  <c r="M103" i="78"/>
  <c r="M102" i="78"/>
  <c r="F107" i="78"/>
  <c r="F106" i="78"/>
  <c r="F105" i="78"/>
  <c r="F104" i="78"/>
  <c r="F103" i="78"/>
  <c r="F102" i="78"/>
  <c r="J107" i="78"/>
  <c r="J106" i="78"/>
  <c r="J105" i="78"/>
  <c r="J104" i="78"/>
  <c r="J103" i="78"/>
  <c r="J102" i="78"/>
  <c r="N107" i="78"/>
  <c r="N106" i="78"/>
  <c r="N105" i="78"/>
  <c r="N104" i="78"/>
  <c r="N103" i="78"/>
  <c r="N102" i="78"/>
  <c r="AG13" i="78"/>
  <c r="AC13" i="78"/>
  <c r="K15" i="77"/>
  <c r="J20" i="77" s="1"/>
  <c r="L10" i="77"/>
  <c r="L15" i="77" s="1"/>
  <c r="H16" i="49"/>
  <c r="D16" i="49"/>
  <c r="D15" i="49"/>
  <c r="B2" i="49"/>
  <c r="F15" i="49" s="1"/>
  <c r="H15" i="49" s="1"/>
  <c r="M52" i="78" l="1"/>
  <c r="N52" i="78" s="1"/>
  <c r="K52" i="78"/>
  <c r="K49" i="78"/>
  <c r="J49" i="78" s="1"/>
  <c r="D49" i="78" s="1"/>
  <c r="M49" i="78"/>
  <c r="N49" i="78" s="1"/>
  <c r="K53" i="78"/>
  <c r="M53" i="78"/>
  <c r="N53" i="78" s="1"/>
  <c r="K55" i="78"/>
  <c r="J55" i="78" s="1"/>
  <c r="D55" i="78" s="1"/>
  <c r="M55" i="78"/>
  <c r="N55" i="78" s="1"/>
  <c r="C115" i="78"/>
  <c r="D113" i="78" s="1"/>
  <c r="M51" i="78"/>
  <c r="N51" i="78" s="1"/>
  <c r="K51" i="78"/>
  <c r="K48" i="78"/>
  <c r="J48" i="78" s="1"/>
  <c r="M48" i="78"/>
  <c r="N48" i="78" s="1"/>
  <c r="K50" i="78"/>
  <c r="M50" i="78"/>
  <c r="N50" i="78" s="1"/>
  <c r="K54" i="78"/>
  <c r="M54" i="78"/>
  <c r="N54" i="78" s="1"/>
  <c r="K56" i="78"/>
  <c r="J56" i="78" s="1"/>
  <c r="M56" i="78"/>
  <c r="N56" i="78" s="1"/>
  <c r="L21" i="77"/>
  <c r="J22"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D54" i="78" l="1"/>
  <c r="J54" i="78"/>
  <c r="D50" i="78"/>
  <c r="J50" i="78"/>
  <c r="J52" i="78"/>
  <c r="D52" i="78"/>
  <c r="J51" i="78"/>
  <c r="D51" i="78"/>
  <c r="E48" i="78" s="1"/>
  <c r="B46" i="78" s="1"/>
  <c r="C24" i="78" s="1"/>
  <c r="D53" i="78"/>
  <c r="J53" i="78"/>
  <c r="G15" i="77"/>
  <c r="K42" i="40"/>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C7" i="69" s="1"/>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M19" i="43"/>
  <c r="D18" i="71"/>
  <c r="AH16" i="71"/>
  <c r="AG16" i="71"/>
  <c r="AE16" i="71"/>
  <c r="AF16" i="71" s="1"/>
  <c r="AD16" i="71"/>
  <c r="AD17" i="71"/>
  <c r="AG17" i="71"/>
  <c r="AH17" i="71"/>
  <c r="AE17" i="71"/>
  <c r="AF17" i="71" s="1"/>
  <c r="N17" i="71"/>
  <c r="Q17" i="71"/>
  <c r="P17" i="71"/>
  <c r="O17" i="71"/>
  <c r="Q18" i="71"/>
  <c r="F17" i="71"/>
  <c r="F16" i="71" s="1"/>
  <c r="F15" i="71" s="1"/>
  <c r="P18" i="71"/>
  <c r="O18" i="71"/>
  <c r="N18" i="71"/>
  <c r="X18" i="71" s="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A14" i="62"/>
  <c r="B60" i="72" s="1"/>
  <c r="A13" i="62"/>
  <c r="B59" i="72"/>
  <c r="A19" i="62"/>
  <c r="A12" i="62"/>
  <c r="B58" i="72" s="1"/>
  <c r="A120" i="9"/>
  <c r="H2" i="52"/>
  <c r="A1" i="52"/>
  <c r="A3" i="53"/>
  <c r="Q19" i="71"/>
  <c r="P19" i="71"/>
  <c r="O19" i="71"/>
  <c r="N19"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P61" i="71" s="1"/>
  <c r="C61" i="71"/>
  <c r="B61" i="71"/>
  <c r="S61" i="71"/>
  <c r="B60" i="7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c r="F52" i="71" s="1"/>
  <c r="F53" i="71"/>
  <c r="V53" i="71" s="1"/>
  <c r="P50" i="71"/>
  <c r="E51" i="71" s="1"/>
  <c r="O50" i="71"/>
  <c r="C51" i="71" s="1"/>
  <c r="C52" i="71" s="1"/>
  <c r="N50" i="71"/>
  <c r="B51" i="71" s="1"/>
  <c r="B52" i="71"/>
  <c r="B53" i="71" s="1"/>
  <c r="S53" i="71" s="1"/>
  <c r="D50" i="71"/>
  <c r="Q49" i="71"/>
  <c r="P49" i="71"/>
  <c r="O49" i="71"/>
  <c r="N49" i="71"/>
  <c r="Q48" i="71"/>
  <c r="P48" i="71"/>
  <c r="O48" i="71"/>
  <c r="N48" i="71"/>
  <c r="Q47" i="71"/>
  <c r="P47" i="71"/>
  <c r="O47" i="71"/>
  <c r="N47" i="71"/>
  <c r="Q46" i="71"/>
  <c r="F47" i="71"/>
  <c r="F48" i="71" s="1"/>
  <c r="F49" i="7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C44"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D35" i="71" s="1"/>
  <c r="N34" i="71"/>
  <c r="B35" i="71" s="1"/>
  <c r="B36" i="71"/>
  <c r="B37" i="71" s="1"/>
  <c r="S37" i="71" s="1"/>
  <c r="D34" i="71"/>
  <c r="Q33" i="71"/>
  <c r="P33" i="71"/>
  <c r="O33" i="71"/>
  <c r="N33" i="71"/>
  <c r="AB32" i="71"/>
  <c r="Q32" i="71"/>
  <c r="P32" i="71"/>
  <c r="O32" i="71"/>
  <c r="Y32" i="71" s="1"/>
  <c r="Z32" i="71" s="1"/>
  <c r="N32" i="71"/>
  <c r="X32" i="71"/>
  <c r="Q31" i="71"/>
  <c r="AB31" i="71"/>
  <c r="P31" i="71"/>
  <c r="O31" i="71"/>
  <c r="N31" i="71"/>
  <c r="Q30" i="71"/>
  <c r="AB27" i="71" s="1"/>
  <c r="P30" i="71"/>
  <c r="O30" i="71"/>
  <c r="Y30" i="71" s="1"/>
  <c r="Z30" i="71" s="1"/>
  <c r="N30" i="71"/>
  <c r="D30" i="71"/>
  <c r="Q29" i="71"/>
  <c r="AB29" i="71"/>
  <c r="P29" i="71"/>
  <c r="O29" i="71"/>
  <c r="Y29" i="71" s="1"/>
  <c r="Z29" i="71" s="1"/>
  <c r="N29" i="71"/>
  <c r="Q28" i="71"/>
  <c r="P28" i="71"/>
  <c r="AA27" i="71" s="1"/>
  <c r="O28" i="71"/>
  <c r="Y28" i="71"/>
  <c r="Z28" i="71" s="1"/>
  <c r="N28" i="71"/>
  <c r="X26" i="71" s="1"/>
  <c r="Q27" i="71"/>
  <c r="P27" i="71"/>
  <c r="O27" i="71"/>
  <c r="N27" i="71"/>
  <c r="Q26" i="71"/>
  <c r="AB23" i="71" s="1"/>
  <c r="P26" i="71"/>
  <c r="O26" i="71"/>
  <c r="C27" i="71" s="1"/>
  <c r="N26" i="71"/>
  <c r="D26" i="71"/>
  <c r="Q25" i="71"/>
  <c r="AB25" i="71"/>
  <c r="P25" i="71"/>
  <c r="O25" i="71"/>
  <c r="Y25" i="71" s="1"/>
  <c r="Z25" i="71" s="1"/>
  <c r="N25" i="71"/>
  <c r="Q24" i="71"/>
  <c r="P24" i="71"/>
  <c r="AA18" i="71" s="1"/>
  <c r="O24" i="71"/>
  <c r="Y24" i="71"/>
  <c r="Z24" i="71" s="1"/>
  <c r="N24" i="71"/>
  <c r="X22" i="71" s="1"/>
  <c r="Q23" i="71"/>
  <c r="P23" i="71"/>
  <c r="O23" i="71"/>
  <c r="N23" i="71"/>
  <c r="Q22" i="71"/>
  <c r="F23" i="71" s="1"/>
  <c r="F24" i="71" s="1"/>
  <c r="F25" i="71" s="1"/>
  <c r="V25" i="71" s="1"/>
  <c r="P22" i="71"/>
  <c r="O22" i="71"/>
  <c r="C23" i="71" s="1"/>
  <c r="N22" i="71"/>
  <c r="D22" i="71"/>
  <c r="O21" i="71"/>
  <c r="N21" i="71"/>
  <c r="X20" i="71" s="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AA26" i="71"/>
  <c r="Y22" i="71"/>
  <c r="Z22" i="71" s="1"/>
  <c r="AB22" i="71"/>
  <c r="X23" i="71"/>
  <c r="AA23" i="71"/>
  <c r="X24" i="71"/>
  <c r="AA24" i="71"/>
  <c r="X25" i="71"/>
  <c r="AA25" i="71"/>
  <c r="X27" i="71"/>
  <c r="X28" i="71"/>
  <c r="X29" i="71"/>
  <c r="AA29" i="71"/>
  <c r="C31" i="71"/>
  <c r="D31" i="71" s="1"/>
  <c r="X31" i="71"/>
  <c r="AA31" i="71"/>
  <c r="F44" i="71"/>
  <c r="F45" i="71" s="1"/>
  <c r="V45" i="71" s="1"/>
  <c r="C21" i="71"/>
  <c r="Y18" i="71"/>
  <c r="Z18" i="71" s="1"/>
  <c r="Y19" i="71"/>
  <c r="Z19" i="71" s="1"/>
  <c r="Y20" i="71"/>
  <c r="Z20" i="71" s="1"/>
  <c r="Y21" i="71"/>
  <c r="Z21" i="71" s="1"/>
  <c r="B21" i="71"/>
  <c r="B20" i="71" s="1"/>
  <c r="B19" i="71" s="1"/>
  <c r="X19" i="71"/>
  <c r="X21" i="71"/>
  <c r="C32" i="71"/>
  <c r="C33" i="71" s="1"/>
  <c r="C36" i="71"/>
  <c r="C37" i="71" s="1"/>
  <c r="C40" i="71"/>
  <c r="D40" i="71" s="1"/>
  <c r="D39" i="71"/>
  <c r="D43" i="71"/>
  <c r="P21" i="71"/>
  <c r="E48" i="71"/>
  <c r="E49" i="71" s="1"/>
  <c r="U49" i="71" s="1"/>
  <c r="E52" i="71"/>
  <c r="E53" i="71"/>
  <c r="U53" i="71" s="1"/>
  <c r="E56" i="71"/>
  <c r="E57" i="71" s="1"/>
  <c r="U57" i="71" s="1"/>
  <c r="U61" i="71"/>
  <c r="Q21" i="71"/>
  <c r="AB18" i="71" s="1"/>
  <c r="D51" i="71"/>
  <c r="C56" i="71"/>
  <c r="D55" i="71"/>
  <c r="N60" i="71"/>
  <c r="B59" i="71"/>
  <c r="N59" i="71" s="1"/>
  <c r="T61" i="71"/>
  <c r="O61" i="71"/>
  <c r="D61" i="71"/>
  <c r="C60" i="71"/>
  <c r="Q61" i="71"/>
  <c r="C64" i="71"/>
  <c r="E64" i="71"/>
  <c r="E63" i="71" s="1"/>
  <c r="D65" i="71"/>
  <c r="C68" i="71"/>
  <c r="E68" i="71"/>
  <c r="E67" i="71" s="1"/>
  <c r="D69" i="71"/>
  <c r="C72" i="71"/>
  <c r="E72" i="71"/>
  <c r="E71" i="71" s="1"/>
  <c r="D73" i="71"/>
  <c r="C76" i="71"/>
  <c r="C80" i="71"/>
  <c r="C79" i="71" s="1"/>
  <c r="D79" i="71" s="1"/>
  <c r="T21" i="71"/>
  <c r="C20" i="71"/>
  <c r="C19" i="71" s="1"/>
  <c r="D19" i="71" s="1"/>
  <c r="F21" i="71"/>
  <c r="F20" i="71" s="1"/>
  <c r="F19" i="71" s="1"/>
  <c r="AB19" i="71"/>
  <c r="AB21" i="71"/>
  <c r="E21" i="71"/>
  <c r="E20" i="71"/>
  <c r="E19" i="71" s="1"/>
  <c r="AA3" i="71"/>
  <c r="AA19" i="71"/>
  <c r="AA21" i="71"/>
  <c r="D21" i="71"/>
  <c r="U21" i="71"/>
  <c r="C59" i="71"/>
  <c r="O60" i="71"/>
  <c r="D60" i="71"/>
  <c r="C57" i="71"/>
  <c r="D57" i="71" s="1"/>
  <c r="D56" i="71"/>
  <c r="D76" i="71"/>
  <c r="C75" i="71"/>
  <c r="D75" i="71"/>
  <c r="D68" i="71"/>
  <c r="C67" i="71"/>
  <c r="D67" i="71" s="1"/>
  <c r="N58" i="71"/>
  <c r="D80" i="71"/>
  <c r="D72" i="71"/>
  <c r="C71" i="71"/>
  <c r="D71" i="71" s="1"/>
  <c r="D64" i="71"/>
  <c r="C63" i="71"/>
  <c r="D63" i="71"/>
  <c r="D36" i="71"/>
  <c r="D32" i="71"/>
  <c r="V21" i="71"/>
  <c r="O59" i="71"/>
  <c r="D59" i="71"/>
  <c r="O58"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H21" i="37"/>
  <c r="F21" i="37"/>
  <c r="F84" i="34"/>
  <c r="H21" i="34"/>
  <c r="H21" i="33"/>
  <c r="F21" i="33"/>
  <c r="S21" i="33" s="1"/>
  <c r="E83" i="21"/>
  <c r="S21" i="21"/>
  <c r="H1" i="69"/>
  <c r="AC25" i="40"/>
  <c r="W25" i="40"/>
  <c r="AB25" i="40"/>
  <c r="U25" i="40"/>
  <c r="AB29" i="39"/>
  <c r="U29" i="39"/>
  <c r="AC29" i="39"/>
  <c r="W29" i="39"/>
  <c r="AC18" i="36"/>
  <c r="W18" i="36"/>
  <c r="AB21" i="37"/>
  <c r="U21" i="37"/>
  <c r="AA21" i="37"/>
  <c r="S21" i="37"/>
  <c r="AB21" i="34"/>
  <c r="U21" i="34"/>
  <c r="U21" i="33"/>
  <c r="AB21" i="33"/>
  <c r="AA21" i="33"/>
  <c r="AB18" i="35"/>
  <c r="U18" i="35"/>
  <c r="AC18" i="35"/>
  <c r="W18" i="35"/>
  <c r="J21" i="37"/>
  <c r="AC21" i="37" s="1"/>
  <c r="G84" i="34"/>
  <c r="J21" i="34"/>
  <c r="AC21" i="34" s="1"/>
  <c r="J21" i="33"/>
  <c r="AC21" i="33" s="1"/>
  <c r="F83" i="21"/>
  <c r="H21" i="21"/>
  <c r="AB21" i="21" s="1"/>
  <c r="F38" i="69"/>
  <c r="E37" i="69"/>
  <c r="F36" i="69"/>
  <c r="F35" i="69"/>
  <c r="F21" i="69"/>
  <c r="F40" i="69" s="1"/>
  <c r="C21" i="69"/>
  <c r="F20" i="69"/>
  <c r="F39" i="69" s="1"/>
  <c r="E10" i="69"/>
  <c r="E9" i="69"/>
  <c r="W21" i="37"/>
  <c r="W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I20" i="78" s="1"/>
  <c r="F8" i="1"/>
  <c r="F9" i="1"/>
  <c r="F10" i="1"/>
  <c r="F11" i="1"/>
  <c r="F12" i="1"/>
  <c r="F13" i="1"/>
  <c r="D6" i="1"/>
  <c r="D9" i="1"/>
  <c r="D10" i="1"/>
  <c r="D11" i="1"/>
  <c r="D12" i="1"/>
  <c r="D13" i="1"/>
  <c r="D7" i="1"/>
  <c r="D8" i="1"/>
  <c r="A7" i="1"/>
  <c r="B7" i="1" s="1"/>
  <c r="E7" i="1" s="1"/>
  <c r="A8" i="1"/>
  <c r="B8" i="1"/>
  <c r="E8" i="1" s="1"/>
  <c r="A9" i="1"/>
  <c r="A10" i="1"/>
  <c r="A11" i="1"/>
  <c r="A12" i="1"/>
  <c r="A13" i="1"/>
  <c r="A6" i="1"/>
  <c r="F3" i="35" s="1"/>
  <c r="B11" i="1"/>
  <c r="E11"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F7" i="1"/>
  <c r="I20" i="43" s="1"/>
  <c r="L21" i="4"/>
  <c r="A15" i="62" s="1"/>
  <c r="B61" i="72" s="1"/>
  <c r="F19" i="4"/>
  <c r="F2" i="52"/>
  <c r="B50" i="72" s="1"/>
  <c r="D2" i="52"/>
  <c r="B46" i="72"/>
  <c r="B8" i="53"/>
  <c r="B23" i="72"/>
  <c r="L4" i="9"/>
  <c r="A24" i="51" s="1"/>
  <c r="B18" i="72" s="1"/>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E1" i="73"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E22" i="6"/>
  <c r="E23" i="6"/>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F13" i="36" s="1"/>
  <c r="B57" i="36"/>
  <c r="J12" i="36"/>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S12" i="34"/>
  <c r="Q11" i="34"/>
  <c r="Z11" i="34"/>
  <c r="Q10" i="34"/>
  <c r="Z10" i="34"/>
  <c r="F10" i="34"/>
  <c r="AA10" i="34"/>
  <c r="Q9" i="34"/>
  <c r="Z9" i="34"/>
  <c r="F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C21" i="20"/>
  <c r="B74" i="43" s="1"/>
  <c r="C20" i="20"/>
  <c r="C18" i="20"/>
  <c r="B60" i="43" s="1"/>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F36" i="39"/>
  <c r="S36" i="39"/>
  <c r="H36" i="39"/>
  <c r="AB36" i="39"/>
  <c r="J35" i="39"/>
  <c r="AC35" i="39"/>
  <c r="F35" i="39"/>
  <c r="AA35" i="39"/>
  <c r="J36" i="39"/>
  <c r="AC36" i="39"/>
  <c r="U30" i="37"/>
  <c r="E103" i="37"/>
  <c r="F103" i="37" s="1"/>
  <c r="G103" i="37"/>
  <c r="H103" i="37" s="1"/>
  <c r="I103" i="37" s="1"/>
  <c r="J103" i="37" s="1"/>
  <c r="K103" i="37" s="1"/>
  <c r="L103" i="37" s="1"/>
  <c r="M103" i="37" s="1"/>
  <c r="F39" i="37"/>
  <c r="S39" i="37"/>
  <c r="F29" i="36"/>
  <c r="AA29" i="36" s="1"/>
  <c r="F16" i="36"/>
  <c r="AA16" i="36"/>
  <c r="W28" i="36"/>
  <c r="S30" i="36"/>
  <c r="AA31" i="36"/>
  <c r="W31" i="36"/>
  <c r="U31" i="36"/>
  <c r="H22" i="35"/>
  <c r="AB22" i="35" s="1"/>
  <c r="AC27" i="35"/>
  <c r="U31" i="35"/>
  <c r="W22" i="35"/>
  <c r="S31" i="35"/>
  <c r="F36" i="34"/>
  <c r="J35" i="34"/>
  <c r="S34" i="34"/>
  <c r="U34" i="34"/>
  <c r="H39" i="33"/>
  <c r="AB39" i="33" s="1"/>
  <c r="F26" i="33"/>
  <c r="S9" i="33"/>
  <c r="U33" i="33"/>
  <c r="U35" i="33"/>
  <c r="W33" i="33"/>
  <c r="W39" i="33"/>
  <c r="H39" i="37"/>
  <c r="AB39" i="37" s="1"/>
  <c r="S27" i="35"/>
  <c r="F11" i="40"/>
  <c r="AA11" i="40"/>
  <c r="H11" i="40"/>
  <c r="AB11" i="40"/>
  <c r="AB39" i="40"/>
  <c r="U9" i="40"/>
  <c r="U38" i="40"/>
  <c r="W31" i="40"/>
  <c r="S38" i="40"/>
  <c r="F42" i="39"/>
  <c r="AA42" i="39" s="1"/>
  <c r="F41" i="39"/>
  <c r="S41" i="39" s="1"/>
  <c r="H40" i="39"/>
  <c r="AB40" i="39" s="1"/>
  <c r="H39" i="39"/>
  <c r="U39" i="39" s="1"/>
  <c r="S38" i="39"/>
  <c r="S34" i="39"/>
  <c r="H34" i="39"/>
  <c r="U34"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U34" i="21"/>
  <c r="S34" i="21"/>
  <c r="H11" i="39"/>
  <c r="C15" i="39"/>
  <c r="H32" i="33"/>
  <c r="AB32" i="33"/>
  <c r="H11" i="21"/>
  <c r="U11" i="21"/>
  <c r="J11" i="21"/>
  <c r="W11" i="21"/>
  <c r="H37" i="40"/>
  <c r="U37" i="40"/>
  <c r="H36" i="40"/>
  <c r="AB36" i="40"/>
  <c r="F35" i="40"/>
  <c r="AA35" i="40"/>
  <c r="H23" i="40"/>
  <c r="AB23" i="40"/>
  <c r="H17" i="40"/>
  <c r="U17" i="40"/>
  <c r="J15" i="40"/>
  <c r="W15" i="40"/>
  <c r="J11" i="40"/>
  <c r="W11" i="40"/>
  <c r="AB12" i="33"/>
  <c r="AA12" i="34"/>
  <c r="S44"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AC38" i="34"/>
  <c r="J37" i="34"/>
  <c r="AC37" i="34" s="1"/>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F30" i="34"/>
  <c r="S30" i="34" s="1"/>
  <c r="J30" i="34"/>
  <c r="W30" i="34" s="1"/>
  <c r="H32" i="34"/>
  <c r="J32" i="34"/>
  <c r="W32" i="34" s="1"/>
  <c r="H46" i="34"/>
  <c r="U46" i="34" s="1"/>
  <c r="F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A14" i="37"/>
  <c r="W31" i="34"/>
  <c r="W13" i="36"/>
  <c r="W11" i="36"/>
  <c r="AB46" i="34"/>
  <c r="AA14" i="34"/>
  <c r="S45" i="33"/>
  <c r="AB45" i="33"/>
  <c r="U31" i="33"/>
  <c r="U13" i="33"/>
  <c r="S44" i="34"/>
  <c r="BA586" i="3"/>
  <c r="BA585" i="3"/>
  <c r="F17" i="21"/>
  <c r="AA17" i="21"/>
  <c r="H17" i="21"/>
  <c r="AB17" i="21"/>
  <c r="F15" i="21"/>
  <c r="S15" i="2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U35" i="35"/>
  <c r="AA12" i="35"/>
  <c r="W23" i="35"/>
  <c r="W14" i="37"/>
  <c r="AB28" i="37"/>
  <c r="U33" i="37"/>
  <c r="U39" i="37"/>
  <c r="AC8" i="37"/>
  <c r="U26" i="37"/>
  <c r="W47" i="34"/>
  <c r="W37" i="34"/>
  <c r="AB37" i="34"/>
  <c r="AC36" i="34"/>
  <c r="AA13" i="33"/>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W23" i="39"/>
  <c r="AC43" i="39"/>
  <c r="W43" i="39"/>
  <c r="G101" i="39"/>
  <c r="H37" i="39"/>
  <c r="AB37" i="39"/>
  <c r="H25" i="39"/>
  <c r="AB25" i="39"/>
  <c r="J25" i="39"/>
  <c r="F25" i="39"/>
  <c r="AA25" i="39" s="1"/>
  <c r="F15" i="39"/>
  <c r="AA15" i="39" s="1"/>
  <c r="H15" i="39"/>
  <c r="U15" i="39" s="1"/>
  <c r="J15" i="39"/>
  <c r="W15" i="39" s="1"/>
  <c r="H41" i="39"/>
  <c r="W27" i="39"/>
  <c r="AB34" i="39"/>
  <c r="U40" i="39"/>
  <c r="S42" i="39"/>
  <c r="AA41" i="39"/>
  <c r="W9" i="39"/>
  <c r="W8" i="39"/>
  <c r="J19" i="40"/>
  <c r="AC19" i="40"/>
  <c r="J50" i="40"/>
  <c r="B54" i="72"/>
  <c r="B16" i="53"/>
  <c r="B33" i="72" s="1"/>
  <c r="C7" i="34"/>
  <c r="W35" i="40"/>
  <c r="A118" i="9"/>
  <c r="J11" i="39"/>
  <c r="W11" i="39"/>
  <c r="F11" i="39"/>
  <c r="AA11" i="39"/>
  <c r="A12" i="52"/>
  <c r="B56" i="72" s="1"/>
  <c r="S11" i="39"/>
  <c r="G4" i="4"/>
  <c r="I4" i="4"/>
  <c r="F59" i="43"/>
  <c r="H62" i="43" s="1"/>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G17" i="3"/>
  <c r="BA17" i="3"/>
  <c r="BT5" i="3"/>
  <c r="AZ350" i="3"/>
  <c r="AZ352" i="3"/>
  <c r="AZ356" i="3"/>
  <c r="AZ364" i="3"/>
  <c r="AZ368" i="3"/>
  <c r="BA15" i="3"/>
  <c r="AZ15" i="3" s="1"/>
  <c r="BR5" i="3"/>
  <c r="G28" i="6" s="1"/>
  <c r="AZ384" i="3"/>
  <c r="AZ388" i="3"/>
  <c r="AZ392" i="3"/>
  <c r="AZ396" i="3"/>
  <c r="AZ394" i="3"/>
  <c r="G509" i="3"/>
  <c r="BL493" i="3"/>
  <c r="AZ493" i="3" s="1"/>
  <c r="AZ491" i="3"/>
  <c r="AZ376" i="3"/>
  <c r="AZ382" i="3"/>
  <c r="U36" i="40"/>
  <c r="F81" i="43"/>
  <c r="H83" i="43" s="1"/>
  <c r="F70" i="43"/>
  <c r="H73" i="43" s="1"/>
  <c r="M11" i="43"/>
  <c r="F39" i="43"/>
  <c r="F35" i="43"/>
  <c r="U17" i="39"/>
  <c r="S14" i="35"/>
  <c r="U43" i="21"/>
  <c r="U35" i="21"/>
  <c r="AC35" i="21"/>
  <c r="U10"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F20" i="36"/>
  <c r="AA20" i="36" s="1"/>
  <c r="J33" i="34"/>
  <c r="AC33" i="34" s="1"/>
  <c r="H23" i="39"/>
  <c r="U23" i="39" s="1"/>
  <c r="D48" i="9"/>
  <c r="M52" i="9" s="1"/>
  <c r="H82" i="43"/>
  <c r="K9" i="1"/>
  <c r="M9" i="1" s="1"/>
  <c r="AE9" i="1"/>
  <c r="G29" i="6"/>
  <c r="AC26" i="33"/>
  <c r="W26" i="33"/>
  <c r="W27" i="34"/>
  <c r="AC27" i="34"/>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H100" i="43"/>
  <c r="C30" i="66"/>
  <c r="E26" i="66" s="1"/>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c r="U25" i="39"/>
  <c r="AB27" i="39"/>
  <c r="S25" i="39"/>
  <c r="J21" i="39"/>
  <c r="F21" i="39"/>
  <c r="G95" i="39"/>
  <c r="H21" i="39"/>
  <c r="W19" i="39"/>
  <c r="U19" i="39"/>
  <c r="S17" i="39"/>
  <c r="AC15" i="39"/>
  <c r="S15" i="39"/>
  <c r="AB15" i="39"/>
  <c r="AA12" i="39"/>
  <c r="S9" i="39"/>
  <c r="U14" i="39"/>
  <c r="AC13" i="39"/>
  <c r="U12" i="39"/>
  <c r="S23" i="36"/>
  <c r="U13" i="36"/>
  <c r="AC27" i="36"/>
  <c r="AB27" i="36"/>
  <c r="U26" i="36"/>
  <c r="S27" i="36"/>
  <c r="AA26"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B8" i="21"/>
  <c r="S8" i="21"/>
  <c r="M3" i="43"/>
  <c r="N8" i="43"/>
  <c r="C18" i="9"/>
  <c r="D18" i="9" s="1"/>
  <c r="M20" i="67"/>
  <c r="BL17" i="3"/>
  <c r="AZ17" i="3" s="1"/>
  <c r="BL13" i="3"/>
  <c r="J56" i="9"/>
  <c r="J57" i="9" s="1"/>
  <c r="J59" i="9" s="1"/>
  <c r="J61" i="9" s="1"/>
  <c r="U29" i="34"/>
  <c r="E5" i="6"/>
  <c r="D9" i="11" s="1"/>
  <c r="C9" i="11" s="1"/>
  <c r="E32" i="6"/>
  <c r="L19" i="6"/>
  <c r="T12" i="1"/>
  <c r="E19" i="69"/>
  <c r="E19" i="68"/>
  <c r="E19" i="11"/>
  <c r="G41" i="68"/>
  <c r="G41" i="11"/>
  <c r="C100" i="43"/>
  <c r="C7" i="43"/>
  <c r="E81" i="43"/>
  <c r="B79" i="43"/>
  <c r="E70" i="43"/>
  <c r="B68" i="43" s="1"/>
  <c r="F100" i="43"/>
  <c r="H17" i="43"/>
  <c r="H81" i="43"/>
  <c r="H88" i="43"/>
  <c r="H78" i="43"/>
  <c r="C17" i="43"/>
  <c r="K17" i="43"/>
  <c r="N3" i="43"/>
  <c r="F37" i="43"/>
  <c r="M9" i="43"/>
  <c r="M12" i="43"/>
  <c r="B19" i="53"/>
  <c r="B37" i="72" s="1"/>
  <c r="C7" i="35"/>
  <c r="C48" i="35" s="1"/>
  <c r="D48" i="35" s="1"/>
  <c r="E48" i="35" s="1"/>
  <c r="F48" i="35" s="1"/>
  <c r="G48" i="35" s="1"/>
  <c r="H48" i="35" s="1"/>
  <c r="G19" i="43"/>
  <c r="O19" i="43" s="1"/>
  <c r="T35" i="4"/>
  <c r="A19" i="51" s="1"/>
  <c r="B14" i="72" s="1"/>
  <c r="C59" i="34"/>
  <c r="D59" i="34" s="1"/>
  <c r="E59" i="34" s="1"/>
  <c r="F59" i="34" s="1"/>
  <c r="G59" i="34" s="1"/>
  <c r="H59" i="34" s="1"/>
  <c r="I59" i="34" s="1"/>
  <c r="J59" i="34" s="1"/>
  <c r="K59" i="34" s="1"/>
  <c r="C4" i="12"/>
  <c r="H64" i="43"/>
  <c r="H72" i="43"/>
  <c r="L20" i="6"/>
  <c r="B6" i="1"/>
  <c r="E6" i="1" s="1"/>
  <c r="S8" i="1"/>
  <c r="AQ8" i="1" s="1"/>
  <c r="K11" i="1"/>
  <c r="M11" i="1" s="1"/>
  <c r="O11" i="1" s="1"/>
  <c r="P11" i="1" s="1"/>
  <c r="AP6" i="1"/>
  <c r="B9" i="1"/>
  <c r="E9" i="1" s="1"/>
  <c r="K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F33" i="21"/>
  <c r="J33" i="21"/>
  <c r="H33" i="21"/>
  <c r="AB33" i="21"/>
  <c r="F37" i="21"/>
  <c r="AA37" i="21"/>
  <c r="AA26" i="21"/>
  <c r="AB46" i="21"/>
  <c r="U40" i="21"/>
  <c r="AC15" i="21"/>
  <c r="U13" i="21"/>
  <c r="AB13" i="21"/>
  <c r="W8" i="21"/>
  <c r="S35" i="21"/>
  <c r="AB37" i="21"/>
  <c r="J37" i="21"/>
  <c r="W37" i="21"/>
  <c r="H15" i="21"/>
  <c r="U15" i="21"/>
  <c r="J17" i="21"/>
  <c r="AC17" i="21"/>
  <c r="AC19" i="21"/>
  <c r="W39"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W13" i="21"/>
  <c r="W42" i="21"/>
  <c r="F10" i="21"/>
  <c r="K145" i="21"/>
  <c r="W17" i="21"/>
  <c r="W25" i="21"/>
  <c r="AA29" i="21"/>
  <c r="S27" i="21"/>
  <c r="S17" i="21"/>
  <c r="AA15" i="21"/>
  <c r="AC27" i="21"/>
  <c r="AC26" i="21"/>
  <c r="AB29" i="21"/>
  <c r="AC34" i="21"/>
  <c r="W10" i="21"/>
  <c r="W12" i="21"/>
  <c r="AB36" i="21"/>
  <c r="W30" i="40"/>
  <c r="C19" i="39"/>
  <c r="C15" i="40"/>
  <c r="C17" i="40"/>
  <c r="C23" i="40"/>
  <c r="C21" i="40"/>
  <c r="U30" i="40"/>
  <c r="B54" i="43"/>
  <c r="B49" i="43"/>
  <c r="B52" i="43"/>
  <c r="B56" i="43"/>
  <c r="B63" i="43"/>
  <c r="B67" i="43"/>
  <c r="D23" i="15"/>
  <c r="D22" i="15"/>
  <c r="E4" i="4"/>
  <c r="B5" i="62" s="1"/>
  <c r="B73" i="72" s="1"/>
  <c r="C4" i="4"/>
  <c r="D19" i="12"/>
  <c r="C19" i="12" s="1"/>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11" i="12"/>
  <c r="C23" i="12" s="1"/>
  <c r="R8" i="1"/>
  <c r="AE8" i="1"/>
  <c r="AG6" i="1"/>
  <c r="H109" i="9"/>
  <c r="H110" i="9" s="1"/>
  <c r="D18" i="53" s="1"/>
  <c r="B35" i="72" s="1"/>
  <c r="D16" i="53"/>
  <c r="B34" i="72" s="1"/>
  <c r="H112" i="9"/>
  <c r="D21" i="53" s="1"/>
  <c r="B39" i="72" s="1"/>
  <c r="H111" i="9"/>
  <c r="D126" i="9" s="1"/>
  <c r="I14" i="74" s="1"/>
  <c r="B8" i="74" s="1"/>
  <c r="AD3" i="71"/>
  <c r="H76" i="43"/>
  <c r="H67" i="43"/>
  <c r="M4" i="43"/>
  <c r="N12" i="43"/>
  <c r="M10" i="43"/>
  <c r="M7" i="43"/>
  <c r="N9" i="43"/>
  <c r="N10" i="43"/>
  <c r="M6" i="43"/>
  <c r="N4" i="43"/>
  <c r="L17" i="43"/>
  <c r="M17" i="43"/>
  <c r="AB15" i="71"/>
  <c r="X13" i="71"/>
  <c r="X12" i="71"/>
  <c r="AA13" i="71"/>
  <c r="AA12" i="71"/>
  <c r="X16" i="71"/>
  <c r="Y12" i="71"/>
  <c r="Z12" i="71" s="1"/>
  <c r="AB13" i="71"/>
  <c r="AB12" i="71"/>
  <c r="C92" i="9"/>
  <c r="F14" i="71"/>
  <c r="F13" i="71"/>
  <c r="F12" i="71" s="1"/>
  <c r="F11" i="71" s="1"/>
  <c r="F10" i="71" s="1"/>
  <c r="Y13" i="71"/>
  <c r="Z13" i="71" s="1"/>
  <c r="X3" i="71"/>
  <c r="L48" i="79"/>
  <c r="F43" i="79"/>
  <c r="F7" i="73"/>
  <c r="E10" i="76"/>
  <c r="AO13" i="1"/>
  <c r="E11" i="76"/>
  <c r="E12" i="76"/>
  <c r="D2" i="33"/>
  <c r="AO12" i="1"/>
  <c r="F6" i="73"/>
  <c r="F7" i="79"/>
  <c r="AO8" i="1"/>
  <c r="D2" i="35"/>
  <c r="F20" i="31"/>
  <c r="F3" i="73"/>
  <c r="AO9" i="1"/>
  <c r="D2" i="34"/>
  <c r="E9" i="76"/>
  <c r="B8" i="76"/>
  <c r="E13" i="76"/>
  <c r="F5" i="73"/>
  <c r="B10" i="76"/>
  <c r="B12" i="76"/>
  <c r="M29" i="79"/>
  <c r="B13" i="76"/>
  <c r="E2" i="69"/>
  <c r="D2" i="36"/>
  <c r="E2" i="68"/>
  <c r="B9" i="76"/>
  <c r="AO11" i="1"/>
  <c r="F4" i="73"/>
  <c r="D2" i="37"/>
  <c r="E8" i="76"/>
  <c r="B11" i="76"/>
  <c r="AO10" i="1"/>
  <c r="D2" i="21"/>
  <c r="D19" i="53" l="1"/>
  <c r="D124" i="9"/>
  <c r="H103" i="9"/>
  <c r="C5" i="11"/>
  <c r="B73" i="43"/>
  <c r="B52" i="78"/>
  <c r="B73" i="78"/>
  <c r="B63" i="78"/>
  <c r="L58" i="79"/>
  <c r="C7" i="37"/>
  <c r="C52" i="37" s="1"/>
  <c r="D52" i="37" s="1"/>
  <c r="E52" i="37" s="1"/>
  <c r="F52" i="37" s="1"/>
  <c r="G52" i="37" s="1"/>
  <c r="H52" i="37" s="1"/>
  <c r="I52" i="37" s="1"/>
  <c r="G19" i="78"/>
  <c r="J51" i="79"/>
  <c r="J51" i="15"/>
  <c r="M7" i="79"/>
  <c r="J6" i="79" s="1"/>
  <c r="C6" i="79"/>
  <c r="F50" i="79"/>
  <c r="C49" i="79" s="1"/>
  <c r="F71" i="79"/>
  <c r="F34" i="15"/>
  <c r="F62" i="15" s="1"/>
  <c r="F34" i="67"/>
  <c r="F62" i="67" s="1"/>
  <c r="D93" i="9"/>
  <c r="B41" i="1"/>
  <c r="F54" i="9" s="1"/>
  <c r="M18" i="67"/>
  <c r="C40" i="11"/>
  <c r="B65" i="43"/>
  <c r="C27" i="39"/>
  <c r="E48" i="43"/>
  <c r="B46" i="43" s="1"/>
  <c r="C24" i="43" s="1"/>
  <c r="F34" i="68"/>
  <c r="G25" i="12"/>
  <c r="G27" i="12"/>
  <c r="G41" i="69"/>
  <c r="D23" i="67"/>
  <c r="G22" i="11"/>
  <c r="G26" i="12"/>
  <c r="G22" i="68"/>
  <c r="G22" i="69"/>
  <c r="E9" i="43"/>
  <c r="E10" i="43"/>
  <c r="E8" i="43"/>
  <c r="E11" i="43"/>
  <c r="L27" i="6"/>
  <c r="G1" i="15"/>
  <c r="T9" i="1"/>
  <c r="T11" i="1"/>
  <c r="AQ13" i="1"/>
  <c r="G1" i="67"/>
  <c r="T10" i="1"/>
  <c r="AR12" i="1"/>
  <c r="G1" i="68"/>
  <c r="K6" i="1"/>
  <c r="G1" i="69"/>
  <c r="K1" i="12"/>
  <c r="T13" i="1"/>
  <c r="AR11" i="1"/>
  <c r="D9" i="69"/>
  <c r="C9" i="69" s="1"/>
  <c r="AR10" i="1"/>
  <c r="G13" i="3"/>
  <c r="E15" i="6"/>
  <c r="E11" i="6"/>
  <c r="E61" i="39" s="1"/>
  <c r="E14" i="6"/>
  <c r="E8" i="6"/>
  <c r="E10" i="6"/>
  <c r="C36" i="69"/>
  <c r="E12" i="6"/>
  <c r="E62" i="39" s="1"/>
  <c r="M7" i="1"/>
  <c r="T8" i="1"/>
  <c r="P10" i="1"/>
  <c r="BA13" i="3"/>
  <c r="AZ13" i="3" s="1"/>
  <c r="AR8" i="1"/>
  <c r="G30" i="6"/>
  <c r="G31" i="6" s="1"/>
  <c r="E28" i="6"/>
  <c r="K14" i="1" s="1"/>
  <c r="M14" i="1" s="1"/>
  <c r="O14" i="1" s="1"/>
  <c r="P14" i="1" s="1"/>
  <c r="E57" i="40"/>
  <c r="AQ9" i="1"/>
  <c r="E13" i="6"/>
  <c r="F29" i="6"/>
  <c r="N2" i="43"/>
  <c r="N7" i="43"/>
  <c r="M8" i="43"/>
  <c r="M2" i="43"/>
  <c r="N11" i="43"/>
  <c r="M5" i="43"/>
  <c r="H60" i="43"/>
  <c r="H66" i="43"/>
  <c r="N5" i="43"/>
  <c r="N6" i="43"/>
  <c r="F48" i="43" s="1"/>
  <c r="M1" i="43"/>
  <c r="E17" i="43"/>
  <c r="O17" i="43"/>
  <c r="N17" i="43"/>
  <c r="H74" i="43"/>
  <c r="H70" i="43"/>
  <c r="H61" i="43"/>
  <c r="H59" i="43"/>
  <c r="H77" i="43"/>
  <c r="H63" i="43"/>
  <c r="H65" i="43"/>
  <c r="F38" i="43"/>
  <c r="C6" i="43"/>
  <c r="F34" i="43"/>
  <c r="F33" i="43"/>
  <c r="H71" i="43"/>
  <c r="H84" i="43"/>
  <c r="H85" i="43"/>
  <c r="H87" i="43"/>
  <c r="H86" i="43"/>
  <c r="J17" i="43"/>
  <c r="I17" i="43"/>
  <c r="D17" i="43"/>
  <c r="H113" i="43"/>
  <c r="F36" i="43"/>
  <c r="G11" i="1"/>
  <c r="G9" i="1"/>
  <c r="G12" i="1"/>
  <c r="A2" i="9"/>
  <c r="A4" i="52"/>
  <c r="B41" i="72" s="1"/>
  <c r="D17" i="53"/>
  <c r="B36" i="72" s="1"/>
  <c r="J1" i="73"/>
  <c r="M47" i="9"/>
  <c r="C7" i="40"/>
  <c r="C63" i="40" s="1"/>
  <c r="C7" i="21"/>
  <c r="C58" i="21" s="1"/>
  <c r="D58" i="21" s="1"/>
  <c r="E58" i="21" s="1"/>
  <c r="F58" i="21" s="1"/>
  <c r="G58" i="21" s="1"/>
  <c r="C7" i="33"/>
  <c r="C58" i="33" s="1"/>
  <c r="C7" i="39"/>
  <c r="C68" i="39" s="1"/>
  <c r="C42" i="1"/>
  <c r="C28" i="79" s="1"/>
  <c r="C7" i="36"/>
  <c r="C46" i="36" s="1"/>
  <c r="D46" i="36" s="1"/>
  <c r="E46" i="36" s="1"/>
  <c r="L59" i="34"/>
  <c r="M59" i="34" s="1"/>
  <c r="N59" i="34" s="1"/>
  <c r="O59" i="34" s="1"/>
  <c r="I48" i="35"/>
  <c r="J48" i="35" s="1"/>
  <c r="K48" i="35" s="1"/>
  <c r="L48" i="35" s="1"/>
  <c r="M48" i="35" s="1"/>
  <c r="N48" i="35" s="1"/>
  <c r="O48" i="35" s="1"/>
  <c r="J52" i="37"/>
  <c r="K52" i="37" s="1"/>
  <c r="L52" i="37" s="1"/>
  <c r="M52" i="37" s="1"/>
  <c r="N52" i="37" s="1"/>
  <c r="O52" i="37" s="1"/>
  <c r="H58" i="21"/>
  <c r="I58" i="21" s="1"/>
  <c r="J58" i="21" s="1"/>
  <c r="K58" i="21" s="1"/>
  <c r="L58" i="21" s="1"/>
  <c r="M58" i="21" s="1"/>
  <c r="N58" i="21" s="1"/>
  <c r="O58" i="21" s="1"/>
  <c r="J7" i="21"/>
  <c r="O9" i="1"/>
  <c r="E29" i="6"/>
  <c r="F30" i="6"/>
  <c r="AZ495" i="3"/>
  <c r="AZ521" i="3"/>
  <c r="AC9" i="36"/>
  <c r="W9" i="36"/>
  <c r="AB23" i="36"/>
  <c r="U23" i="36"/>
  <c r="AC26" i="37"/>
  <c r="W26" i="37"/>
  <c r="J7" i="35"/>
  <c r="F46" i="36"/>
  <c r="J7" i="37"/>
  <c r="D12" i="52"/>
  <c r="D127" i="9"/>
  <c r="D13" i="52" s="1"/>
  <c r="U12" i="35"/>
  <c r="AB12" i="35"/>
  <c r="AZ551" i="3"/>
  <c r="AA26" i="33"/>
  <c r="S26" i="33"/>
  <c r="BL585" i="3"/>
  <c r="AZ585" i="3" s="1"/>
  <c r="J14" i="21"/>
  <c r="F14" i="21"/>
  <c r="H14" i="21"/>
  <c r="H30" i="21"/>
  <c r="F30" i="21"/>
  <c r="J30" i="21"/>
  <c r="J45" i="21"/>
  <c r="F45" i="21"/>
  <c r="B71" i="43"/>
  <c r="C21" i="39"/>
  <c r="AC40" i="33"/>
  <c r="W40" i="33"/>
  <c r="AA9" i="34"/>
  <c r="S9" i="34"/>
  <c r="W12" i="34"/>
  <c r="AC12" i="34"/>
  <c r="W8" i="35"/>
  <c r="AC8" i="35"/>
  <c r="J34" i="35"/>
  <c r="H34" i="35"/>
  <c r="F34" i="35"/>
  <c r="AB9" i="36"/>
  <c r="U9" i="36"/>
  <c r="H34" i="36"/>
  <c r="J34" i="36"/>
  <c r="H33" i="36"/>
  <c r="F33" i="36"/>
  <c r="AA10" i="37"/>
  <c r="S10" i="37"/>
  <c r="AB9" i="39"/>
  <c r="U9" i="39"/>
  <c r="H31" i="39"/>
  <c r="F31" i="39"/>
  <c r="H45" i="39"/>
  <c r="F45" i="39"/>
  <c r="J45" i="39"/>
  <c r="W9" i="40"/>
  <c r="AC9" i="40"/>
  <c r="AA34" i="40"/>
  <c r="S34" i="40"/>
  <c r="AA40" i="40"/>
  <c r="S40" i="40"/>
  <c r="W40" i="40"/>
  <c r="AC40" i="40"/>
  <c r="AC32" i="40"/>
  <c r="W32" i="40"/>
  <c r="K5" i="4"/>
  <c r="B47" i="48" s="1"/>
  <c r="W14" i="39"/>
  <c r="U12" i="37"/>
  <c r="W40" i="37"/>
  <c r="AC45" i="33"/>
  <c r="AB13" i="34"/>
  <c r="W29" i="33"/>
  <c r="AC30" i="34"/>
  <c r="W11" i="35"/>
  <c r="S11" i="36"/>
  <c r="AA14" i="33"/>
  <c r="AA44" i="33"/>
  <c r="S8" i="36"/>
  <c r="F34" i="36"/>
  <c r="AB30" i="35"/>
  <c r="U30" i="35"/>
  <c r="AB12" i="36"/>
  <c r="S40" i="21"/>
  <c r="AA9" i="40"/>
  <c r="J33" i="36"/>
  <c r="W8" i="36"/>
  <c r="W40" i="39"/>
  <c r="AB41" i="21"/>
  <c r="BL586" i="3"/>
  <c r="AZ586" i="3" s="1"/>
  <c r="H28" i="21"/>
  <c r="F28" i="21"/>
  <c r="J28" i="21"/>
  <c r="H31" i="21"/>
  <c r="J31" i="21"/>
  <c r="F31" i="21"/>
  <c r="B77" i="43"/>
  <c r="C25" i="39"/>
  <c r="H12" i="34"/>
  <c r="J9" i="34"/>
  <c r="H9" i="34"/>
  <c r="F28" i="34"/>
  <c r="J28" i="34"/>
  <c r="AB8" i="35"/>
  <c r="U8" i="35"/>
  <c r="AC28" i="35"/>
  <c r="W28" i="35"/>
  <c r="H36" i="35"/>
  <c r="J36" i="35"/>
  <c r="U8" i="36"/>
  <c r="AB8" i="36"/>
  <c r="F9" i="36"/>
  <c r="AC25" i="37"/>
  <c r="W25" i="37"/>
  <c r="F26" i="37"/>
  <c r="AC31" i="37"/>
  <c r="W31" i="37"/>
  <c r="AB14" i="37"/>
  <c r="U14" i="37"/>
  <c r="U8" i="39"/>
  <c r="AB8" i="39"/>
  <c r="AA40" i="39"/>
  <c r="S40" i="39"/>
  <c r="H44" i="39"/>
  <c r="J44" i="39"/>
  <c r="J37" i="39"/>
  <c r="F37" i="39"/>
  <c r="AC8" i="40"/>
  <c r="W8" i="40"/>
  <c r="AB34" i="40"/>
  <c r="U34" i="40"/>
  <c r="AB40" i="40"/>
  <c r="U40" i="40"/>
  <c r="S38" i="34"/>
  <c r="AA38" i="34"/>
  <c r="G551" i="3"/>
  <c r="G5" i="3" s="1"/>
  <c r="B3" i="3" s="1"/>
  <c r="BL548" i="3"/>
  <c r="AZ548" i="3" s="1"/>
  <c r="AZ400" i="3"/>
  <c r="AZ409" i="3"/>
  <c r="AZ416" i="3"/>
  <c r="AZ425" i="3"/>
  <c r="AZ429" i="3"/>
  <c r="AZ439" i="3"/>
  <c r="AZ444" i="3"/>
  <c r="AZ453" i="3"/>
  <c r="AZ455" i="3"/>
  <c r="AZ460" i="3"/>
  <c r="AZ471" i="3"/>
  <c r="AZ479" i="3"/>
  <c r="AZ485" i="3"/>
  <c r="AZ332" i="3"/>
  <c r="AZ385" i="3"/>
  <c r="AZ395" i="3"/>
  <c r="AZ208" i="3"/>
  <c r="AZ211" i="3"/>
  <c r="AZ219" i="3"/>
  <c r="AZ225" i="3"/>
  <c r="AZ242" i="3"/>
  <c r="AZ246" i="3"/>
  <c r="AZ255" i="3"/>
  <c r="AZ272" i="3"/>
  <c r="AZ274" i="3"/>
  <c r="AZ277" i="3"/>
  <c r="AZ278" i="3"/>
  <c r="AZ302" i="3"/>
  <c r="AZ113" i="3"/>
  <c r="AZ126" i="3"/>
  <c r="AZ129" i="3"/>
  <c r="AZ141" i="3"/>
  <c r="AZ153" i="3"/>
  <c r="AZ54" i="3"/>
  <c r="AZ5" i="3" s="1"/>
  <c r="AZ57" i="3"/>
  <c r="AZ70" i="3"/>
  <c r="AZ92" i="3"/>
  <c r="AZ103" i="3"/>
  <c r="D33" i="71"/>
  <c r="T33" i="71"/>
  <c r="D27" i="71"/>
  <c r="C28" i="71"/>
  <c r="C45" i="71"/>
  <c r="D44" i="71"/>
  <c r="C48" i="71"/>
  <c r="D47" i="71"/>
  <c r="C53" i="71"/>
  <c r="D52" i="71"/>
  <c r="D37" i="71"/>
  <c r="T37" i="71"/>
  <c r="C24" i="71"/>
  <c r="D23" i="71"/>
  <c r="C40" i="68"/>
  <c r="C21" i="68"/>
  <c r="F27" i="71"/>
  <c r="F28" i="71" s="1"/>
  <c r="F29" i="71" s="1"/>
  <c r="V29" i="71" s="1"/>
  <c r="F31" i="71"/>
  <c r="F32" i="71" s="1"/>
  <c r="F33" i="71" s="1"/>
  <c r="V33" i="71" s="1"/>
  <c r="Z12" i="43"/>
  <c r="Z10" i="43"/>
  <c r="AD12" i="43"/>
  <c r="AD10" i="43"/>
  <c r="AF12" i="43"/>
  <c r="AF10" i="43"/>
  <c r="AH12" i="43"/>
  <c r="AH10" i="43"/>
  <c r="Y17" i="71"/>
  <c r="Z17" i="71" s="1"/>
  <c r="Y14" i="71"/>
  <c r="Z14" i="71" s="1"/>
  <c r="AA15" i="71"/>
  <c r="S18" i="36"/>
  <c r="D20" i="71"/>
  <c r="AA20" i="71"/>
  <c r="AB20" i="71"/>
  <c r="S21" i="71"/>
  <c r="E60" i="71"/>
  <c r="AB30" i="71"/>
  <c r="AA28" i="71"/>
  <c r="AB26" i="71"/>
  <c r="Y26" i="71"/>
  <c r="Z26" i="71" s="1"/>
  <c r="Y23" i="71"/>
  <c r="Z23" i="71" s="1"/>
  <c r="AB24" i="71"/>
  <c r="Y27" i="71"/>
  <c r="Z27" i="71" s="1"/>
  <c r="AB28" i="71"/>
  <c r="Y31" i="71"/>
  <c r="Z31" i="71" s="1"/>
  <c r="AA32" i="71"/>
  <c r="AA30" i="71"/>
  <c r="V61" i="71"/>
  <c r="F60" i="71"/>
  <c r="AJ10" i="43"/>
  <c r="M56" i="9"/>
  <c r="K56" i="9"/>
  <c r="AA16" i="71"/>
  <c r="AA17" i="71"/>
  <c r="E17" i="71"/>
  <c r="X15" i="71"/>
  <c r="B17" i="71"/>
  <c r="X14" i="71"/>
  <c r="X17" i="71"/>
  <c r="X11" i="71"/>
  <c r="AC12" i="43"/>
  <c r="AC10" i="43"/>
  <c r="AG12" i="43"/>
  <c r="AG10" i="43"/>
  <c r="Y15" i="71"/>
  <c r="Z15" i="71" s="1"/>
  <c r="Y16" i="71"/>
  <c r="Z16" i="71" s="1"/>
  <c r="C17" i="71"/>
  <c r="AB16" i="71"/>
  <c r="AB17" i="71"/>
  <c r="Y11" i="71"/>
  <c r="Z11" i="71" s="1"/>
  <c r="AB11" i="71"/>
  <c r="X10" i="71"/>
  <c r="AA10" i="71"/>
  <c r="AB14" i="71"/>
  <c r="AA14" i="71"/>
  <c r="AA11" i="71"/>
  <c r="Y7" i="71"/>
  <c r="Z7" i="71" s="1"/>
  <c r="Y10" i="71"/>
  <c r="Z10" i="71" s="1"/>
  <c r="AB10" i="71"/>
  <c r="X8" i="71"/>
  <c r="AA8" i="71"/>
  <c r="AB5" i="71"/>
  <c r="AB7" i="71"/>
  <c r="AA6" i="71"/>
  <c r="X5" i="71"/>
  <c r="X7" i="71"/>
  <c r="Y6" i="71"/>
  <c r="Z6" i="71" s="1"/>
  <c r="AB8" i="71"/>
  <c r="AB6" i="71"/>
  <c r="AA5" i="71"/>
  <c r="AA7" i="71"/>
  <c r="X6" i="71"/>
  <c r="Y5" i="71"/>
  <c r="Z5" i="71" s="1"/>
  <c r="F31" i="67"/>
  <c r="F31" i="15"/>
  <c r="K4" i="4"/>
  <c r="B46" i="48" s="1"/>
  <c r="B4" i="72" s="1"/>
  <c r="B4" i="62"/>
  <c r="B71" i="72" s="1"/>
  <c r="Y9" i="71"/>
  <c r="Z9" i="71" s="1"/>
  <c r="Y8" i="71"/>
  <c r="Z8" i="71" s="1"/>
  <c r="AA9" i="71"/>
  <c r="AB3" i="71"/>
  <c r="X9" i="71"/>
  <c r="AB9" i="71"/>
  <c r="Y3" i="71"/>
  <c r="Z3" i="71" s="1"/>
  <c r="F9" i="71"/>
  <c r="F8" i="71" s="1"/>
  <c r="F7" i="71" s="1"/>
  <c r="F6" i="71" s="1"/>
  <c r="F5" i="71" s="1"/>
  <c r="AF3" i="71"/>
  <c r="P22" i="43" s="1"/>
  <c r="B10" i="70"/>
  <c r="B20" i="31"/>
  <c r="B21" i="31" s="1"/>
  <c r="I1" i="73"/>
  <c r="B39" i="1" s="1"/>
  <c r="B12" i="70"/>
  <c r="B11" i="70"/>
  <c r="B8" i="70"/>
  <c r="B9" i="70"/>
  <c r="B13" i="70"/>
  <c r="D9" i="68"/>
  <c r="M8" i="67"/>
  <c r="M27" i="15"/>
  <c r="D6" i="73"/>
  <c r="C16" i="79"/>
  <c r="M21" i="67"/>
  <c r="F26" i="67"/>
  <c r="M26" i="67"/>
  <c r="L48" i="67"/>
  <c r="J15" i="15"/>
  <c r="F6" i="15"/>
  <c r="C76" i="67"/>
  <c r="L48" i="15"/>
  <c r="L47" i="67"/>
  <c r="M28" i="67"/>
  <c r="M27" i="67"/>
  <c r="F37" i="15"/>
  <c r="F36" i="67"/>
  <c r="F16" i="67"/>
  <c r="M6" i="67"/>
  <c r="M23" i="15"/>
  <c r="F9" i="67"/>
  <c r="F41" i="67"/>
  <c r="F35" i="67"/>
  <c r="F38" i="15"/>
  <c r="F42" i="67"/>
  <c r="D5" i="73"/>
  <c r="D7" i="73"/>
  <c r="D4" i="73"/>
  <c r="D3" i="73"/>
  <c r="M9" i="15"/>
  <c r="F37" i="67"/>
  <c r="F26" i="15"/>
  <c r="F7" i="15"/>
  <c r="M23" i="67"/>
  <c r="M8" i="15"/>
  <c r="M24" i="15"/>
  <c r="C76" i="15"/>
  <c r="F8" i="67"/>
  <c r="M29" i="67"/>
  <c r="F16" i="15"/>
  <c r="F40" i="67"/>
  <c r="F13" i="67"/>
  <c r="F13" i="15"/>
  <c r="M29" i="15"/>
  <c r="F6" i="67"/>
  <c r="F42" i="15"/>
  <c r="F43" i="15"/>
  <c r="M24" i="67"/>
  <c r="M6" i="15"/>
  <c r="M28" i="15"/>
  <c r="F36" i="15"/>
  <c r="J15" i="67"/>
  <c r="M22" i="15"/>
  <c r="F40" i="15"/>
  <c r="L47" i="15"/>
  <c r="F38" i="67"/>
  <c r="F8" i="15"/>
  <c r="F9" i="15"/>
  <c r="F43" i="67"/>
  <c r="M9" i="67"/>
  <c r="M26" i="15"/>
  <c r="F7" i="67"/>
  <c r="M22" i="67"/>
  <c r="H14" i="74" l="1"/>
  <c r="B7" i="74" s="1"/>
  <c r="D10" i="52"/>
  <c r="D125" i="9"/>
  <c r="D11" i="52" s="1"/>
  <c r="D8" i="53"/>
  <c r="D120" i="9"/>
  <c r="B38" i="72"/>
  <c r="D20" i="53"/>
  <c r="B40" i="72" s="1"/>
  <c r="C9" i="68"/>
  <c r="C32" i="79"/>
  <c r="P24" i="78"/>
  <c r="O19" i="78"/>
  <c r="M20" i="78"/>
  <c r="C19" i="78" s="1"/>
  <c r="P22" i="78"/>
  <c r="P21" i="78"/>
  <c r="P25" i="78"/>
  <c r="P23" i="78"/>
  <c r="Q73" i="79"/>
  <c r="Q60" i="79"/>
  <c r="H7" i="35"/>
  <c r="F7" i="34"/>
  <c r="F7" i="35"/>
  <c r="J7" i="34"/>
  <c r="J18" i="79"/>
  <c r="N59" i="79"/>
  <c r="I54" i="79"/>
  <c r="J57" i="79"/>
  <c r="J55" i="79" s="1"/>
  <c r="J58" i="79" s="1"/>
  <c r="Q50" i="79" s="1"/>
  <c r="L59" i="79"/>
  <c r="M59" i="79"/>
  <c r="J53" i="79"/>
  <c r="M6" i="1"/>
  <c r="O7" i="1"/>
  <c r="F11" i="79"/>
  <c r="M11" i="79"/>
  <c r="J10" i="79" s="1"/>
  <c r="J5" i="79" s="1"/>
  <c r="F30" i="11"/>
  <c r="M18" i="15"/>
  <c r="F53" i="9"/>
  <c r="F31" i="12"/>
  <c r="F30" i="69"/>
  <c r="F48" i="69" s="1"/>
  <c r="F48" i="9"/>
  <c r="O52" i="9" s="1"/>
  <c r="F28" i="67"/>
  <c r="C28" i="67" s="1"/>
  <c r="F32" i="67"/>
  <c r="F60" i="67" s="1"/>
  <c r="F28" i="15"/>
  <c r="D68" i="9"/>
  <c r="F30" i="68"/>
  <c r="F48" i="68" s="1"/>
  <c r="F52" i="9"/>
  <c r="F32" i="15"/>
  <c r="F60" i="15" s="1"/>
  <c r="C48" i="11"/>
  <c r="C30" i="11"/>
  <c r="E20" i="78"/>
  <c r="G17" i="43"/>
  <c r="C16" i="43" s="1"/>
  <c r="D5" i="43" s="1"/>
  <c r="H52" i="43"/>
  <c r="H49" i="43"/>
  <c r="H54" i="43"/>
  <c r="H48" i="43"/>
  <c r="H50" i="43"/>
  <c r="H53" i="43"/>
  <c r="H56" i="43"/>
  <c r="H51" i="43"/>
  <c r="H55" i="43"/>
  <c r="Q16" i="1"/>
  <c r="F66" i="15"/>
  <c r="F51" i="15"/>
  <c r="F65" i="15"/>
  <c r="J53" i="15"/>
  <c r="L56" i="15" s="1"/>
  <c r="I54" i="15"/>
  <c r="J57" i="15"/>
  <c r="J55" i="15" s="1"/>
  <c r="J58" i="15" s="1"/>
  <c r="Q50" i="15" s="1"/>
  <c r="F68" i="15"/>
  <c r="F50" i="15"/>
  <c r="M7" i="15"/>
  <c r="J6" i="15" s="1"/>
  <c r="C6" i="15"/>
  <c r="Q71" i="15"/>
  <c r="C27" i="15"/>
  <c r="L59" i="15"/>
  <c r="Q61" i="15" s="1"/>
  <c r="L58" i="15"/>
  <c r="Q73" i="15" s="1"/>
  <c r="N59" i="15"/>
  <c r="M59" i="15"/>
  <c r="F64" i="15"/>
  <c r="F71" i="15"/>
  <c r="F70" i="67"/>
  <c r="F69" i="67"/>
  <c r="F64" i="67"/>
  <c r="J20" i="67"/>
  <c r="N59" i="67"/>
  <c r="L58" i="67"/>
  <c r="Q73" i="67" s="1"/>
  <c r="L59" i="67"/>
  <c r="Q74" i="67" s="1"/>
  <c r="M59" i="67"/>
  <c r="F65" i="67"/>
  <c r="J57" i="67"/>
  <c r="J55" i="67" s="1"/>
  <c r="J58" i="67" s="1"/>
  <c r="Q50" i="67" s="1"/>
  <c r="I54" i="67"/>
  <c r="J53" i="67"/>
  <c r="Q52" i="67" s="1"/>
  <c r="L56" i="67"/>
  <c r="C27" i="67"/>
  <c r="C34" i="67"/>
  <c r="F63" i="67"/>
  <c r="C62" i="67" s="1"/>
  <c r="F51" i="67"/>
  <c r="F71" i="67"/>
  <c r="Q71" i="67"/>
  <c r="F66" i="67"/>
  <c r="F50" i="67"/>
  <c r="M7" i="67"/>
  <c r="J6" i="67" s="1"/>
  <c r="J18" i="67" s="1"/>
  <c r="C6" i="67"/>
  <c r="C32" i="67" s="1"/>
  <c r="F68" i="67"/>
  <c r="F28" i="12"/>
  <c r="BA5" i="3"/>
  <c r="P7" i="1"/>
  <c r="F27" i="6"/>
  <c r="E56" i="39"/>
  <c r="E51" i="40"/>
  <c r="E56" i="40"/>
  <c r="E59" i="40"/>
  <c r="E64" i="39"/>
  <c r="E60" i="40"/>
  <c r="E65" i="39"/>
  <c r="C34" i="69"/>
  <c r="P9" i="1"/>
  <c r="M16" i="1"/>
  <c r="L16" i="1" s="1"/>
  <c r="E58" i="40"/>
  <c r="E63" i="39"/>
  <c r="E66" i="39" s="1"/>
  <c r="E16" i="6"/>
  <c r="C5" i="43"/>
  <c r="C13" i="12"/>
  <c r="C77" i="9"/>
  <c r="C74" i="9" s="1"/>
  <c r="C30" i="68"/>
  <c r="C24" i="12"/>
  <c r="C28" i="15"/>
  <c r="C36" i="11"/>
  <c r="C30" i="69"/>
  <c r="C48" i="68"/>
  <c r="D58" i="33"/>
  <c r="E58" i="33" s="1"/>
  <c r="F58" i="33" s="1"/>
  <c r="G58" i="33" s="1"/>
  <c r="H58" i="33" s="1"/>
  <c r="I58" i="33" s="1"/>
  <c r="J58" i="33" s="1"/>
  <c r="K58" i="33" s="1"/>
  <c r="L58" i="33" s="1"/>
  <c r="M58" i="33" s="1"/>
  <c r="N58" i="33" s="1"/>
  <c r="O58" i="33" s="1"/>
  <c r="J7" i="33"/>
  <c r="H7" i="33"/>
  <c r="F7" i="33"/>
  <c r="D63" i="40"/>
  <c r="C65" i="40"/>
  <c r="F59" i="67"/>
  <c r="C48" i="69"/>
  <c r="H7" i="21"/>
  <c r="AB7" i="21" s="1"/>
  <c r="T48" i="21" s="1"/>
  <c r="G48" i="21" s="1"/>
  <c r="F7" i="21"/>
  <c r="AA7" i="21" s="1"/>
  <c r="R48" i="21" s="1"/>
  <c r="H7" i="37"/>
  <c r="AB7" i="37" s="1"/>
  <c r="T42" i="37" s="1"/>
  <c r="G42" i="37" s="1"/>
  <c r="F7" i="37"/>
  <c r="AA7" i="37" s="1"/>
  <c r="R42" i="37" s="1"/>
  <c r="H7" i="34"/>
  <c r="AB7" i="34" s="1"/>
  <c r="T49" i="34" s="1"/>
  <c r="G49" i="34" s="1"/>
  <c r="D68" i="39"/>
  <c r="C70" i="39"/>
  <c r="C31" i="12"/>
  <c r="K1" i="73"/>
  <c r="E20" i="43"/>
  <c r="N28" i="43" s="1"/>
  <c r="E3" i="6"/>
  <c r="C16" i="71"/>
  <c r="D17" i="71"/>
  <c r="U17" i="71" s="1"/>
  <c r="T17" i="71"/>
  <c r="B16" i="71"/>
  <c r="B15" i="71" s="1"/>
  <c r="B14" i="71" s="1"/>
  <c r="B13" i="71" s="1"/>
  <c r="S17" i="71"/>
  <c r="E16" i="71"/>
  <c r="E15" i="71" s="1"/>
  <c r="E14" i="71" s="1"/>
  <c r="E13" i="71" s="1"/>
  <c r="V17" i="71"/>
  <c r="Q60" i="71"/>
  <c r="F59" i="71"/>
  <c r="C29" i="71"/>
  <c r="D28" i="71"/>
  <c r="AA37" i="39"/>
  <c r="S37" i="39"/>
  <c r="W44" i="39"/>
  <c r="AC44" i="39"/>
  <c r="AA26" i="37"/>
  <c r="S26" i="37"/>
  <c r="W36" i="35"/>
  <c r="AC36" i="35"/>
  <c r="W28" i="34"/>
  <c r="AC28" i="34"/>
  <c r="U9" i="34"/>
  <c r="AB9" i="34"/>
  <c r="U12" i="34"/>
  <c r="AB12" i="34"/>
  <c r="AC31" i="21"/>
  <c r="W31" i="21"/>
  <c r="AC28" i="21"/>
  <c r="W28" i="21"/>
  <c r="U28" i="21"/>
  <c r="AB28" i="21"/>
  <c r="AA45" i="39"/>
  <c r="S45" i="39"/>
  <c r="AA31" i="39"/>
  <c r="S31" i="39"/>
  <c r="AA33" i="36"/>
  <c r="S33" i="36"/>
  <c r="AC34" i="36"/>
  <c r="W34" i="36"/>
  <c r="S34" i="35"/>
  <c r="AA34" i="35"/>
  <c r="W34" i="35"/>
  <c r="AC34" i="35"/>
  <c r="W45" i="21"/>
  <c r="AC45" i="21"/>
  <c r="S30" i="21"/>
  <c r="AA30" i="21"/>
  <c r="U14" i="21"/>
  <c r="AB14" i="21"/>
  <c r="W14" i="21"/>
  <c r="AC14" i="21"/>
  <c r="U7" i="35"/>
  <c r="AB7" i="35"/>
  <c r="T38" i="35" s="1"/>
  <c r="G38" i="35" s="1"/>
  <c r="AA7" i="34"/>
  <c r="R49" i="34" s="1"/>
  <c r="S7" i="34"/>
  <c r="BL5" i="3"/>
  <c r="AC7" i="21"/>
  <c r="V48" i="21" s="1"/>
  <c r="I48" i="21" s="1"/>
  <c r="W7" i="21"/>
  <c r="U7" i="37"/>
  <c r="S7" i="37"/>
  <c r="U7" i="34"/>
  <c r="P60" i="71"/>
  <c r="E59" i="71"/>
  <c r="C25" i="71"/>
  <c r="D24" i="71"/>
  <c r="D53" i="71"/>
  <c r="T53" i="71"/>
  <c r="C49" i="71"/>
  <c r="D48" i="71"/>
  <c r="D45" i="71"/>
  <c r="T45" i="71"/>
  <c r="AC37" i="39"/>
  <c r="W37" i="39"/>
  <c r="U44" i="39"/>
  <c r="AB44" i="39"/>
  <c r="AA9" i="36"/>
  <c r="S9" i="36"/>
  <c r="AB36" i="35"/>
  <c r="U36" i="35"/>
  <c r="AA28" i="34"/>
  <c r="S28" i="34"/>
  <c r="W9" i="34"/>
  <c r="AC9" i="34"/>
  <c r="S31" i="21"/>
  <c r="AA31" i="21"/>
  <c r="AB31" i="21"/>
  <c r="U31" i="21"/>
  <c r="AA28" i="21"/>
  <c r="S28" i="21"/>
  <c r="W33" i="36"/>
  <c r="AC33" i="36"/>
  <c r="S34" i="36"/>
  <c r="AA34" i="36"/>
  <c r="W45" i="39"/>
  <c r="AC45" i="39"/>
  <c r="AB45" i="39"/>
  <c r="U45" i="39"/>
  <c r="U31" i="39"/>
  <c r="AB31" i="39"/>
  <c r="U33" i="36"/>
  <c r="AB33" i="36"/>
  <c r="U34" i="36"/>
  <c r="AB34" i="36"/>
  <c r="AB34" i="35"/>
  <c r="U34" i="35"/>
  <c r="AA45" i="21"/>
  <c r="S45" i="21"/>
  <c r="AC30" i="21"/>
  <c r="W30" i="21"/>
  <c r="U30" i="21"/>
  <c r="AB30" i="21"/>
  <c r="AA14" i="21"/>
  <c r="S14" i="21"/>
  <c r="AC7" i="37"/>
  <c r="V42" i="37" s="1"/>
  <c r="I42" i="37" s="1"/>
  <c r="W7" i="37"/>
  <c r="G46" i="36"/>
  <c r="U7" i="21"/>
  <c r="W7" i="35"/>
  <c r="AC7" i="35"/>
  <c r="V38" i="35" s="1"/>
  <c r="I38" i="35" s="1"/>
  <c r="K15" i="1"/>
  <c r="K16" i="1" s="1"/>
  <c r="E30" i="6"/>
  <c r="S7" i="21"/>
  <c r="AA7" i="35"/>
  <c r="R38" i="35" s="1"/>
  <c r="S7" i="35"/>
  <c r="W7" i="34"/>
  <c r="AC7" i="34"/>
  <c r="V49" i="34" s="1"/>
  <c r="I49" i="34" s="1"/>
  <c r="M17" i="67"/>
  <c r="M17" i="15"/>
  <c r="F59" i="15"/>
  <c r="P24" i="43"/>
  <c r="B66" i="40" s="1"/>
  <c r="P21" i="43"/>
  <c r="P25" i="43"/>
  <c r="P23" i="43"/>
  <c r="B71" i="39" s="1"/>
  <c r="M11" i="67"/>
  <c r="J10" i="67" s="1"/>
  <c r="F11" i="15"/>
  <c r="M11" i="15"/>
  <c r="F11" i="67"/>
  <c r="C36" i="68"/>
  <c r="C14" i="67"/>
  <c r="C17" i="67"/>
  <c r="C16" i="15"/>
  <c r="C16" i="67"/>
  <c r="G1" i="73"/>
  <c r="D9" i="53" l="1"/>
  <c r="B25" i="72" s="1"/>
  <c r="B24" i="72"/>
  <c r="D121" i="9"/>
  <c r="D7" i="52" s="1"/>
  <c r="D6" i="52"/>
  <c r="K120" i="9"/>
  <c r="A18" i="62" s="1"/>
  <c r="B64" i="72" s="1"/>
  <c r="L56" i="79"/>
  <c r="Q52" i="79"/>
  <c r="F1" i="79"/>
  <c r="Q74" i="79"/>
  <c r="Q61" i="79"/>
  <c r="E27" i="6"/>
  <c r="K20" i="6" s="1"/>
  <c r="O6" i="1"/>
  <c r="P6" i="1" s="1"/>
  <c r="P16" i="1" s="1"/>
  <c r="C11" i="12" s="1"/>
  <c r="C15" i="12" s="1"/>
  <c r="C15" i="67"/>
  <c r="C18" i="67"/>
  <c r="J26" i="79"/>
  <c r="J24" i="79"/>
  <c r="C53" i="79"/>
  <c r="C48" i="79" s="1"/>
  <c r="C10" i="79"/>
  <c r="C5" i="79" s="1"/>
  <c r="J18" i="15"/>
  <c r="C32" i="15"/>
  <c r="Q60" i="15"/>
  <c r="O28" i="78"/>
  <c r="M28" i="78"/>
  <c r="P28" i="78"/>
  <c r="N28" i="78"/>
  <c r="Q61" i="67"/>
  <c r="C49" i="15"/>
  <c r="Q60" i="67"/>
  <c r="C49" i="67"/>
  <c r="F27" i="69"/>
  <c r="Q74" i="15"/>
  <c r="F1" i="15"/>
  <c r="C29" i="12"/>
  <c r="D28" i="12" s="1"/>
  <c r="F27" i="11"/>
  <c r="Q52" i="15"/>
  <c r="N16" i="1"/>
  <c r="F50" i="80" s="1"/>
  <c r="F1" i="67"/>
  <c r="J10" i="15"/>
  <c r="J5" i="15" s="1"/>
  <c r="J24" i="15" s="1"/>
  <c r="J5" i="67"/>
  <c r="J26" i="67" s="1"/>
  <c r="J29" i="67" s="1"/>
  <c r="K21" i="6"/>
  <c r="M21" i="6" s="1"/>
  <c r="I21" i="6" s="1"/>
  <c r="S21" i="6" s="1"/>
  <c r="K26" i="6"/>
  <c r="M26" i="6" s="1"/>
  <c r="I26" i="6" s="1"/>
  <c r="S26" i="6" s="1"/>
  <c r="K22" i="6"/>
  <c r="M22" i="6" s="1"/>
  <c r="I22" i="6" s="1"/>
  <c r="S22" i="6" s="1"/>
  <c r="K19" i="6"/>
  <c r="S6" i="1" s="1"/>
  <c r="E31" i="6"/>
  <c r="C34" i="11"/>
  <c r="C35" i="11" s="1"/>
  <c r="F31" i="6"/>
  <c r="C35" i="69"/>
  <c r="C38" i="69"/>
  <c r="F50" i="68"/>
  <c r="F50" i="11"/>
  <c r="F50" i="69"/>
  <c r="O28" i="43"/>
  <c r="M28" i="43"/>
  <c r="G20" i="43" s="1"/>
  <c r="S7" i="33"/>
  <c r="AA7" i="33"/>
  <c r="R48" i="33" s="1"/>
  <c r="W7" i="33"/>
  <c r="AC7" i="33"/>
  <c r="V48" i="33" s="1"/>
  <c r="I48" i="33" s="1"/>
  <c r="I52" i="33" s="1"/>
  <c r="J52" i="33" s="1"/>
  <c r="E68" i="39"/>
  <c r="D70" i="39"/>
  <c r="D65" i="40"/>
  <c r="E63" i="40"/>
  <c r="AB7" i="33"/>
  <c r="T48" i="33" s="1"/>
  <c r="G48" i="33" s="1"/>
  <c r="U7" i="33"/>
  <c r="P28" i="43"/>
  <c r="B40" i="1"/>
  <c r="F22" i="80" s="1"/>
  <c r="R39" i="35"/>
  <c r="E38" i="35"/>
  <c r="I43" i="35" s="1"/>
  <c r="J43" i="35" s="1"/>
  <c r="H46" i="36"/>
  <c r="I46" i="37"/>
  <c r="J46" i="37" s="1"/>
  <c r="D49" i="71"/>
  <c r="T49" i="71"/>
  <c r="D25" i="71"/>
  <c r="T25" i="71"/>
  <c r="G53" i="34"/>
  <c r="H53" i="34" s="1"/>
  <c r="G54" i="34"/>
  <c r="H54" i="34" s="1"/>
  <c r="R43" i="37"/>
  <c r="E42" i="37"/>
  <c r="I47" i="37" s="1"/>
  <c r="J47" i="37" s="1"/>
  <c r="G47" i="37"/>
  <c r="H47" i="37" s="1"/>
  <c r="G46" i="37"/>
  <c r="H46" i="37" s="1"/>
  <c r="I52" i="21"/>
  <c r="J52" i="21" s="1"/>
  <c r="G42" i="35"/>
  <c r="H42" i="35" s="1"/>
  <c r="G43" i="35"/>
  <c r="H43" i="35" s="1"/>
  <c r="Q59" i="71"/>
  <c r="Q58" i="71"/>
  <c r="D16" i="71"/>
  <c r="C15" i="71"/>
  <c r="D3" i="21"/>
  <c r="D19" i="11"/>
  <c r="C19" i="11" s="1"/>
  <c r="C17" i="4"/>
  <c r="B4" i="52" s="1"/>
  <c r="B43" i="72" s="1"/>
  <c r="L18" i="9"/>
  <c r="D3" i="37"/>
  <c r="D3" i="34"/>
  <c r="D3" i="33"/>
  <c r="E6" i="6"/>
  <c r="D37" i="11"/>
  <c r="C37" i="11" s="1"/>
  <c r="D14" i="12"/>
  <c r="M18" i="9"/>
  <c r="B118" i="9" s="1"/>
  <c r="B14" i="74" s="1"/>
  <c r="B1" i="74" s="1"/>
  <c r="I53" i="34"/>
  <c r="J53" i="34" s="1"/>
  <c r="R49" i="21"/>
  <c r="E48" i="21"/>
  <c r="I53" i="21" s="1"/>
  <c r="J53" i="21" s="1"/>
  <c r="I42" i="35"/>
  <c r="J42" i="35" s="1"/>
  <c r="G52" i="21"/>
  <c r="H52" i="21" s="1"/>
  <c r="G53" i="21"/>
  <c r="H53" i="21" s="1"/>
  <c r="M19" i="6"/>
  <c r="P58" i="71"/>
  <c r="P59" i="71"/>
  <c r="R50" i="34"/>
  <c r="E49" i="34"/>
  <c r="I54" i="34" s="1"/>
  <c r="J54" i="34" s="1"/>
  <c r="D29" i="71"/>
  <c r="T29" i="71"/>
  <c r="E12" i="71"/>
  <c r="E11" i="71" s="1"/>
  <c r="E10" i="71" s="1"/>
  <c r="E9" i="71" s="1"/>
  <c r="V13" i="71"/>
  <c r="B12" i="71"/>
  <c r="B11" i="71" s="1"/>
  <c r="B10" i="71" s="1"/>
  <c r="B9" i="71" s="1"/>
  <c r="S13" i="71"/>
  <c r="C53" i="67"/>
  <c r="C10" i="67"/>
  <c r="C5" i="67" s="1"/>
  <c r="C53" i="15"/>
  <c r="C10" i="15"/>
  <c r="C5" i="15" s="1"/>
  <c r="F27" i="68"/>
  <c r="C34" i="68"/>
  <c r="AE7" i="1"/>
  <c r="C17" i="15"/>
  <c r="AE6" i="1"/>
  <c r="F41" i="79"/>
  <c r="C35" i="68" l="1"/>
  <c r="F41" i="80"/>
  <c r="C24" i="80"/>
  <c r="C44" i="80"/>
  <c r="D41" i="80" s="1"/>
  <c r="C26" i="80"/>
  <c r="D22" i="80" s="1"/>
  <c r="C42" i="80"/>
  <c r="C43" i="80"/>
  <c r="O16" i="1"/>
  <c r="C38" i="11"/>
  <c r="K23" i="6"/>
  <c r="M23" i="6" s="1"/>
  <c r="I23" i="6" s="1"/>
  <c r="S23" i="6" s="1"/>
  <c r="K24" i="6"/>
  <c r="M24" i="6" s="1"/>
  <c r="I24" i="6" s="1"/>
  <c r="S24" i="6" s="1"/>
  <c r="K25" i="6"/>
  <c r="M25" i="6" s="1"/>
  <c r="I25" i="6" s="1"/>
  <c r="S25" i="6" s="1"/>
  <c r="C19" i="67"/>
  <c r="C20" i="67" s="1"/>
  <c r="C26" i="67" s="1"/>
  <c r="I4" i="6"/>
  <c r="G3" i="43" s="1"/>
  <c r="AY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237" i="3"/>
  <c r="E304" i="3"/>
  <c r="E565" i="3"/>
  <c r="E213" i="3"/>
  <c r="E17" i="3"/>
  <c r="E302" i="3"/>
  <c r="O6" i="3"/>
  <c r="E574" i="3"/>
  <c r="E359" i="3"/>
  <c r="E285" i="3"/>
  <c r="E97" i="3"/>
  <c r="E314" i="3"/>
  <c r="E511" i="3"/>
  <c r="E16" i="3"/>
  <c r="AK6" i="3"/>
  <c r="E434" i="3"/>
  <c r="E306" i="3"/>
  <c r="E296" i="3"/>
  <c r="E262" i="3"/>
  <c r="E159" i="3"/>
  <c r="E191" i="3"/>
  <c r="E99" i="3"/>
  <c r="E188" i="3"/>
  <c r="E228" i="3"/>
  <c r="E181" i="3"/>
  <c r="E157"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85" i="3"/>
  <c r="E238" i="3"/>
  <c r="E116" i="3"/>
  <c r="E105" i="3"/>
  <c r="E379" i="3"/>
  <c r="E585" i="3"/>
  <c r="U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261" i="3"/>
  <c r="E183" i="3"/>
  <c r="E503" i="3"/>
  <c r="E555" i="3"/>
  <c r="E337" i="3"/>
  <c r="E397" i="3"/>
  <c r="I6" i="3"/>
  <c r="E549" i="3"/>
  <c r="E368" i="3"/>
  <c r="E196" i="3"/>
  <c r="E156" i="3"/>
  <c r="E148" i="3"/>
  <c r="E122" i="3"/>
  <c r="E125" i="3"/>
  <c r="E366" i="3"/>
  <c r="E553" i="3"/>
  <c r="E282" i="3"/>
  <c r="N6" i="3"/>
  <c r="E329" i="3"/>
  <c r="E545" i="3"/>
  <c r="E510" i="3"/>
  <c r="E352" i="3"/>
  <c r="E205" i="3"/>
  <c r="E128" i="3"/>
  <c r="E358" i="3"/>
  <c r="E559" i="3"/>
  <c r="E561" i="3"/>
  <c r="E538" i="3"/>
  <c r="E439" i="3"/>
  <c r="E380" i="3"/>
  <c r="E231" i="3"/>
  <c r="E216" i="3"/>
  <c r="E185" i="3"/>
  <c r="E135" i="3"/>
  <c r="E161" i="3"/>
  <c r="E207" i="3"/>
  <c r="E271" i="3"/>
  <c r="E145" i="3"/>
  <c r="E107" i="3"/>
  <c r="E393" i="3"/>
  <c r="E493" i="3"/>
  <c r="E564" i="3"/>
  <c r="E223" i="3"/>
  <c r="E173" i="3"/>
  <c r="E57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0" i="3"/>
  <c r="E277" i="3"/>
  <c r="E177" i="3"/>
  <c r="E133" i="3"/>
  <c r="E312" i="3"/>
  <c r="AD6" i="3"/>
  <c r="E542"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28" i="3"/>
  <c r="E361" i="3"/>
  <c r="E388" i="3"/>
  <c r="E410" i="3"/>
  <c r="E143" i="3"/>
  <c r="E568" i="3"/>
  <c r="E536" i="3"/>
  <c r="E453" i="3"/>
  <c r="E244" i="3"/>
  <c r="E136" i="3"/>
  <c r="E236" i="3"/>
  <c r="E269" i="3"/>
  <c r="E89" i="3"/>
  <c r="E217" i="3"/>
  <c r="E526" i="3"/>
  <c r="E268" i="3"/>
  <c r="E322" i="3"/>
  <c r="AJ6" i="3"/>
  <c r="E539" i="3"/>
  <c r="E567" i="3"/>
  <c r="E461" i="3"/>
  <c r="E227" i="3"/>
  <c r="E165" i="3"/>
  <c r="E311" i="3"/>
  <c r="E514" i="3"/>
  <c r="E570" i="3"/>
  <c r="E506" i="3"/>
  <c r="E418" i="3"/>
  <c r="E338" i="3"/>
  <c r="E321" i="3"/>
  <c r="E298" i="3"/>
  <c r="E169" i="3"/>
  <c r="E61" i="3"/>
  <c r="E290" i="3"/>
  <c r="E117" i="3"/>
  <c r="E252" i="3"/>
  <c r="E204" i="3"/>
  <c r="E164" i="3"/>
  <c r="E369" i="3"/>
  <c r="E525" i="3"/>
  <c r="E534" i="3"/>
  <c r="E140" i="3"/>
  <c r="E197" i="3"/>
  <c r="E327" i="3"/>
  <c r="Z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81" i="3"/>
  <c r="E264" i="3"/>
  <c r="E309" i="3"/>
  <c r="E21" i="3"/>
  <c r="E224" i="3"/>
  <c r="E286" i="3"/>
  <c r="E499"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551" i="3"/>
  <c r="E63" i="3"/>
  <c r="E118" i="3"/>
  <c r="E283" i="3"/>
  <c r="E513" i="3"/>
  <c r="E45" i="3"/>
  <c r="E193" i="3"/>
  <c r="E575" i="3"/>
  <c r="R6"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112" i="3"/>
  <c r="E147" i="3"/>
  <c r="E340" i="3"/>
  <c r="E50" i="3"/>
  <c r="E62" i="3"/>
  <c r="E218" i="3"/>
  <c r="E365" i="3"/>
  <c r="E101" i="3"/>
  <c r="E6" i="70"/>
  <c r="F69" i="79"/>
  <c r="C66" i="79"/>
  <c r="C60" i="79"/>
  <c r="F22" i="69"/>
  <c r="F41" i="69" s="1"/>
  <c r="F24" i="79"/>
  <c r="C38" i="79"/>
  <c r="J29" i="79"/>
  <c r="J26" i="15"/>
  <c r="J24" i="67"/>
  <c r="G20" i="78"/>
  <c r="C48" i="15"/>
  <c r="C66" i="15" s="1"/>
  <c r="H6" i="1"/>
  <c r="E41" i="43"/>
  <c r="C41" i="43" s="1"/>
  <c r="C20" i="43"/>
  <c r="C48" i="67"/>
  <c r="C66" i="67" s="1"/>
  <c r="C12" i="12"/>
  <c r="C29" i="11"/>
  <c r="D27" i="11" s="1"/>
  <c r="C47" i="11"/>
  <c r="D45" i="11" s="1"/>
  <c r="C47" i="69"/>
  <c r="D45" i="69" s="1"/>
  <c r="F45" i="69"/>
  <c r="C29" i="69"/>
  <c r="D27" i="69" s="1"/>
  <c r="F45" i="68"/>
  <c r="C47" i="68"/>
  <c r="D45" i="68" s="1"/>
  <c r="C29" i="68"/>
  <c r="D27" i="68" s="1"/>
  <c r="AQ6" i="1"/>
  <c r="AR6" i="1"/>
  <c r="T6" i="1"/>
  <c r="K27" i="6"/>
  <c r="M20" i="6"/>
  <c r="I20" i="6" s="1"/>
  <c r="S20" i="6" s="1"/>
  <c r="S7" i="1"/>
  <c r="C38" i="68"/>
  <c r="C33" i="11"/>
  <c r="C39" i="11" s="1"/>
  <c r="C46" i="11" s="1"/>
  <c r="C45" i="11" s="1"/>
  <c r="F22" i="68"/>
  <c r="C44" i="68" s="1"/>
  <c r="D41" i="68" s="1"/>
  <c r="F25" i="12"/>
  <c r="C26" i="12" s="1"/>
  <c r="D25" i="12" s="1"/>
  <c r="F63" i="40"/>
  <c r="E65" i="40"/>
  <c r="R49" i="33"/>
  <c r="E48" i="33"/>
  <c r="F24" i="67"/>
  <c r="C24" i="67" s="1"/>
  <c r="G52" i="33"/>
  <c r="H52" i="33" s="1"/>
  <c r="G53" i="33"/>
  <c r="H53" i="33" s="1"/>
  <c r="F68" i="39"/>
  <c r="E70" i="39"/>
  <c r="F24" i="15"/>
  <c r="C24" i="15" s="1"/>
  <c r="F22" i="11"/>
  <c r="C44" i="11" s="1"/>
  <c r="D41" i="11" s="1"/>
  <c r="B8" i="71"/>
  <c r="B7" i="71" s="1"/>
  <c r="B6" i="71" s="1"/>
  <c r="B5" i="71" s="1"/>
  <c r="S9" i="71"/>
  <c r="E8" i="71"/>
  <c r="E7" i="71" s="1"/>
  <c r="E6" i="71" s="1"/>
  <c r="E5" i="71" s="1"/>
  <c r="V9" i="71"/>
  <c r="C49" i="34"/>
  <c r="C50" i="34"/>
  <c r="B2" i="34" s="1"/>
  <c r="B3" i="34" s="1"/>
  <c r="E52" i="21"/>
  <c r="F52" i="21" s="1"/>
  <c r="E53" i="21"/>
  <c r="F53" i="21" s="1"/>
  <c r="C7" i="74"/>
  <c r="C8" i="74"/>
  <c r="C20" i="11"/>
  <c r="C28" i="11" s="1"/>
  <c r="C27" i="11" s="1"/>
  <c r="C43" i="37"/>
  <c r="B2" i="37" s="1"/>
  <c r="B3" i="37" s="1"/>
  <c r="C42" i="37"/>
  <c r="I46" i="36"/>
  <c r="E43" i="35"/>
  <c r="F43" i="35" s="1"/>
  <c r="E42" i="35"/>
  <c r="F42" i="35" s="1"/>
  <c r="E54" i="34"/>
  <c r="F54" i="34" s="1"/>
  <c r="E53" i="34"/>
  <c r="F53" i="34" s="1"/>
  <c r="I19" i="6"/>
  <c r="C49" i="21"/>
  <c r="B2" i="21" s="1"/>
  <c r="B3" i="21" s="1"/>
  <c r="C48" i="21"/>
  <c r="D17" i="12"/>
  <c r="C17" i="12" s="1"/>
  <c r="C14" i="12"/>
  <c r="D10" i="69"/>
  <c r="D10" i="11"/>
  <c r="C10" i="11" s="1"/>
  <c r="D20" i="12"/>
  <c r="C20" i="12" s="1"/>
  <c r="D15" i="71"/>
  <c r="C14" i="71"/>
  <c r="E47" i="37"/>
  <c r="F47" i="37" s="1"/>
  <c r="E46" i="37"/>
  <c r="F46" i="37" s="1"/>
  <c r="C39" i="35"/>
  <c r="B2" i="35" s="1"/>
  <c r="B3" i="35" s="1"/>
  <c r="C38" i="35"/>
  <c r="C38" i="67"/>
  <c r="C38" i="15"/>
  <c r="D10" i="68"/>
  <c r="F41" i="15"/>
  <c r="C14" i="15"/>
  <c r="C17" i="79"/>
  <c r="C60" i="15" l="1"/>
  <c r="C41" i="80"/>
  <c r="C49" i="80" s="1"/>
  <c r="C51" i="80" s="1"/>
  <c r="H6" i="3"/>
  <c r="F69" i="15"/>
  <c r="J29" i="15"/>
  <c r="C18" i="15"/>
  <c r="C15" i="15"/>
  <c r="E7" i="70"/>
  <c r="E2" i="70" s="1"/>
  <c r="F22" i="43"/>
  <c r="AC11" i="43"/>
  <c r="AC13" i="43" s="1"/>
  <c r="AD11" i="43"/>
  <c r="AD13" i="43" s="1"/>
  <c r="H22" i="43"/>
  <c r="Y11" i="43"/>
  <c r="Y13" i="43" s="1"/>
  <c r="Z11" i="43"/>
  <c r="Z13" i="43" s="1"/>
  <c r="G22" i="43"/>
  <c r="J101" i="43"/>
  <c r="AA11" i="43"/>
  <c r="AA13" i="43" s="1"/>
  <c r="AI11" i="43"/>
  <c r="AI13" i="43" s="1"/>
  <c r="AB11" i="43"/>
  <c r="AB13" i="43" s="1"/>
  <c r="AJ11" i="43"/>
  <c r="AJ13" i="43" s="1"/>
  <c r="E101" i="43"/>
  <c r="H101" i="43"/>
  <c r="C101" i="43"/>
  <c r="N101" i="43"/>
  <c r="K101" i="43"/>
  <c r="I101" i="43"/>
  <c r="B113" i="43"/>
  <c r="AG11" i="43"/>
  <c r="AG13" i="43" s="1"/>
  <c r="AH11" i="43"/>
  <c r="AH13" i="43" s="1"/>
  <c r="D101" i="43"/>
  <c r="J22" i="43"/>
  <c r="AE11" i="43"/>
  <c r="AE13" i="43" s="1"/>
  <c r="Z7" i="43"/>
  <c r="AF11" i="43"/>
  <c r="AF13" i="43" s="1"/>
  <c r="M101" i="43"/>
  <c r="L101" i="43"/>
  <c r="G101" i="43"/>
  <c r="E22" i="43"/>
  <c r="F101" i="43"/>
  <c r="N104" i="46"/>
  <c r="S7" i="43"/>
  <c r="C23" i="43"/>
  <c r="S5" i="43"/>
  <c r="S3" i="43"/>
  <c r="S2" i="43"/>
  <c r="S6" i="43"/>
  <c r="S4" i="43"/>
  <c r="S16" i="1"/>
  <c r="AC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19"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44" i="69"/>
  <c r="D41" i="69" s="1"/>
  <c r="C26" i="69"/>
  <c r="D22" i="69" s="1"/>
  <c r="C24" i="79"/>
  <c r="C20" i="78"/>
  <c r="C37" i="78" s="1"/>
  <c r="H7" i="1"/>
  <c r="G7" i="1" s="1"/>
  <c r="E41" i="78"/>
  <c r="C41" i="78" s="1"/>
  <c r="C39" i="78" s="1"/>
  <c r="C60" i="67"/>
  <c r="G6" i="1"/>
  <c r="F41" i="68"/>
  <c r="C16" i="12"/>
  <c r="M27" i="6"/>
  <c r="T7" i="1"/>
  <c r="AQ7" i="1"/>
  <c r="AR7" i="1"/>
  <c r="C26" i="68"/>
  <c r="D22" i="68" s="1"/>
  <c r="C43" i="11"/>
  <c r="C23" i="67"/>
  <c r="C29" i="67" s="1"/>
  <c r="C36" i="67" s="1"/>
  <c r="C26" i="11"/>
  <c r="D22" i="11" s="1"/>
  <c r="C23" i="11"/>
  <c r="F70" i="39"/>
  <c r="G68" i="39"/>
  <c r="I53" i="33"/>
  <c r="J53" i="33" s="1"/>
  <c r="E52" i="33"/>
  <c r="F52" i="33" s="1"/>
  <c r="E53" i="33"/>
  <c r="F53" i="33" s="1"/>
  <c r="C48" i="33"/>
  <c r="C49" i="33"/>
  <c r="B2" i="33" s="1"/>
  <c r="B3" i="33" s="1"/>
  <c r="G63" i="40"/>
  <c r="F65" i="40"/>
  <c r="C42" i="11"/>
  <c r="C25" i="11"/>
  <c r="C24" i="11"/>
  <c r="D14" i="71"/>
  <c r="C13" i="71"/>
  <c r="C10" i="69"/>
  <c r="C8" i="69" s="1"/>
  <c r="C5" i="69" s="1"/>
  <c r="D19" i="69"/>
  <c r="J46" i="36"/>
  <c r="C10" i="68"/>
  <c r="B29" i="1" s="1"/>
  <c r="D19" i="68"/>
  <c r="S19" i="6"/>
  <c r="S27" i="6" s="1"/>
  <c r="I27" i="6"/>
  <c r="C14" i="79"/>
  <c r="C8" i="68" l="1"/>
  <c r="C8" i="80"/>
  <c r="E6" i="3"/>
  <c r="D22" i="43"/>
  <c r="C21" i="43" s="1"/>
  <c r="C19" i="15"/>
  <c r="C20" i="15" s="1"/>
  <c r="C26" i="15" s="1"/>
  <c r="C41" i="11"/>
  <c r="C49" i="11" s="1"/>
  <c r="C51" i="11" s="1"/>
  <c r="C15" i="79"/>
  <c r="C18" i="79"/>
  <c r="L105" i="43"/>
  <c r="L109" i="43"/>
  <c r="L107" i="43"/>
  <c r="L104" i="43"/>
  <c r="L103" i="43"/>
  <c r="L102" i="43"/>
  <c r="L106" i="43"/>
  <c r="D102" i="43"/>
  <c r="D104" i="43"/>
  <c r="D105" i="43"/>
  <c r="D103" i="43"/>
  <c r="D107" i="43"/>
  <c r="D106" i="43"/>
  <c r="D109" i="43"/>
  <c r="I103" i="43"/>
  <c r="I105" i="43"/>
  <c r="I104" i="43"/>
  <c r="I109" i="43"/>
  <c r="I107" i="43"/>
  <c r="I102" i="43"/>
  <c r="I106" i="43"/>
  <c r="N106" i="43"/>
  <c r="N102" i="43"/>
  <c r="N107" i="43"/>
  <c r="N103" i="43"/>
  <c r="N105" i="43"/>
  <c r="N104" i="43"/>
  <c r="N109" i="43"/>
  <c r="H106" i="43"/>
  <c r="H102" i="43"/>
  <c r="H104" i="43"/>
  <c r="H107" i="43"/>
  <c r="H103" i="43"/>
  <c r="H105" i="43"/>
  <c r="H109" i="43"/>
  <c r="J103" i="43"/>
  <c r="J106" i="43"/>
  <c r="J107" i="43"/>
  <c r="J105" i="43"/>
  <c r="J104" i="43"/>
  <c r="J109" i="43"/>
  <c r="J102" i="43"/>
  <c r="T16" i="1"/>
  <c r="D19" i="6"/>
  <c r="C18" i="4"/>
  <c r="D23" i="6"/>
  <c r="D5" i="6"/>
  <c r="D11" i="6"/>
  <c r="D28" i="6"/>
  <c r="H23" i="6"/>
  <c r="H20" i="6"/>
  <c r="D15" i="6"/>
  <c r="D21" i="6"/>
  <c r="D20" i="6"/>
  <c r="D9" i="6"/>
  <c r="L19" i="9"/>
  <c r="H25" i="6"/>
  <c r="H21" i="6"/>
  <c r="M19" i="9"/>
  <c r="C118" i="9" s="1"/>
  <c r="C14" i="74" s="1"/>
  <c r="B2" i="74" s="1"/>
  <c r="D26" i="6"/>
  <c r="D8" i="6"/>
  <c r="D14" i="6"/>
  <c r="D12" i="6"/>
  <c r="D13" i="6"/>
  <c r="E61" i="40"/>
  <c r="H26" i="6"/>
  <c r="D25" i="6"/>
  <c r="R25" i="6" s="1"/>
  <c r="D22" i="6"/>
  <c r="D24" i="6"/>
  <c r="D6" i="6"/>
  <c r="D10" i="6"/>
  <c r="D29" i="6"/>
  <c r="H22" i="6"/>
  <c r="H24" i="6"/>
  <c r="F106" i="43"/>
  <c r="F104" i="43"/>
  <c r="F103" i="43"/>
  <c r="F105" i="43"/>
  <c r="F109" i="43"/>
  <c r="F102" i="43"/>
  <c r="F107" i="43"/>
  <c r="G106" i="43"/>
  <c r="G107" i="43"/>
  <c r="G104" i="43"/>
  <c r="G109" i="43"/>
  <c r="G103" i="43"/>
  <c r="G102" i="43"/>
  <c r="G105" i="43"/>
  <c r="M109" i="43"/>
  <c r="M107" i="43"/>
  <c r="M102" i="43"/>
  <c r="M103" i="43"/>
  <c r="M105" i="43"/>
  <c r="M104" i="43"/>
  <c r="M106" i="43"/>
  <c r="D115" i="43"/>
  <c r="E115" i="43" s="1"/>
  <c r="F115" i="43" s="1"/>
  <c r="G115" i="43" s="1"/>
  <c r="H115" i="43" s="1"/>
  <c r="B117" i="43"/>
  <c r="C117" i="43" s="1"/>
  <c r="B116" i="43"/>
  <c r="C116" i="43" s="1"/>
  <c r="D118" i="43"/>
  <c r="E118" i="43" s="1"/>
  <c r="F118" i="43" s="1"/>
  <c r="D117" i="43"/>
  <c r="E117" i="43" s="1"/>
  <c r="F117" i="43" s="1"/>
  <c r="G117" i="43" s="1"/>
  <c r="H117" i="43" s="1"/>
  <c r="I115" i="43"/>
  <c r="J115" i="43" s="1"/>
  <c r="K115" i="43" s="1"/>
  <c r="L115" i="43" s="1"/>
  <c r="M115" i="43" s="1"/>
  <c r="I117" i="43"/>
  <c r="J117" i="43" s="1"/>
  <c r="K117" i="43" s="1"/>
  <c r="L117" i="43" s="1"/>
  <c r="M117" i="43" s="1"/>
  <c r="I118" i="43"/>
  <c r="J118" i="43" s="1"/>
  <c r="K118" i="43" s="1"/>
  <c r="L118" i="43" s="1"/>
  <c r="M118" i="43" s="1"/>
  <c r="G118" i="43"/>
  <c r="H118" i="43" s="1"/>
  <c r="B115" i="43"/>
  <c r="C115" i="43" s="1"/>
  <c r="D116" i="43"/>
  <c r="E116" i="43" s="1"/>
  <c r="F116" i="43" s="1"/>
  <c r="G116" i="43" s="1"/>
  <c r="H116" i="43" s="1"/>
  <c r="B118" i="43"/>
  <c r="C118" i="43" s="1"/>
  <c r="I116" i="43"/>
  <c r="J116" i="43" s="1"/>
  <c r="K116" i="43" s="1"/>
  <c r="L116" i="43" s="1"/>
  <c r="M116" i="43" s="1"/>
  <c r="K107" i="43"/>
  <c r="K105" i="43"/>
  <c r="K102" i="43"/>
  <c r="K109" i="43"/>
  <c r="K103" i="43"/>
  <c r="K104" i="43"/>
  <c r="K106" i="43"/>
  <c r="C104" i="43"/>
  <c r="C109" i="43"/>
  <c r="C107" i="43"/>
  <c r="C102" i="43"/>
  <c r="C105" i="43"/>
  <c r="C103" i="43"/>
  <c r="C106" i="43"/>
  <c r="E104" i="43"/>
  <c r="E105" i="43"/>
  <c r="E102" i="43"/>
  <c r="E103" i="43"/>
  <c r="E107" i="43"/>
  <c r="E106" i="43"/>
  <c r="E109" i="43"/>
  <c r="C33" i="79"/>
  <c r="C18" i="12"/>
  <c r="C21" i="12" s="1"/>
  <c r="T7" i="78"/>
  <c r="V7" i="78" s="1"/>
  <c r="T14" i="78"/>
  <c r="V14" i="78" s="1"/>
  <c r="T9" i="78"/>
  <c r="V9" i="78" s="1"/>
  <c r="C36" i="78"/>
  <c r="G36" i="78" s="1"/>
  <c r="I36" i="78" s="1"/>
  <c r="T16" i="78"/>
  <c r="V16" i="78" s="1"/>
  <c r="T15" i="78"/>
  <c r="V15" i="78" s="1"/>
  <c r="C29" i="78"/>
  <c r="C30" i="78" s="1"/>
  <c r="E30" i="78" s="1"/>
  <c r="T8" i="78"/>
  <c r="V8" i="78" s="1"/>
  <c r="T4" i="78"/>
  <c r="V4" i="78" s="1"/>
  <c r="C35" i="78"/>
  <c r="G35" i="78" s="1"/>
  <c r="I35" i="78" s="1"/>
  <c r="H16" i="1"/>
  <c r="T6" i="78"/>
  <c r="V6" i="78" s="1"/>
  <c r="T13" i="78"/>
  <c r="V13" i="78" s="1"/>
  <c r="T3" i="78"/>
  <c r="V3" i="78" s="1"/>
  <c r="T11" i="78"/>
  <c r="V11" i="78" s="1"/>
  <c r="C34" i="78"/>
  <c r="E34" i="78" s="1"/>
  <c r="T5" i="78"/>
  <c r="V5" i="78" s="1"/>
  <c r="T12" i="78"/>
  <c r="V12" i="78" s="1"/>
  <c r="T2" i="78"/>
  <c r="V2" i="78" s="1"/>
  <c r="T10" i="78"/>
  <c r="V10" i="78" s="1"/>
  <c r="C33" i="78"/>
  <c r="E33" i="78" s="1"/>
  <c r="G16" i="1"/>
  <c r="F10" i="40" s="1"/>
  <c r="C38" i="78"/>
  <c r="G38" i="78" s="1"/>
  <c r="I38" i="78" s="1"/>
  <c r="G37" i="78"/>
  <c r="I37" i="78" s="1"/>
  <c r="E37" i="78"/>
  <c r="G39" i="78"/>
  <c r="I39" i="78" s="1"/>
  <c r="E39" i="78"/>
  <c r="C22" i="11"/>
  <c r="C31" i="11" s="1"/>
  <c r="C33" i="15"/>
  <c r="R19" i="6"/>
  <c r="C57" i="67"/>
  <c r="C64" i="67" s="1"/>
  <c r="C33" i="67"/>
  <c r="C31" i="67" s="1"/>
  <c r="J59" i="67"/>
  <c r="J60" i="67" s="1"/>
  <c r="L46" i="67" s="1"/>
  <c r="C13" i="67"/>
  <c r="C56" i="67" s="1"/>
  <c r="C65" i="67" s="1"/>
  <c r="Q49" i="67"/>
  <c r="J19" i="67"/>
  <c r="J17" i="67" s="1"/>
  <c r="J14" i="67"/>
  <c r="J13" i="67" s="1"/>
  <c r="J23" i="67" s="1"/>
  <c r="H68" i="39"/>
  <c r="G70" i="39"/>
  <c r="G65" i="40"/>
  <c r="H63" i="40"/>
  <c r="C19" i="69"/>
  <c r="C24" i="69" s="1"/>
  <c r="D37" i="69"/>
  <c r="C37" i="69" s="1"/>
  <c r="C33" i="69" s="1"/>
  <c r="C12" i="71"/>
  <c r="T13" i="71"/>
  <c r="D13" i="71"/>
  <c r="U13" i="71" s="1"/>
  <c r="C19" i="68"/>
  <c r="D37" i="68"/>
  <c r="C37" i="68" s="1"/>
  <c r="C33" i="68" s="1"/>
  <c r="K46" i="36"/>
  <c r="C20" i="69"/>
  <c r="C23" i="69"/>
  <c r="E36" i="78" l="1"/>
  <c r="H27" i="6"/>
  <c r="R22" i="6"/>
  <c r="R20" i="6"/>
  <c r="R7" i="1" s="1"/>
  <c r="C52" i="11"/>
  <c r="B2" i="11" s="1"/>
  <c r="B3" i="11" s="1"/>
  <c r="C23" i="15"/>
  <c r="C29" i="15" s="1"/>
  <c r="C13" i="15" s="1"/>
  <c r="D113" i="43"/>
  <c r="R24" i="6"/>
  <c r="D16" i="6"/>
  <c r="D8" i="74"/>
  <c r="D7" i="74"/>
  <c r="R21" i="6"/>
  <c r="D30" i="6"/>
  <c r="A7" i="51"/>
  <c r="B7" i="72" s="1"/>
  <c r="A10" i="51"/>
  <c r="B9" i="72" s="1"/>
  <c r="C4" i="52"/>
  <c r="B45" i="72" s="1"/>
  <c r="C19" i="79"/>
  <c r="R26" i="6"/>
  <c r="R23" i="6"/>
  <c r="D27" i="6"/>
  <c r="C22" i="12"/>
  <c r="C30" i="12" s="1"/>
  <c r="C28" i="12" s="1"/>
  <c r="G33" i="78"/>
  <c r="I33" i="78" s="1"/>
  <c r="E29" i="78"/>
  <c r="C6" i="80" s="1"/>
  <c r="E35" i="78"/>
  <c r="G34" i="78"/>
  <c r="I34" i="78" s="1"/>
  <c r="H10" i="39"/>
  <c r="U10" i="39" s="1"/>
  <c r="J10" i="39"/>
  <c r="AC10" i="39" s="1"/>
  <c r="H10" i="40"/>
  <c r="U10" i="40" s="1"/>
  <c r="F10" i="39"/>
  <c r="AA10" i="39" s="1"/>
  <c r="J10" i="40"/>
  <c r="AC10" i="40" s="1"/>
  <c r="E38" i="78"/>
  <c r="S10" i="40"/>
  <c r="AA10" i="40"/>
  <c r="R6" i="1"/>
  <c r="Q48" i="67"/>
  <c r="C61" i="67"/>
  <c r="C59" i="67" s="1"/>
  <c r="C58" i="67" s="1"/>
  <c r="C67" i="67" s="1"/>
  <c r="C68" i="67" s="1"/>
  <c r="C75" i="67"/>
  <c r="J22" i="67"/>
  <c r="J16" i="67" s="1"/>
  <c r="J25" i="67" s="1"/>
  <c r="C37" i="67"/>
  <c r="C30" i="67" s="1"/>
  <c r="C39" i="67" s="1"/>
  <c r="C40" i="67" s="1"/>
  <c r="Q70" i="67"/>
  <c r="H65" i="40"/>
  <c r="I63" i="40"/>
  <c r="H70" i="39"/>
  <c r="I68" i="39"/>
  <c r="L46" i="36"/>
  <c r="C24" i="68"/>
  <c r="C39" i="69"/>
  <c r="C43" i="69" s="1"/>
  <c r="C42" i="69"/>
  <c r="C28" i="69"/>
  <c r="C27" i="69" s="1"/>
  <c r="C25" i="69"/>
  <c r="C22" i="69" s="1"/>
  <c r="C39" i="68"/>
  <c r="C42" i="68"/>
  <c r="C11" i="71"/>
  <c r="D12" i="71"/>
  <c r="M21" i="79"/>
  <c r="L51" i="67"/>
  <c r="F35" i="15"/>
  <c r="M21" i="15"/>
  <c r="F35" i="79"/>
  <c r="AB10" i="39" l="1"/>
  <c r="R27" i="6"/>
  <c r="C56" i="11"/>
  <c r="C57" i="11" s="1"/>
  <c r="Q49" i="15"/>
  <c r="C36" i="15"/>
  <c r="C56" i="15"/>
  <c r="C65" i="15" s="1"/>
  <c r="C75" i="15"/>
  <c r="C37" i="15"/>
  <c r="J59" i="15"/>
  <c r="J60" i="15" s="1"/>
  <c r="Q48" i="15" s="1"/>
  <c r="J19" i="15"/>
  <c r="J14" i="15"/>
  <c r="C57" i="15"/>
  <c r="Q70" i="15"/>
  <c r="D31" i="6"/>
  <c r="C20" i="79"/>
  <c r="C26" i="79" s="1"/>
  <c r="J20" i="79"/>
  <c r="F63" i="79"/>
  <c r="C62" i="79" s="1"/>
  <c r="C34" i="79"/>
  <c r="C31" i="79" s="1"/>
  <c r="J20" i="15"/>
  <c r="C34" i="15"/>
  <c r="C31" i="15" s="1"/>
  <c r="F63" i="15"/>
  <c r="C62" i="15" s="1"/>
  <c r="R16" i="1"/>
  <c r="C27" i="12"/>
  <c r="C25" i="12" s="1"/>
  <c r="C32" i="12" s="1"/>
  <c r="B2" i="12" s="1"/>
  <c r="B3" i="12" s="1"/>
  <c r="C80" i="67"/>
  <c r="C79" i="67" s="1"/>
  <c r="Q69" i="67"/>
  <c r="Q68" i="67" s="1"/>
  <c r="C27" i="78"/>
  <c r="W10" i="39"/>
  <c r="C26" i="78"/>
  <c r="B2" i="78" s="1"/>
  <c r="AB10" i="40"/>
  <c r="S10" i="39"/>
  <c r="W10" i="40"/>
  <c r="C41" i="69"/>
  <c r="C46" i="69"/>
  <c r="C45" i="69" s="1"/>
  <c r="I70" i="39"/>
  <c r="J68" i="39"/>
  <c r="J63" i="40"/>
  <c r="I65" i="40"/>
  <c r="C31" i="69"/>
  <c r="M46" i="36"/>
  <c r="C10" i="71"/>
  <c r="D11" i="71"/>
  <c r="C46" i="68"/>
  <c r="C45" i="68" s="1"/>
  <c r="C43" i="68"/>
  <c r="C41" i="68" s="1"/>
  <c r="Q67" i="67"/>
  <c r="L57" i="67"/>
  <c r="L60" i="67" s="1"/>
  <c r="C45" i="67"/>
  <c r="C46" i="67" s="1"/>
  <c r="C71" i="67"/>
  <c r="C43" i="67"/>
  <c r="D2" i="67"/>
  <c r="Q47" i="67"/>
  <c r="Q53" i="67" s="1"/>
  <c r="Q56" i="67"/>
  <c r="Q65" i="67"/>
  <c r="C83" i="67"/>
  <c r="C82" i="67" s="1"/>
  <c r="B7" i="76"/>
  <c r="E7" i="76"/>
  <c r="C30" i="15" l="1"/>
  <c r="C39" i="15" s="1"/>
  <c r="Q69" i="15" s="1"/>
  <c r="Q68" i="15" s="1"/>
  <c r="J17" i="15"/>
  <c r="C64" i="15"/>
  <c r="C61" i="15"/>
  <c r="C59" i="15" s="1"/>
  <c r="J13" i="15"/>
  <c r="J23" i="15" s="1"/>
  <c r="J22" i="15"/>
  <c r="C23" i="79"/>
  <c r="C29" i="79" s="1"/>
  <c r="C57" i="79" s="1"/>
  <c r="I6" i="6"/>
  <c r="I5" i="6"/>
  <c r="L57" i="15"/>
  <c r="L60" i="15" s="1"/>
  <c r="L46" i="15" s="1"/>
  <c r="B3" i="78"/>
  <c r="C49" i="69"/>
  <c r="C51" i="69" s="1"/>
  <c r="C52" i="69" s="1"/>
  <c r="B2" i="69" s="1"/>
  <c r="B3" i="69" s="1"/>
  <c r="K68" i="39"/>
  <c r="J70" i="39"/>
  <c r="J65" i="40"/>
  <c r="K63" i="40"/>
  <c r="C49" i="68"/>
  <c r="C51" i="68" s="1"/>
  <c r="C9" i="71"/>
  <c r="D10" i="71"/>
  <c r="N46" i="36"/>
  <c r="Q66" i="67"/>
  <c r="Q75" i="67" s="1"/>
  <c r="Q57" i="67"/>
  <c r="Q62" i="67" s="1"/>
  <c r="B2" i="67"/>
  <c r="B3" i="67"/>
  <c r="L51" i="15"/>
  <c r="C40" i="15" l="1"/>
  <c r="C43" i="15" s="1"/>
  <c r="C80" i="15"/>
  <c r="C79" i="15" s="1"/>
  <c r="Q66" i="15"/>
  <c r="Q67" i="15"/>
  <c r="C36" i="79"/>
  <c r="C13" i="79"/>
  <c r="C75" i="79" s="1"/>
  <c r="Q49" i="79"/>
  <c r="J14" i="79"/>
  <c r="J22" i="79" s="1"/>
  <c r="J59" i="79"/>
  <c r="J60" i="79" s="1"/>
  <c r="Q48" i="79" s="1"/>
  <c r="J19" i="79"/>
  <c r="J17" i="79" s="1"/>
  <c r="J16" i="15"/>
  <c r="J25" i="15" s="1"/>
  <c r="C58" i="15"/>
  <c r="C67" i="15" s="1"/>
  <c r="C68" i="15" s="1"/>
  <c r="C71" i="15" s="1"/>
  <c r="C64" i="79"/>
  <c r="C61" i="79"/>
  <c r="C59" i="79" s="1"/>
  <c r="L57" i="79"/>
  <c r="L60" i="79" s="1"/>
  <c r="Q57" i="15"/>
  <c r="Q56" i="15"/>
  <c r="K65" i="40"/>
  <c r="L63" i="40"/>
  <c r="K70" i="39"/>
  <c r="L68" i="39"/>
  <c r="C57" i="69"/>
  <c r="C56" i="69" s="1"/>
  <c r="O46" i="36"/>
  <c r="H7" i="36" s="1"/>
  <c r="C8" i="71"/>
  <c r="T9" i="71"/>
  <c r="D9" i="71"/>
  <c r="U9" i="71" s="1"/>
  <c r="Q65" i="15" l="1"/>
  <c r="Q75" i="15" s="1"/>
  <c r="C83" i="15"/>
  <c r="C82" i="15" s="1"/>
  <c r="Q47" i="15"/>
  <c r="Q53" i="15" s="1"/>
  <c r="B2" i="15"/>
  <c r="B3" i="15" s="1"/>
  <c r="Q70" i="79"/>
  <c r="C46" i="15"/>
  <c r="C56" i="79"/>
  <c r="C65" i="79" s="1"/>
  <c r="C58" i="79" s="1"/>
  <c r="C67" i="79" s="1"/>
  <c r="C68" i="79" s="1"/>
  <c r="C71" i="79" s="1"/>
  <c r="J13" i="79"/>
  <c r="J23" i="79" s="1"/>
  <c r="J16" i="79" s="1"/>
  <c r="J25" i="79" s="1"/>
  <c r="C37" i="79"/>
  <c r="C30" i="79" s="1"/>
  <c r="C39" i="79" s="1"/>
  <c r="C80" i="79" s="1"/>
  <c r="C79" i="79" s="1"/>
  <c r="Q66" i="79"/>
  <c r="Q57" i="79"/>
  <c r="L46" i="79"/>
  <c r="Q62" i="15"/>
  <c r="M68" i="39"/>
  <c r="L70" i="39"/>
  <c r="M63" i="40"/>
  <c r="L65" i="40"/>
  <c r="D8" i="71"/>
  <c r="C7" i="71"/>
  <c r="J7" i="36"/>
  <c r="F7" i="36"/>
  <c r="AB7" i="36"/>
  <c r="T36" i="36" s="1"/>
  <c r="G36" i="36" s="1"/>
  <c r="U7" i="36"/>
  <c r="L51" i="79"/>
  <c r="Q67" i="79" l="1"/>
  <c r="C40" i="79"/>
  <c r="Q69" i="79"/>
  <c r="Q68" i="79" s="1"/>
  <c r="M65" i="40"/>
  <c r="N63" i="40"/>
  <c r="M70" i="39"/>
  <c r="N68" i="39"/>
  <c r="S7" i="36"/>
  <c r="AA7" i="36"/>
  <c r="R36" i="36" s="1"/>
  <c r="D7" i="71"/>
  <c r="C6" i="71"/>
  <c r="G40" i="36"/>
  <c r="H40" i="36" s="1"/>
  <c r="AC7" i="36"/>
  <c r="V36" i="36" s="1"/>
  <c r="I36" i="36" s="1"/>
  <c r="G41" i="36" s="1"/>
  <c r="H41" i="36" s="1"/>
  <c r="W7" i="36"/>
  <c r="Q47" i="79" l="1"/>
  <c r="Q53" i="79" s="1"/>
  <c r="C46" i="79"/>
  <c r="C83" i="79"/>
  <c r="C82" i="79" s="1"/>
  <c r="Q65" i="79"/>
  <c r="Q75" i="79" s="1"/>
  <c r="Q56" i="79"/>
  <c r="Q62" i="79" s="1"/>
  <c r="C43" i="79"/>
  <c r="B2" i="79"/>
  <c r="N70" i="39"/>
  <c r="O68" i="39"/>
  <c r="O70" i="39" s="1"/>
  <c r="O63" i="40"/>
  <c r="O65" i="40" s="1"/>
  <c r="N65" i="40"/>
  <c r="J7" i="40" s="1"/>
  <c r="D6" i="71"/>
  <c r="C5" i="71"/>
  <c r="R37" i="36"/>
  <c r="E36" i="36"/>
  <c r="I41" i="36" s="1"/>
  <c r="J41" i="36" s="1"/>
  <c r="I40" i="36"/>
  <c r="J40" i="36" s="1"/>
  <c r="AO6" i="1"/>
  <c r="AO7" i="1"/>
  <c r="B6" i="70" l="1"/>
  <c r="B7" i="70"/>
  <c r="B3" i="79"/>
  <c r="AC7" i="40"/>
  <c r="V42" i="40" s="1"/>
  <c r="I42" i="40" s="1"/>
  <c r="W7" i="40"/>
  <c r="F7" i="40"/>
  <c r="H7" i="40"/>
  <c r="F7" i="39"/>
  <c r="H7" i="39"/>
  <c r="J7" i="39"/>
  <c r="E40" i="36"/>
  <c r="F40" i="36" s="1"/>
  <c r="E41" i="36"/>
  <c r="F41" i="36" s="1"/>
  <c r="D5" i="71"/>
  <c r="M20" i="43"/>
  <c r="C19" i="43" s="1"/>
  <c r="C37" i="36"/>
  <c r="B2" i="36" s="1"/>
  <c r="B3" i="36" s="1"/>
  <c r="C36" i="36"/>
  <c r="B2" i="70" l="1"/>
  <c r="B3" i="70" s="1"/>
  <c r="C38" i="43"/>
  <c r="T12" i="43"/>
  <c r="V12" i="43" s="1"/>
  <c r="T5" i="43"/>
  <c r="V5" i="43" s="1"/>
  <c r="T10" i="43"/>
  <c r="V10" i="43" s="1"/>
  <c r="C33" i="43"/>
  <c r="T8" i="43"/>
  <c r="V8" i="43" s="1"/>
  <c r="T15" i="43"/>
  <c r="V15" i="43" s="1"/>
  <c r="T3" i="43"/>
  <c r="V3" i="43" s="1"/>
  <c r="C35" i="43"/>
  <c r="C39" i="43"/>
  <c r="T16" i="43"/>
  <c r="V16" i="43" s="1"/>
  <c r="T11" i="43"/>
  <c r="V11" i="43" s="1"/>
  <c r="C36" i="43"/>
  <c r="T9" i="43"/>
  <c r="V9" i="43" s="1"/>
  <c r="T14" i="43"/>
  <c r="V14" i="43" s="1"/>
  <c r="T13" i="43"/>
  <c r="V13" i="43" s="1"/>
  <c r="C34" i="43"/>
  <c r="C37" i="43"/>
  <c r="T4" i="43"/>
  <c r="V4" i="43" s="1"/>
  <c r="T7" i="43"/>
  <c r="V7" i="43" s="1"/>
  <c r="T6" i="43"/>
  <c r="V6" i="43" s="1"/>
  <c r="T2" i="43"/>
  <c r="V2" i="43" s="1"/>
  <c r="C29" i="43"/>
  <c r="U7" i="39"/>
  <c r="AB7" i="39"/>
  <c r="T47" i="39" s="1"/>
  <c r="G47" i="39" s="1"/>
  <c r="U7" i="40"/>
  <c r="AB7" i="40"/>
  <c r="T42" i="40" s="1"/>
  <c r="G42" i="40" s="1"/>
  <c r="W7" i="39"/>
  <c r="AC7" i="39"/>
  <c r="V47" i="39" s="1"/>
  <c r="I47" i="39" s="1"/>
  <c r="S7" i="39"/>
  <c r="AA7" i="39"/>
  <c r="R47" i="39" s="1"/>
  <c r="AA7" i="40"/>
  <c r="R42" i="40" s="1"/>
  <c r="S7" i="40"/>
  <c r="I46" i="40"/>
  <c r="J46" i="40" s="1"/>
  <c r="D19" i="9"/>
  <c r="D19" i="81"/>
  <c r="D20" i="81"/>
  <c r="D20" i="9"/>
  <c r="C6" i="68" l="1"/>
  <c r="C7" i="68" s="1"/>
  <c r="C5" i="68" s="1"/>
  <c r="C20" i="68" s="1"/>
  <c r="C25" i="68" s="1"/>
  <c r="D21" i="81"/>
  <c r="D102" i="81"/>
  <c r="D21" i="9"/>
  <c r="D102" i="9"/>
  <c r="D103" i="81"/>
  <c r="C30" i="43"/>
  <c r="E30" i="43" s="1"/>
  <c r="E29" i="43"/>
  <c r="E34" i="43"/>
  <c r="G34" i="43"/>
  <c r="I34" i="43" s="1"/>
  <c r="G36" i="43"/>
  <c r="I36" i="43" s="1"/>
  <c r="E36" i="43"/>
  <c r="G35" i="43"/>
  <c r="I35" i="43" s="1"/>
  <c r="E35" i="43"/>
  <c r="E33" i="43"/>
  <c r="G33" i="43"/>
  <c r="I33" i="43" s="1"/>
  <c r="G38" i="43"/>
  <c r="I38" i="43" s="1"/>
  <c r="E38" i="43"/>
  <c r="G37" i="43"/>
  <c r="I37" i="43" s="1"/>
  <c r="E37" i="43"/>
  <c r="G39" i="43"/>
  <c r="I39" i="43" s="1"/>
  <c r="E39" i="43"/>
  <c r="D103" i="9"/>
  <c r="R48" i="39"/>
  <c r="E47" i="39"/>
  <c r="I51" i="39"/>
  <c r="J51" i="39" s="1"/>
  <c r="I52" i="39"/>
  <c r="J52" i="39" s="1"/>
  <c r="G47" i="40"/>
  <c r="H47" i="40" s="1"/>
  <c r="G46" i="40"/>
  <c r="H46" i="40" s="1"/>
  <c r="G51" i="39"/>
  <c r="H51" i="39" s="1"/>
  <c r="G52" i="39"/>
  <c r="H52" i="39" s="1"/>
  <c r="R43" i="40"/>
  <c r="E42" i="40"/>
  <c r="C23" i="68" l="1"/>
  <c r="C7" i="80"/>
  <c r="C5" i="80" s="1"/>
  <c r="C28" i="68"/>
  <c r="C27" i="68" s="1"/>
  <c r="C27" i="43"/>
  <c r="C22" i="68"/>
  <c r="C26" i="43"/>
  <c r="E47" i="40"/>
  <c r="F47" i="40" s="1"/>
  <c r="E46" i="40"/>
  <c r="F46" i="40" s="1"/>
  <c r="I47" i="40"/>
  <c r="J47" i="40" s="1"/>
  <c r="E51" i="39"/>
  <c r="F51" i="39" s="1"/>
  <c r="E52" i="39"/>
  <c r="F52" i="39" s="1"/>
  <c r="C42" i="40"/>
  <c r="C43" i="40"/>
  <c r="C47" i="39"/>
  <c r="C48" i="39"/>
  <c r="E6" i="76"/>
  <c r="C23" i="80" l="1"/>
  <c r="C20" i="80"/>
  <c r="C25" i="80" s="1"/>
  <c r="C31" i="68"/>
  <c r="C52" i="68" s="1"/>
  <c r="B2" i="68" s="1"/>
  <c r="E2" i="76"/>
  <c r="B2" i="43"/>
  <c r="B60" i="39"/>
  <c r="F60" i="39" s="1"/>
  <c r="B56" i="39"/>
  <c r="F56" i="39" s="1"/>
  <c r="F66" i="39" s="1"/>
  <c r="B2" i="39" s="1"/>
  <c r="B3" i="39" s="1"/>
  <c r="B57" i="39"/>
  <c r="F57" i="39" s="1"/>
  <c r="B64" i="39"/>
  <c r="F64" i="39" s="1"/>
  <c r="B65" i="39"/>
  <c r="F65" i="39" s="1"/>
  <c r="B59" i="39"/>
  <c r="F59" i="39" s="1"/>
  <c r="B62" i="39"/>
  <c r="F62" i="39" s="1"/>
  <c r="B63" i="39"/>
  <c r="F63" i="39" s="1"/>
  <c r="B61" i="39"/>
  <c r="F61" i="39" s="1"/>
  <c r="B58" i="39"/>
  <c r="F58" i="39" s="1"/>
  <c r="B57" i="40"/>
  <c r="F57" i="40" s="1"/>
  <c r="B55" i="40"/>
  <c r="F55" i="40" s="1"/>
  <c r="B54" i="40"/>
  <c r="F54" i="40" s="1"/>
  <c r="B59" i="40"/>
  <c r="F59" i="40" s="1"/>
  <c r="B60" i="40"/>
  <c r="F60" i="40" s="1"/>
  <c r="B56" i="40"/>
  <c r="F56" i="40" s="1"/>
  <c r="F61" i="40"/>
  <c r="B2" i="40" s="1"/>
  <c r="B3" i="40" s="1"/>
  <c r="B58" i="40"/>
  <c r="F58" i="40" s="1"/>
  <c r="B53" i="40"/>
  <c r="F53" i="40" s="1"/>
  <c r="B52" i="40"/>
  <c r="F52" i="40" s="1"/>
  <c r="B51" i="40"/>
  <c r="F51" i="40" s="1"/>
  <c r="B6" i="76"/>
  <c r="C19" i="9"/>
  <c r="C28" i="80" l="1"/>
  <c r="C27" i="80" s="1"/>
  <c r="C22" i="80"/>
  <c r="C57" i="68"/>
  <c r="C56" i="68" s="1"/>
  <c r="C21" i="9"/>
  <c r="C102" i="9"/>
  <c r="G19" i="9"/>
  <c r="P13" i="82" s="1"/>
  <c r="D22" i="9"/>
  <c r="B2" i="76"/>
  <c r="B3" i="76" s="1"/>
  <c r="B3" i="43"/>
  <c r="M21" i="77"/>
  <c r="B3" i="68"/>
  <c r="D35" i="9"/>
  <c r="D34" i="9"/>
  <c r="C20" i="9"/>
  <c r="O13" i="82" l="1"/>
  <c r="C31" i="80"/>
  <c r="C52" i="80" s="1"/>
  <c r="B2" i="80" s="1"/>
  <c r="C103" i="9"/>
  <c r="G20" i="9"/>
  <c r="C32" i="9"/>
  <c r="C35" i="9" s="1"/>
  <c r="C34" i="9" s="1"/>
  <c r="G21" i="9"/>
  <c r="C19" i="81"/>
  <c r="O14" i="82" l="1"/>
  <c r="P14" i="82" s="1"/>
  <c r="C102" i="81"/>
  <c r="C21" i="81"/>
  <c r="D22" i="81"/>
  <c r="G19" i="81"/>
  <c r="C57" i="80"/>
  <c r="C56" i="80" s="1"/>
  <c r="F118" i="9"/>
  <c r="H118" i="9"/>
  <c r="B3" i="80"/>
  <c r="D35" i="81"/>
  <c r="D34" i="81"/>
  <c r="C20" i="81"/>
  <c r="D15" i="74" l="1"/>
  <c r="G15" i="74" s="1"/>
  <c r="H101" i="9"/>
  <c r="M48" i="9" s="1"/>
  <c r="H4" i="82"/>
  <c r="F119" i="9"/>
  <c r="F5" i="52" s="1"/>
  <c r="B53" i="72" s="1"/>
  <c r="F4" i="82"/>
  <c r="G20" i="81"/>
  <c r="C103" i="81"/>
  <c r="C32" i="81"/>
  <c r="G21" i="81"/>
  <c r="G118" i="9"/>
  <c r="F4" i="52"/>
  <c r="B51" i="72" s="1"/>
  <c r="H119" i="9"/>
  <c r="H5" i="52" s="1"/>
  <c r="C104" i="9"/>
  <c r="D14" i="74"/>
  <c r="H4" i="52"/>
  <c r="I118" i="9"/>
  <c r="D118" i="9"/>
  <c r="D4" i="82" s="1"/>
  <c r="F15" i="74" l="1"/>
  <c r="D5" i="53"/>
  <c r="B20" i="72" s="1"/>
  <c r="B5" i="74"/>
  <c r="D5" i="74" s="1"/>
  <c r="E15" i="74"/>
  <c r="P21" i="82" s="1"/>
  <c r="P22" i="82" s="1"/>
  <c r="C105" i="9"/>
  <c r="I4" i="82"/>
  <c r="D45" i="9"/>
  <c r="C72" i="9" s="1"/>
  <c r="H107" i="9"/>
  <c r="M49" i="9" s="1"/>
  <c r="L64" i="9" s="1"/>
  <c r="M64" i="9" s="1"/>
  <c r="G4" i="52"/>
  <c r="B52" i="72" s="1"/>
  <c r="G4" i="82"/>
  <c r="C35" i="81"/>
  <c r="H118" i="81"/>
  <c r="H5" i="82" s="1"/>
  <c r="H6" i="82" s="1"/>
  <c r="H7" i="82" s="1"/>
  <c r="E118" i="9"/>
  <c r="F14" i="74"/>
  <c r="E14" i="74"/>
  <c r="H102" i="9"/>
  <c r="D7" i="53" s="1"/>
  <c r="B21" i="72" s="1"/>
  <c r="I4" i="52"/>
  <c r="D119" i="9"/>
  <c r="D5" i="52" s="1"/>
  <c r="B49" i="72" s="1"/>
  <c r="D4" i="52"/>
  <c r="B47" i="72" s="1"/>
  <c r="D53" i="9" l="1"/>
  <c r="D55" i="9"/>
  <c r="M53" i="9" s="1"/>
  <c r="D52" i="9"/>
  <c r="P18" i="82"/>
  <c r="C5" i="74"/>
  <c r="P15" i="82"/>
  <c r="P27" i="82"/>
  <c r="L65" i="9"/>
  <c r="M65" i="9" s="1"/>
  <c r="P19" i="82"/>
  <c r="O19" i="82" s="1"/>
  <c r="P26" i="82"/>
  <c r="P23" i="82"/>
  <c r="D6" i="53"/>
  <c r="B22" i="72" s="1"/>
  <c r="P16" i="82"/>
  <c r="P17" i="82"/>
  <c r="P20" i="82"/>
  <c r="P24" i="82"/>
  <c r="P25" i="82"/>
  <c r="L67" i="9"/>
  <c r="M67" i="9" s="1"/>
  <c r="L68" i="9"/>
  <c r="M68" i="9" s="1"/>
  <c r="D122" i="9"/>
  <c r="D123" i="9" s="1"/>
  <c r="D9" i="52" s="1"/>
  <c r="D13" i="53"/>
  <c r="B30" i="72" s="1"/>
  <c r="L63" i="9"/>
  <c r="M63" i="9" s="1"/>
  <c r="L66" i="9"/>
  <c r="M66" i="9" s="1"/>
  <c r="H108" i="9"/>
  <c r="D15" i="53" s="1"/>
  <c r="B31" i="72" s="1"/>
  <c r="C85" i="9"/>
  <c r="C64" i="9"/>
  <c r="C63" i="9" s="1"/>
  <c r="C67" i="9" s="1"/>
  <c r="C68" i="9" s="1"/>
  <c r="D54" i="9" s="1"/>
  <c r="C78" i="9"/>
  <c r="C73" i="9" s="1"/>
  <c r="C79" i="9" s="1"/>
  <c r="C80" i="9" s="1"/>
  <c r="E80" i="9" s="1"/>
  <c r="E81" i="9" s="1"/>
  <c r="C93" i="9"/>
  <c r="C86" i="9" s="1"/>
  <c r="E4" i="52"/>
  <c r="B48" i="72" s="1"/>
  <c r="E4" i="82"/>
  <c r="I118" i="81"/>
  <c r="I5" i="82" s="1"/>
  <c r="H119" i="81"/>
  <c r="C104" i="81"/>
  <c r="H101" i="81"/>
  <c r="F118" i="81"/>
  <c r="F5" i="82" s="1"/>
  <c r="F6" i="82" s="1"/>
  <c r="F7" i="82" s="1"/>
  <c r="C34" i="81"/>
  <c r="D118" i="81" s="1"/>
  <c r="D14" i="53"/>
  <c r="B32" i="72" s="1"/>
  <c r="D59" i="9"/>
  <c r="M55" i="9" s="1"/>
  <c r="M69" i="9" l="1"/>
  <c r="N69" i="9" s="1"/>
  <c r="G14" i="74"/>
  <c r="B6" i="74" s="1"/>
  <c r="C6" i="74" s="1"/>
  <c r="D8" i="52"/>
  <c r="D119" i="81"/>
  <c r="D5" i="82"/>
  <c r="D6" i="82" s="1"/>
  <c r="D7" i="82" s="1"/>
  <c r="C95" i="9"/>
  <c r="C96" i="9" s="1"/>
  <c r="E96" i="9" s="1"/>
  <c r="E97" i="9" s="1"/>
  <c r="D45" i="81"/>
  <c r="H107" i="81"/>
  <c r="M48" i="81"/>
  <c r="F119" i="81"/>
  <c r="G118" i="81"/>
  <c r="G5" i="82" s="1"/>
  <c r="C105" i="81"/>
  <c r="H102" i="81"/>
  <c r="C81" i="9"/>
  <c r="E118" i="81" l="1"/>
  <c r="E5" i="82" s="1"/>
  <c r="C97" i="9"/>
  <c r="D58" i="9" s="1"/>
  <c r="D56" i="9" s="1"/>
  <c r="M54" i="9" s="1"/>
  <c r="N57" i="9" s="1"/>
  <c r="N58" i="9" s="1"/>
  <c r="D6" i="74"/>
  <c r="D122" i="81"/>
  <c r="D123" i="81" s="1"/>
  <c r="M49" i="81"/>
  <c r="H108" i="81"/>
  <c r="D52" i="81"/>
  <c r="C85" i="81"/>
  <c r="C64" i="81"/>
  <c r="C63" i="81" s="1"/>
  <c r="C67" i="81" s="1"/>
  <c r="D53" i="81"/>
  <c r="C78" i="81"/>
  <c r="C73" i="81" s="1"/>
  <c r="C93" i="81"/>
  <c r="C86" i="81" s="1"/>
  <c r="C72" i="81"/>
  <c r="D55" i="81"/>
  <c r="M53" i="81" s="1"/>
  <c r="N59" i="9" l="1"/>
  <c r="N60" i="9" s="1"/>
  <c r="P57" i="9"/>
  <c r="C79" i="81"/>
  <c r="D59" i="81"/>
  <c r="M55" i="81" s="1"/>
  <c r="C68" i="81"/>
  <c r="D54" i="81" s="1"/>
  <c r="L65" i="81"/>
  <c r="M65" i="81" s="1"/>
  <c r="L68" i="81"/>
  <c r="M68" i="81" s="1"/>
  <c r="L63" i="81"/>
  <c r="M63" i="81" s="1"/>
  <c r="L66" i="81"/>
  <c r="M66" i="81" s="1"/>
  <c r="L64" i="81"/>
  <c r="M64" i="81" s="1"/>
  <c r="L67" i="81"/>
  <c r="M67" i="81" s="1"/>
  <c r="C95" i="81"/>
  <c r="N61" i="9"/>
  <c r="C80" i="81" l="1"/>
  <c r="E80" i="81" s="1"/>
  <c r="E81" i="81" s="1"/>
  <c r="C96" i="81"/>
  <c r="E96" i="81" s="1"/>
  <c r="E97" i="81" s="1"/>
  <c r="M69" i="81"/>
  <c r="N69" i="81" s="1"/>
  <c r="C97" i="81" l="1"/>
  <c r="D58" i="81" s="1"/>
  <c r="D56" i="81" s="1"/>
  <c r="M54" i="81" s="1"/>
  <c r="N57" i="81" s="1"/>
  <c r="P57" i="81" s="1"/>
  <c r="C81" i="81"/>
  <c r="N59" i="81" l="1"/>
  <c r="N61" i="81" s="1"/>
  <c r="N58" i="81"/>
  <c r="N60" i="81" l="1"/>
  <c r="O18" i="82"/>
  <c r="O20" i="82"/>
  <c r="O21" i="82"/>
  <c r="O22" i="82"/>
  <c r="O23" i="82"/>
  <c r="O17" i="82" l="1"/>
  <c r="O16" i="82"/>
  <c r="O15" i="82"/>
  <c r="O24" i="82" l="1"/>
  <c r="O25" i="82" l="1"/>
  <c r="O26" i="82" l="1"/>
  <c r="O27" i="82" s="1"/>
  <c r="O28" i="8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2ED4F8D-AB6A-4A81-AC06-CB3AACAB8A4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99A0C5B-4C51-40C4-8405-716763B490E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A28D7CFA-6243-437C-B5C2-1601E8EE48B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190B5C3-01D1-414D-88F4-4A1CC3EFC993}">
      <text>
        <r>
          <rPr>
            <sz val="11"/>
            <color indexed="81"/>
            <rFont val="宋体"/>
            <family val="3"/>
            <charset val="134"/>
          </rPr>
          <t>在建项目均选择“是”</t>
        </r>
      </text>
    </comment>
    <comment ref="F59" authorId="1" shapeId="0" xr:uid="{B8006C4F-D3B1-4FA0-B5C5-C58B557A9B2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3E8403F7-DE41-484E-9121-78F90447551E}">
      <text>
        <r>
          <rPr>
            <sz val="10"/>
            <color indexed="81"/>
            <rFont val="宋体"/>
            <family val="3"/>
            <charset val="134"/>
          </rPr>
          <t xml:space="preserve">在建
</t>
        </r>
      </text>
    </comment>
    <comment ref="N59" authorId="0" shapeId="0" xr:uid="{58C17E95-0FB4-41F0-8244-8597D7ACF71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3BFA0351-16D2-4925-B189-B136201CD52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5329644F-1F08-492D-9B4F-A75CBAB81986}">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1A7E8C08-3FAB-4AAA-B8F4-5EA090FC2C04}">
      <text>
        <r>
          <rPr>
            <sz val="11"/>
            <color indexed="81"/>
            <rFont val="宋体"/>
            <family val="3"/>
            <charset val="134"/>
          </rPr>
          <t>需在下方列示计算过程</t>
        </r>
        <r>
          <rPr>
            <sz val="9"/>
            <color indexed="81"/>
            <rFont val="宋体"/>
            <family val="3"/>
            <charset val="134"/>
          </rPr>
          <t xml:space="preserve">
</t>
        </r>
      </text>
    </comment>
    <comment ref="H75" authorId="2" shapeId="0" xr:uid="{FE03C3CB-3CF9-4CFC-AFD9-8E87947B46E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F78D6B3-6ACC-4163-A0B2-46535E68513B}">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FD4A50D4-EC79-4560-9CFF-D54D92B26E18}">
      <text>
        <r>
          <rPr>
            <b/>
            <sz val="9"/>
            <color indexed="81"/>
            <rFont val="宋体"/>
            <family val="3"/>
            <charset val="134"/>
          </rPr>
          <t>对应区片地价表</t>
        </r>
        <r>
          <rPr>
            <sz val="9"/>
            <color indexed="81"/>
            <rFont val="宋体"/>
            <family val="3"/>
            <charset val="134"/>
          </rPr>
          <t xml:space="preserve">
</t>
        </r>
      </text>
    </comment>
    <comment ref="Y9" authorId="1" shapeId="0" xr:uid="{A6E658AF-A416-4F64-A1D6-CBF63F758E77}">
      <text>
        <r>
          <rPr>
            <sz val="11"/>
            <color indexed="81"/>
            <rFont val="宋体"/>
            <family val="3"/>
            <charset val="134"/>
          </rPr>
          <t xml:space="preserve">录入层数，将对应的结果录入至左侧相应层的楼层修正系数单元格中
</t>
        </r>
      </text>
    </comment>
    <comment ref="D17" authorId="2" shapeId="0" xr:uid="{23B89FE7-733D-4DFC-B465-754652C9F834}">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D559F4A3-EC45-44FF-9E88-8E6199E2A275}">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CADC1598-E344-46CC-895F-84091122AF4B}">
      <text>
        <r>
          <rPr>
            <sz val="9"/>
            <color indexed="81"/>
            <rFont val="宋体"/>
            <family val="3"/>
            <charset val="134"/>
          </rPr>
          <t xml:space="preserve">需在此处填写剩余土地年限
</t>
        </r>
      </text>
    </comment>
    <comment ref="C99" authorId="0" shapeId="0" xr:uid="{A702F8EA-3319-4458-B12B-01BE391641A4}">
      <text>
        <r>
          <rPr>
            <b/>
            <sz val="9"/>
            <color indexed="81"/>
            <rFont val="宋体"/>
            <family val="3"/>
            <charset val="134"/>
          </rPr>
          <t xml:space="preserve">所在楼层
</t>
        </r>
        <r>
          <rPr>
            <sz val="9"/>
            <color indexed="81"/>
            <rFont val="宋体"/>
            <family val="3"/>
            <charset val="134"/>
          </rPr>
          <t xml:space="preserve">
</t>
        </r>
      </text>
    </comment>
    <comment ref="D99" authorId="0" shapeId="0" xr:uid="{14EB0419-314A-4338-98B4-9C49A6BBF2FD}">
      <text>
        <r>
          <rPr>
            <b/>
            <sz val="9"/>
            <color indexed="81"/>
            <rFont val="宋体"/>
            <family val="3"/>
            <charset val="134"/>
          </rPr>
          <t xml:space="preserve">所在楼层
</t>
        </r>
        <r>
          <rPr>
            <sz val="9"/>
            <color indexed="81"/>
            <rFont val="宋体"/>
            <family val="3"/>
            <charset val="134"/>
          </rPr>
          <t xml:space="preserve">
</t>
        </r>
      </text>
    </comment>
    <comment ref="E99" authorId="0" shapeId="0" xr:uid="{63F6B2C7-EED6-4E78-B631-307EF520ABFE}">
      <text>
        <r>
          <rPr>
            <b/>
            <sz val="9"/>
            <color indexed="81"/>
            <rFont val="宋体"/>
            <family val="3"/>
            <charset val="134"/>
          </rPr>
          <t xml:space="preserve">所在楼层
</t>
        </r>
        <r>
          <rPr>
            <sz val="9"/>
            <color indexed="81"/>
            <rFont val="宋体"/>
            <family val="3"/>
            <charset val="134"/>
          </rPr>
          <t xml:space="preserve">
</t>
        </r>
      </text>
    </comment>
    <comment ref="F99" authorId="0" shapeId="0" xr:uid="{E0A394CC-E542-4F44-8D28-264391F1E31B}">
      <text>
        <r>
          <rPr>
            <b/>
            <sz val="9"/>
            <color indexed="81"/>
            <rFont val="宋体"/>
            <family val="3"/>
            <charset val="134"/>
          </rPr>
          <t xml:space="preserve">所在楼层
</t>
        </r>
        <r>
          <rPr>
            <sz val="9"/>
            <color indexed="81"/>
            <rFont val="宋体"/>
            <family val="3"/>
            <charset val="134"/>
          </rPr>
          <t xml:space="preserve">
</t>
        </r>
      </text>
    </comment>
    <comment ref="G99" authorId="0" shapeId="0" xr:uid="{D49AA973-99C3-4D1F-BFEB-18DF7628A508}">
      <text>
        <r>
          <rPr>
            <b/>
            <sz val="9"/>
            <color indexed="81"/>
            <rFont val="宋体"/>
            <family val="3"/>
            <charset val="134"/>
          </rPr>
          <t xml:space="preserve">所在楼层
</t>
        </r>
        <r>
          <rPr>
            <sz val="9"/>
            <color indexed="81"/>
            <rFont val="宋体"/>
            <family val="3"/>
            <charset val="134"/>
          </rPr>
          <t xml:space="preserve">
</t>
        </r>
      </text>
    </comment>
    <comment ref="H99" authorId="0" shapeId="0" xr:uid="{2EDA25A9-5EEB-4351-A82C-34762DB24E88}">
      <text>
        <r>
          <rPr>
            <b/>
            <sz val="9"/>
            <color indexed="81"/>
            <rFont val="宋体"/>
            <family val="3"/>
            <charset val="134"/>
          </rPr>
          <t xml:space="preserve">所在楼层
</t>
        </r>
        <r>
          <rPr>
            <sz val="9"/>
            <color indexed="81"/>
            <rFont val="宋体"/>
            <family val="3"/>
            <charset val="134"/>
          </rPr>
          <t xml:space="preserve">
</t>
        </r>
      </text>
    </comment>
    <comment ref="I99" authorId="0" shapeId="0" xr:uid="{FAFA74F6-9B8C-4CDF-8DDD-384845360F36}">
      <text>
        <r>
          <rPr>
            <b/>
            <sz val="9"/>
            <color indexed="81"/>
            <rFont val="宋体"/>
            <family val="3"/>
            <charset val="134"/>
          </rPr>
          <t xml:space="preserve">所在楼层
</t>
        </r>
        <r>
          <rPr>
            <sz val="9"/>
            <color indexed="81"/>
            <rFont val="宋体"/>
            <family val="3"/>
            <charset val="134"/>
          </rPr>
          <t xml:space="preserve">
</t>
        </r>
      </text>
    </comment>
    <comment ref="J99" authorId="0" shapeId="0" xr:uid="{685E1331-EA60-446B-A133-8A27FAA15728}">
      <text>
        <r>
          <rPr>
            <b/>
            <sz val="9"/>
            <color indexed="81"/>
            <rFont val="宋体"/>
            <family val="3"/>
            <charset val="134"/>
          </rPr>
          <t xml:space="preserve">所在楼层
</t>
        </r>
        <r>
          <rPr>
            <sz val="9"/>
            <color indexed="81"/>
            <rFont val="宋体"/>
            <family val="3"/>
            <charset val="134"/>
          </rPr>
          <t xml:space="preserve">
</t>
        </r>
      </text>
    </comment>
    <comment ref="K99" authorId="0" shapeId="0" xr:uid="{BA37EF9F-00CB-408C-8EA2-9E6B49386E1E}">
      <text>
        <r>
          <rPr>
            <b/>
            <sz val="9"/>
            <color indexed="81"/>
            <rFont val="宋体"/>
            <family val="3"/>
            <charset val="134"/>
          </rPr>
          <t xml:space="preserve">所在楼层
</t>
        </r>
        <r>
          <rPr>
            <sz val="9"/>
            <color indexed="81"/>
            <rFont val="宋体"/>
            <family val="3"/>
            <charset val="134"/>
          </rPr>
          <t xml:space="preserve">
</t>
        </r>
      </text>
    </comment>
    <comment ref="L99" authorId="0" shapeId="0" xr:uid="{0D2FF917-A75F-440A-A340-FA2D46E694E7}">
      <text>
        <r>
          <rPr>
            <b/>
            <sz val="9"/>
            <color indexed="81"/>
            <rFont val="宋体"/>
            <family val="3"/>
            <charset val="134"/>
          </rPr>
          <t xml:space="preserve">所在楼层
</t>
        </r>
        <r>
          <rPr>
            <sz val="9"/>
            <color indexed="81"/>
            <rFont val="宋体"/>
            <family val="3"/>
            <charset val="134"/>
          </rPr>
          <t xml:space="preserve">
</t>
        </r>
      </text>
    </comment>
    <comment ref="M99" authorId="0" shapeId="0" xr:uid="{F8F111D7-AD0C-44ED-A8AA-86365560A1BA}">
      <text>
        <r>
          <rPr>
            <b/>
            <sz val="9"/>
            <color indexed="81"/>
            <rFont val="宋体"/>
            <family val="3"/>
            <charset val="134"/>
          </rPr>
          <t xml:space="preserve">所在楼层
</t>
        </r>
        <r>
          <rPr>
            <sz val="9"/>
            <color indexed="81"/>
            <rFont val="宋体"/>
            <family val="3"/>
            <charset val="134"/>
          </rPr>
          <t xml:space="preserve">
</t>
        </r>
      </text>
    </comment>
    <comment ref="N99" authorId="0" shapeId="0" xr:uid="{36B00B6E-D3E7-4E38-9623-C1411C9AF768}">
      <text>
        <r>
          <rPr>
            <b/>
            <sz val="9"/>
            <color indexed="81"/>
            <rFont val="宋体"/>
            <family val="3"/>
            <charset val="134"/>
          </rPr>
          <t xml:space="preserve">所在楼层
</t>
        </r>
        <r>
          <rPr>
            <sz val="9"/>
            <color indexed="81"/>
            <rFont val="宋体"/>
            <family val="3"/>
            <charset val="134"/>
          </rPr>
          <t xml:space="preserve">
</t>
        </r>
      </text>
    </comment>
    <comment ref="C101" authorId="0" shapeId="0" xr:uid="{67C9EEFF-6BC1-4A10-BC71-8F3C63057790}">
      <text>
        <r>
          <rPr>
            <b/>
            <sz val="9"/>
            <color indexed="81"/>
            <rFont val="宋体"/>
            <family val="3"/>
            <charset val="134"/>
          </rPr>
          <t xml:space="preserve">容积率
</t>
        </r>
      </text>
    </comment>
    <comment ref="D101" authorId="0" shapeId="0" xr:uid="{A27B1149-CFAE-4724-98A9-244F9A746872}">
      <text>
        <r>
          <rPr>
            <b/>
            <sz val="9"/>
            <color indexed="81"/>
            <rFont val="宋体"/>
            <family val="3"/>
            <charset val="134"/>
          </rPr>
          <t xml:space="preserve">容积率
</t>
        </r>
      </text>
    </comment>
    <comment ref="E101" authorId="0" shapeId="0" xr:uid="{F2EA7A3E-A279-4D21-BCC1-B15585D85463}">
      <text>
        <r>
          <rPr>
            <b/>
            <sz val="9"/>
            <color indexed="81"/>
            <rFont val="宋体"/>
            <family val="3"/>
            <charset val="134"/>
          </rPr>
          <t xml:space="preserve">容积率
</t>
        </r>
      </text>
    </comment>
    <comment ref="F101" authorId="0" shapeId="0" xr:uid="{9ED928B2-3896-4238-BC38-EC37BCA13F8C}">
      <text>
        <r>
          <rPr>
            <b/>
            <sz val="9"/>
            <color indexed="81"/>
            <rFont val="宋体"/>
            <family val="3"/>
            <charset val="134"/>
          </rPr>
          <t xml:space="preserve">容积率
</t>
        </r>
      </text>
    </comment>
    <comment ref="G101" authorId="0" shapeId="0" xr:uid="{17FF4E83-A608-4303-A270-0C0C661969A3}">
      <text>
        <r>
          <rPr>
            <b/>
            <sz val="9"/>
            <color indexed="81"/>
            <rFont val="宋体"/>
            <family val="3"/>
            <charset val="134"/>
          </rPr>
          <t xml:space="preserve">容积率
</t>
        </r>
      </text>
    </comment>
    <comment ref="H101" authorId="0" shapeId="0" xr:uid="{0176447E-CE86-46B4-8193-CCB9288C50FE}">
      <text>
        <r>
          <rPr>
            <b/>
            <sz val="9"/>
            <color indexed="81"/>
            <rFont val="宋体"/>
            <family val="3"/>
            <charset val="134"/>
          </rPr>
          <t xml:space="preserve">容积率
</t>
        </r>
      </text>
    </comment>
    <comment ref="I101" authorId="0" shapeId="0" xr:uid="{141DC106-24B8-4F23-8D42-00C2CCE78C12}">
      <text>
        <r>
          <rPr>
            <b/>
            <sz val="9"/>
            <color indexed="81"/>
            <rFont val="宋体"/>
            <family val="3"/>
            <charset val="134"/>
          </rPr>
          <t xml:space="preserve">容积率
</t>
        </r>
      </text>
    </comment>
    <comment ref="J101" authorId="0" shapeId="0" xr:uid="{9D7B9A1D-E736-4795-8E88-01063185DCA1}">
      <text>
        <r>
          <rPr>
            <b/>
            <sz val="9"/>
            <color indexed="81"/>
            <rFont val="宋体"/>
            <family val="3"/>
            <charset val="134"/>
          </rPr>
          <t xml:space="preserve">容积率
</t>
        </r>
      </text>
    </comment>
    <comment ref="K101" authorId="0" shapeId="0" xr:uid="{F7574619-C24B-4DBD-96EF-8FD439C262D6}">
      <text>
        <r>
          <rPr>
            <b/>
            <sz val="9"/>
            <color indexed="81"/>
            <rFont val="宋体"/>
            <family val="3"/>
            <charset val="134"/>
          </rPr>
          <t xml:space="preserve">容积率
</t>
        </r>
      </text>
    </comment>
    <comment ref="L101" authorId="0" shapeId="0" xr:uid="{6B17B580-80EF-4716-8C60-C62B501E1590}">
      <text>
        <r>
          <rPr>
            <b/>
            <sz val="9"/>
            <color indexed="81"/>
            <rFont val="宋体"/>
            <family val="3"/>
            <charset val="134"/>
          </rPr>
          <t xml:space="preserve">容积率
</t>
        </r>
      </text>
    </comment>
    <comment ref="M101" authorId="0" shapeId="0" xr:uid="{066ADD94-57EA-4EA5-B3EA-A381CE3ACBB4}">
      <text>
        <r>
          <rPr>
            <b/>
            <sz val="9"/>
            <color indexed="81"/>
            <rFont val="宋体"/>
            <family val="3"/>
            <charset val="134"/>
          </rPr>
          <t xml:space="preserve">容积率
</t>
        </r>
      </text>
    </comment>
    <comment ref="N101" authorId="0" shapeId="0" xr:uid="{A432BDBB-02F4-4555-B3A9-6750B11D9758}">
      <text>
        <r>
          <rPr>
            <b/>
            <sz val="9"/>
            <color indexed="81"/>
            <rFont val="宋体"/>
            <family val="3"/>
            <charset val="134"/>
          </rPr>
          <t xml:space="preserve">容积率
</t>
        </r>
      </text>
    </comment>
    <comment ref="C108" authorId="0" shapeId="0" xr:uid="{13BEB38E-2D37-4DDF-A5F7-642B20A0533E}">
      <text>
        <r>
          <rPr>
            <b/>
            <sz val="9"/>
            <color indexed="81"/>
            <rFont val="宋体"/>
            <family val="3"/>
            <charset val="134"/>
          </rPr>
          <t xml:space="preserve">所在楼层
</t>
        </r>
        <r>
          <rPr>
            <sz val="9"/>
            <color indexed="81"/>
            <rFont val="宋体"/>
            <family val="3"/>
            <charset val="134"/>
          </rPr>
          <t xml:space="preserve">
</t>
        </r>
      </text>
    </comment>
    <comment ref="D108" authorId="0" shapeId="0" xr:uid="{46C77CCB-37FA-4A53-B48D-5DCA2315139F}">
      <text>
        <r>
          <rPr>
            <b/>
            <sz val="9"/>
            <color indexed="81"/>
            <rFont val="宋体"/>
            <family val="3"/>
            <charset val="134"/>
          </rPr>
          <t xml:space="preserve">所在楼层
</t>
        </r>
        <r>
          <rPr>
            <sz val="9"/>
            <color indexed="81"/>
            <rFont val="宋体"/>
            <family val="3"/>
            <charset val="134"/>
          </rPr>
          <t xml:space="preserve">
</t>
        </r>
      </text>
    </comment>
    <comment ref="E108" authorId="0" shapeId="0" xr:uid="{7CAB890A-FBD9-401B-985D-30ABF6E55907}">
      <text>
        <r>
          <rPr>
            <b/>
            <sz val="9"/>
            <color indexed="81"/>
            <rFont val="宋体"/>
            <family val="3"/>
            <charset val="134"/>
          </rPr>
          <t xml:space="preserve">所在楼层
</t>
        </r>
        <r>
          <rPr>
            <sz val="9"/>
            <color indexed="81"/>
            <rFont val="宋体"/>
            <family val="3"/>
            <charset val="134"/>
          </rPr>
          <t xml:space="preserve">
</t>
        </r>
      </text>
    </comment>
    <comment ref="F108" authorId="0" shapeId="0" xr:uid="{F839B608-D7A7-4800-A707-1EEA95041C12}">
      <text>
        <r>
          <rPr>
            <b/>
            <sz val="9"/>
            <color indexed="81"/>
            <rFont val="宋体"/>
            <family val="3"/>
            <charset val="134"/>
          </rPr>
          <t xml:space="preserve">所在楼层
</t>
        </r>
        <r>
          <rPr>
            <sz val="9"/>
            <color indexed="81"/>
            <rFont val="宋体"/>
            <family val="3"/>
            <charset val="134"/>
          </rPr>
          <t xml:space="preserve">
</t>
        </r>
      </text>
    </comment>
    <comment ref="G108" authorId="0" shapeId="0" xr:uid="{34E7A070-27C8-48DA-9798-2263C9940C2F}">
      <text>
        <r>
          <rPr>
            <b/>
            <sz val="9"/>
            <color indexed="81"/>
            <rFont val="宋体"/>
            <family val="3"/>
            <charset val="134"/>
          </rPr>
          <t xml:space="preserve">所在楼层
</t>
        </r>
        <r>
          <rPr>
            <sz val="9"/>
            <color indexed="81"/>
            <rFont val="宋体"/>
            <family val="3"/>
            <charset val="134"/>
          </rPr>
          <t xml:space="preserve">
</t>
        </r>
      </text>
    </comment>
    <comment ref="H108" authorId="0" shapeId="0" xr:uid="{79DE7748-6CC1-4882-A8A8-4403D43C25FC}">
      <text>
        <r>
          <rPr>
            <b/>
            <sz val="9"/>
            <color indexed="81"/>
            <rFont val="宋体"/>
            <family val="3"/>
            <charset val="134"/>
          </rPr>
          <t xml:space="preserve">所在楼层
</t>
        </r>
        <r>
          <rPr>
            <sz val="9"/>
            <color indexed="81"/>
            <rFont val="宋体"/>
            <family val="3"/>
            <charset val="134"/>
          </rPr>
          <t xml:space="preserve">
</t>
        </r>
      </text>
    </comment>
    <comment ref="I108" authorId="0" shapeId="0" xr:uid="{55B831F6-9065-4493-894B-95044D06B83B}">
      <text>
        <r>
          <rPr>
            <b/>
            <sz val="9"/>
            <color indexed="81"/>
            <rFont val="宋体"/>
            <family val="3"/>
            <charset val="134"/>
          </rPr>
          <t xml:space="preserve">所在楼层
</t>
        </r>
        <r>
          <rPr>
            <sz val="9"/>
            <color indexed="81"/>
            <rFont val="宋体"/>
            <family val="3"/>
            <charset val="134"/>
          </rPr>
          <t xml:space="preserve">
</t>
        </r>
      </text>
    </comment>
    <comment ref="J108" authorId="0" shapeId="0" xr:uid="{11D05831-9615-4902-8855-56EF7E253F21}">
      <text>
        <r>
          <rPr>
            <b/>
            <sz val="9"/>
            <color indexed="81"/>
            <rFont val="宋体"/>
            <family val="3"/>
            <charset val="134"/>
          </rPr>
          <t xml:space="preserve">所在楼层
</t>
        </r>
        <r>
          <rPr>
            <sz val="9"/>
            <color indexed="81"/>
            <rFont val="宋体"/>
            <family val="3"/>
            <charset val="134"/>
          </rPr>
          <t xml:space="preserve">
</t>
        </r>
      </text>
    </comment>
    <comment ref="K108" authorId="0" shapeId="0" xr:uid="{B82BBA36-9788-47A3-9187-DB9285E2E1A1}">
      <text>
        <r>
          <rPr>
            <b/>
            <sz val="9"/>
            <color indexed="81"/>
            <rFont val="宋体"/>
            <family val="3"/>
            <charset val="134"/>
          </rPr>
          <t xml:space="preserve">所在楼层
</t>
        </r>
        <r>
          <rPr>
            <sz val="9"/>
            <color indexed="81"/>
            <rFont val="宋体"/>
            <family val="3"/>
            <charset val="134"/>
          </rPr>
          <t xml:space="preserve">
</t>
        </r>
      </text>
    </comment>
    <comment ref="L108" authorId="0" shapeId="0" xr:uid="{B50D2035-AEE9-4F9C-B190-9077536146B0}">
      <text>
        <r>
          <rPr>
            <b/>
            <sz val="9"/>
            <color indexed="81"/>
            <rFont val="宋体"/>
            <family val="3"/>
            <charset val="134"/>
          </rPr>
          <t xml:space="preserve">所在楼层
</t>
        </r>
        <r>
          <rPr>
            <sz val="9"/>
            <color indexed="81"/>
            <rFont val="宋体"/>
            <family val="3"/>
            <charset val="134"/>
          </rPr>
          <t xml:space="preserve">
</t>
        </r>
      </text>
    </comment>
    <comment ref="M108" authorId="0" shapeId="0" xr:uid="{A0B2808E-FB63-492B-9DA7-98BCD60C85CC}">
      <text>
        <r>
          <rPr>
            <b/>
            <sz val="9"/>
            <color indexed="81"/>
            <rFont val="宋体"/>
            <family val="3"/>
            <charset val="134"/>
          </rPr>
          <t xml:space="preserve">所在楼层
</t>
        </r>
        <r>
          <rPr>
            <sz val="9"/>
            <color indexed="81"/>
            <rFont val="宋体"/>
            <family val="3"/>
            <charset val="134"/>
          </rPr>
          <t xml:space="preserve">
</t>
        </r>
      </text>
    </comment>
    <comment ref="N108" authorId="0" shapeId="0" xr:uid="{681E626F-F650-4A49-9F22-870F5EF7C111}">
      <text>
        <r>
          <rPr>
            <b/>
            <sz val="9"/>
            <color indexed="81"/>
            <rFont val="宋体"/>
            <family val="3"/>
            <charset val="134"/>
          </rPr>
          <t xml:space="preserve">所在楼层
</t>
        </r>
        <r>
          <rPr>
            <sz val="9"/>
            <color indexed="81"/>
            <rFont val="宋体"/>
            <family val="3"/>
            <charset val="134"/>
          </rPr>
          <t xml:space="preserve">
</t>
        </r>
      </text>
    </comment>
    <comment ref="D113" authorId="0" shapeId="0" xr:uid="{3385485A-8BDF-450D-B8C2-7DEEFEF4070F}">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<sst xmlns="http://schemas.openxmlformats.org/spreadsheetml/2006/main" count="8699" uniqueCount="3222">
  <si>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</si>
  <si>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</si>
  <si>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</si>
  <si>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</si>
  <si>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</si>
  <si>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</si>
  <si>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</si>
  <si>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</si>
  <si>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</si>
  <si>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</si>
  <si>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</si>
  <si>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</si>
  <si>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</si>
  <si>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</si>
  <si>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</si>
  <si>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</si>
  <si>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</si>
  <si>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</si>
  <si>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</si>
  <si>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</si>
  <si>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</si>
  <si>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</si>
  <si>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</si>
  <si>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</si>
  <si>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</si>
  <si>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</si>
  <si>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</si>
  <si>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</si>
  <si>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</si>
  <si>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</si>
  <si>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</si>
  <si>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</si>
  <si>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</si>
  <si>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</si>
  <si>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</si>
  <si>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</si>
  <si>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</si>
  <si>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</si>
  <si>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</si>
  <si>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</si>
  <si>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</si>
  <si>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</si>
  <si>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</si>
  <si>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</si>
  <si>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</si>
  <si>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</si>
  <si>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</si>
  <si>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</si>
  <si>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</si>
  <si>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</si>
  <si>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</si>
  <si>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</si>
  <si>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</si>
  <si>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</si>
  <si>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</si>
  <si>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</si>
  <si>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</si>
  <si>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</si>
  <si>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</si>
  <si>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</si>
  <si>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</si>
  <si>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</si>
  <si>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</si>
  <si>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</si>
  <si>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</si>
  <si>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</si>
  <si>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</si>
  <si>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</si>
  <si>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</si>
  <si>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</si>
  <si>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</si>
  <si>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</si>
  <si>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</si>
  <si>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</si>
  <si>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</si>
  <si>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</si>
  <si>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</si>
  <si>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</si>
  <si>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</si>
  <si>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</si>
  <si>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</si>
  <si>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</si>
  <si>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</si>
  <si>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</si>
  <si>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</si>
  <si>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</si>
  <si>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</si>
  <si>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</si>
  <si>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</si>
  <si>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</si>
  <si>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</si>
  <si>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</si>
  <si>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</si>
  <si>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</si>
  <si>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</si>
  <si>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</si>
  <si>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</si>
  <si>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</si>
  <si>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</si>
  <si>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</si>
  <si>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</si>
  <si>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</si>
  <si>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</si>
  <si>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</si>
  <si>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</si>
  <si>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</si>
  <si>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</si>
  <si>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</si>
  <si>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</si>
  <si>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</si>
  <si>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</si>
  <si>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</si>
  <si>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</si>
  <si>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</si>
  <si>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</si>
  <si>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</si>
  <si>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</si>
  <si>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</si>
  <si>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</si>
  <si>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</si>
  <si>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</si>
  <si>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</si>
  <si>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</si>
  <si>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</si>
  <si>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</si>
  <si>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</si>
  <si>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</si>
  <si>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</si>
  <si>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</si>
  <si>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</si>
  <si>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</si>
  <si>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</si>
  <si>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</si>
  <si>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</si>
  <si>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</si>
  <si>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</si>
  <si>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</si>
  <si>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</si>
  <si>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</si>
  <si>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</si>
  <si>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</si>
  <si>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</si>
  <si>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</si>
  <si>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</si>
  <si>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</si>
  <si>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</si>
  <si>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</si>
  <si>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</si>
  <si>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</si>
  <si>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</si>
  <si>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</si>
  <si>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</si>
  <si>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</si>
  <si>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</si>
  <si>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</si>
  <si>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</si>
  <si>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</si>
  <si>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</si>
  <si>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</si>
  <si>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</si>
  <si>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</si>
  <si>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</si>
  <si>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</si>
  <si>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</si>
  <si>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</si>
  <si>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</si>
  <si>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</si>
  <si>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</si>
  <si>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</si>
  <si>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</si>
  <si>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</si>
  <si>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</si>
  <si>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</si>
  <si>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</si>
  <si>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</si>
  <si>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</si>
  <si>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</si>
  <si>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</si>
  <si>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</si>
  <si>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</si>
  <si>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</si>
  <si>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</si>
  <si>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</si>
  <si>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</si>
  <si>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</si>
  <si>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</si>
  <si>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</si>
  <si>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</si>
  <si>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</si>
  <si>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</si>
  <si>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</si>
  <si>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</si>
  <si>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</si>
  <si>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</si>
  <si>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</si>
  <si>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</si>
  <si>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</si>
  <si>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</si>
  <si>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</si>
  <si>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</si>
  <si>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</si>
  <si>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</si>
  <si>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</si>
  <si>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</si>
  <si>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</si>
  <si>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</si>
  <si>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</si>
  <si>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</si>
  <si>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</si>
  <si>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</si>
  <si>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</si>
  <si>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</si>
  <si>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</si>
  <si>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</si>
  <si>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</si>
  <si>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</si>
  <si>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</si>
  <si>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</si>
  <si>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</si>
  <si>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</si>
  <si>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</si>
  <si>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</si>
  <si>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</si>
  <si>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</si>
  <si>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</si>
  <si>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</si>
  <si>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</si>
  <si>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</si>
  <si>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</si>
  <si>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</si>
  <si>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</si>
  <si>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</si>
  <si>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</si>
  <si>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</si>
  <si>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</si>
  <si>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</si>
  <si>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</si>
  <si>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</si>
  <si>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</si>
  <si>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</si>
  <si>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</si>
  <si>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</si>
  <si>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</si>
  <si>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</si>
  <si>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</si>
  <si>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</si>
  <si>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</si>
  <si>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</si>
  <si>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</si>
  <si>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</si>
  <si>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</si>
  <si>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</si>
  <si>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</si>
  <si>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</si>
  <si>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</si>
  <si>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</si>
  <si>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</si>
  <si>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</si>
  <si>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</si>
  <si>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</si>
  <si>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</si>
  <si>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</si>
  <si>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</si>
  <si>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</si>
  <si>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</si>
  <si>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</si>
  <si>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</si>
  <si>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</si>
  <si>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</si>
  <si>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</si>
  <si>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</si>
  <si>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</si>
  <si>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</si>
  <si>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</si>
  <si>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</si>
  <si>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</si>
  <si>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</si>
  <si>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</si>
  <si>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</si>
  <si>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</si>
  <si>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</si>
  <si>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</si>
  <si>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</si>
  <si>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</si>
  <si>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</si>
  <si>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</si>
  <si>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</si>
  <si>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</si>
  <si>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</si>
  <si>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</si>
  <si>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</si>
  <si>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</si>
  <si>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</si>
  <si>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</si>
  <si>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</si>
  <si>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</si>
  <si>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</si>
  <si>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</si>
  <si>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</si>
  <si>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</si>
  <si>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</si>
  <si>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</si>
  <si>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</si>
  <si>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</si>
  <si>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</si>
  <si>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</si>
  <si>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</si>
  <si>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</si>
  <si>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</si>
  <si>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</si>
  <si>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</si>
  <si>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</si>
  <si>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</si>
  <si>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</si>
  <si>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</si>
  <si>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</si>
  <si>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</si>
  <si>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</si>
  <si>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</si>
  <si>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</si>
  <si>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</si>
  <si>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</si>
  <si>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</si>
  <si>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</si>
  <si>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</si>
  <si>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</si>
  <si>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</si>
  <si>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</si>
  <si>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</si>
  <si>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</si>
  <si>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</si>
  <si>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</si>
  <si>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</si>
  <si>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</si>
  <si>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</si>
  <si>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</si>
  <si>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</si>
  <si>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</si>
  <si>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</si>
  <si>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</si>
  <si>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</si>
  <si>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</si>
  <si>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</si>
  <si>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</si>
  <si>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</si>
  <si>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</si>
  <si>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</si>
  <si>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</si>
  <si>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</si>
  <si>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</si>
  <si>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</si>
  <si>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</si>
  <si>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</si>
  <si>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</si>
  <si>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</si>
  <si>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</si>
  <si>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</si>
  <si>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</si>
  <si>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</si>
  <si>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</si>
  <si>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</si>
  <si>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</si>
  <si>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</si>
  <si>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</si>
  <si>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</si>
  <si>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</si>
  <si>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</si>
  <si>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</si>
  <si>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</si>
  <si>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</si>
  <si>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</si>
  <si>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</si>
  <si>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</si>
  <si>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</si>
  <si>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</si>
  <si>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</si>
  <si>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</si>
  <si>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</si>
  <si>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</si>
  <si>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</si>
  <si>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</si>
  <si>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</si>
  <si>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</si>
  <si>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</si>
  <si>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</si>
  <si>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</si>
  <si>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</si>
  <si>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</si>
  <si>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</si>
  <si>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</si>
  <si>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</si>
  <si>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</si>
  <si>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</si>
  <si>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</si>
  <si>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</si>
  <si>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</si>
  <si>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</si>
  <si>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</si>
  <si>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</si>
  <si>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</si>
  <si>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</si>
  <si>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</si>
  <si>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</si>
  <si>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</si>
  <si>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</si>
  <si>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</si>
  <si>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</si>
  <si>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</si>
  <si>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</si>
  <si>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</si>
  <si>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</si>
  <si>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</si>
  <si>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</si>
  <si>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</si>
  <si>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</si>
  <si>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</si>
  <si>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</si>
  <si>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</si>
  <si>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</si>
  <si>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</si>
  <si>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</si>
  <si>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</si>
  <si>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</si>
  <si>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</si>
  <si>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</si>
  <si>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</si>
  <si>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</si>
  <si>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</si>
  <si>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</si>
  <si>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</si>
  <si>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</si>
  <si>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</si>
  <si>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</si>
  <si>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</si>
  <si>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</si>
  <si>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</si>
  <si>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</si>
  <si>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</si>
  <si>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</si>
  <si>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</si>
  <si>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</si>
  <si>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</si>
  <si>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</si>
  <si>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</si>
  <si>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</si>
  <si>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</si>
  <si>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</si>
  <si>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</si>
  <si>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</si>
  <si>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</si>
  <si>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</si>
  <si>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</si>
  <si>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</si>
  <si>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</si>
  <si>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</si>
  <si>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</si>
  <si>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</si>
  <si>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</si>
  <si>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</si>
  <si>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</si>
  <si>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</si>
  <si>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</si>
  <si>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</si>
  <si>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</si>
  <si>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</si>
  <si>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</si>
  <si>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</si>
  <si>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</si>
  <si>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</si>
  <si>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</si>
  <si>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</si>
  <si>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</si>
  <si>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</si>
  <si>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</si>
  <si>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</si>
  <si>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</si>
  <si>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</si>
  <si>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</si>
  <si>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</si>
  <si>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</si>
  <si>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</si>
  <si>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</si>
  <si>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</si>
  <si>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</si>
  <si>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</si>
  <si>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</si>
  <si>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</si>
  <si>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</si>
  <si>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</si>
  <si>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</si>
  <si>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</si>
  <si>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</si>
  <si>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</si>
  <si>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</si>
  <si>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</si>
  <si>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</si>
  <si>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</si>
  <si>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</si>
  <si>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</si>
  <si>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</si>
  <si>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</si>
  <si>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</si>
  <si>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</si>
  <si>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</si>
  <si>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</si>
  <si>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</si>
  <si>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</si>
  <si>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</si>
  <si>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</si>
  <si>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</si>
  <si>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</si>
  <si>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</si>
  <si>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</si>
  <si>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</si>
  <si>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</si>
  <si>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</si>
  <si>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</si>
  <si>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</si>
  <si>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</si>
  <si>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</si>
  <si>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</si>
  <si>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</si>
  <si>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</si>
  <si>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</si>
  <si>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</si>
  <si>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</si>
  <si>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</si>
  <si>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</si>
  <si>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</si>
  <si>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</si>
  <si>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</si>
  <si>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</si>
  <si>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</si>
  <si>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</si>
  <si>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</si>
  <si>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</si>
  <si>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</si>
  <si>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</si>
  <si>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</si>
  <si>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</si>
  <si>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</si>
  <si>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</si>
  <si>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</si>
  <si>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</si>
  <si>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</si>
  <si>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</si>
  <si>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</si>
  <si>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</si>
  <si>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</si>
  <si>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</si>
  <si>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</si>
  <si>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</si>
  <si>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</si>
  <si>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</si>
  <si>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</si>
  <si>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</si>
  <si>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</si>
  <si>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</si>
  <si>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</si>
  <si>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</si>
  <si>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</si>
  <si>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</si>
  <si>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</si>
  <si>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</si>
  <si>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</si>
  <si>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</si>
  <si>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</si>
  <si>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</si>
  <si>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</si>
  <si>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</si>
  <si>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</si>
  <si>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</si>
  <si>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</si>
  <si>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</si>
  <si>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</si>
  <si>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</si>
  <si>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</si>
  <si>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</si>
  <si>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</si>
  <si>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</si>
  <si>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</si>
  <si>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</si>
  <si>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</si>
  <si>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</si>
  <si>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</si>
  <si>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</si>
  <si>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</si>
  <si>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</si>
  <si>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</si>
  <si>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</si>
  <si>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</si>
  <si>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</si>
  <si>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</si>
  <si>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</si>
  <si>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</si>
  <si>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</si>
  <si>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</si>
  <si>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</si>
  <si>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</si>
  <si>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</si>
  <si>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</si>
  <si>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</si>
  <si>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</si>
  <si>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</si>
  <si>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</si>
  <si>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</si>
  <si>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</si>
  <si>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</si>
  <si>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</si>
  <si>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</si>
  <si>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</si>
  <si>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</si>
  <si>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</si>
  <si>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</si>
  <si>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</si>
  <si>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</si>
  <si>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</si>
  <si>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</si>
  <si>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</si>
  <si>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</si>
  <si>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</si>
  <si>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</si>
  <si>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</si>
  <si>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</si>
  <si>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</si>
  <si>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</si>
  <si>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</si>
  <si>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</si>
  <si>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</si>
  <si>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</si>
  <si>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</si>
  <si>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</si>
  <si>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</si>
  <si>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</si>
  <si>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</si>
  <si>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</si>
  <si>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</si>
  <si>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</si>
  <si>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</si>
  <si>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</si>
  <si>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</si>
  <si>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</si>
  <si>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</si>
  <si>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</si>
  <si>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</si>
  <si>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</si>
  <si>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</si>
  <si>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</si>
  <si>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</si>
  <si>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</si>
  <si>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</si>
  <si>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</si>
  <si>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</si>
  <si>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</si>
  <si>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</si>
  <si>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</si>
  <si>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</si>
  <si>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</si>
  <si>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</si>
  <si>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</si>
  <si>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</si>
  <si>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</si>
  <si>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</si>
  <si>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</si>
  <si>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</si>
  <si>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</si>
  <si>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</si>
  <si>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</si>
  <si>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</si>
  <si>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</si>
  <si>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</si>
  <si>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</si>
  <si>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</si>
  <si>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</si>
  <si>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</si>
  <si>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</si>
  <si>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</si>
  <si>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</si>
  <si>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</si>
  <si>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</si>
  <si>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</si>
  <si>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</si>
  <si>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</si>
  <si>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</si>
  <si>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</si>
  <si>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</si>
  <si>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</si>
  <si>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</si>
  <si>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</si>
  <si>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</si>
  <si>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</si>
  <si>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</si>
  <si>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</si>
  <si>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</si>
  <si>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</si>
  <si>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</si>
  <si>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</si>
  <si>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</si>
  <si>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</si>
  <si>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</si>
  <si>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</si>
  <si>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</si>
  <si>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</si>
  <si>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</si>
  <si>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</si>
  <si>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</si>
  <si>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</si>
  <si>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</si>
  <si>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</si>
  <si>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</si>
  <si>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</si>
  <si>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</si>
  <si>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</si>
  <si>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</si>
  <si>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</si>
  <si>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</si>
  <si>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</si>
  <si>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</si>
  <si>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</si>
  <si>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</si>
  <si>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</si>
  <si>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</si>
  <si>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</si>
  <si>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</si>
  <si>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</si>
  <si>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</si>
  <si>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</si>
  <si>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</si>
  <si>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</si>
  <si>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</si>
  <si>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</si>
  <si>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</si>
  <si>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</si>
  <si>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</si>
  <si>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</si>
  <si>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</si>
  <si>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</si>
  <si>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</si>
  <si>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</si>
  <si>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</si>
  <si>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</si>
  <si>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</si>
  <si>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</si>
  <si>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</si>
  <si>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</si>
  <si>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</si>
  <si>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</si>
  <si>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</si>
  <si>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</si>
  <si>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</si>
  <si>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</si>
  <si>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</si>
  <si>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</si>
  <si>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</si>
  <si>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</si>
  <si>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</si>
  <si>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</si>
  <si>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</si>
  <si>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</si>
  <si>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</si>
  <si>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</si>
  <si>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</si>
  <si>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</si>
  <si>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</si>
  <si>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</si>
  <si>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</si>
  <si>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</si>
  <si>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</si>
  <si>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</si>
  <si>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</si>
  <si>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</si>
  <si>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</si>
  <si>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</si>
  <si>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</si>
  <si>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</si>
  <si>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</si>
  <si>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</si>
  <si>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</si>
  <si>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</si>
  <si>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</si>
  <si>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</si>
  <si>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</si>
  <si>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</si>
  <si>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</si>
  <si>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</si>
  <si>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</si>
  <si>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</si>
  <si>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</si>
  <si>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</si>
  <si>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</si>
  <si>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</si>
  <si>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</si>
  <si>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</si>
  <si>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</si>
  <si>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</si>
  <si>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</si>
  <si>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</si>
  <si>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</si>
  <si>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</si>
  <si>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</si>
  <si>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</si>
  <si>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</si>
  <si>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</si>
  <si>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</si>
  <si>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</si>
  <si>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</si>
  <si>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</si>
  <si>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</si>
  <si>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</si>
  <si>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</si>
  <si>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</si>
  <si>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</si>
  <si>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</si>
  <si>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</si>
  <si>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</si>
  <si>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</si>
  <si>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</si>
  <si>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</si>
  <si>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</si>
  <si>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</si>
  <si>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</si>
  <si>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</si>
  <si>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</si>
  <si>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</si>
  <si>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</si>
  <si>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</si>
  <si>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</si>
  <si>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</si>
  <si>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</si>
  <si>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</si>
  <si>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</si>
  <si>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</si>
  <si>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</si>
  <si>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</si>
  <si>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</si>
  <si>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</si>
  <si>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</si>
  <si>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</si>
  <si>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</si>
  <si>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</si>
  <si>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</si>
  <si>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</si>
  <si>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</si>
  <si>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</si>
  <si>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</si>
  <si>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</si>
  <si>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</si>
  <si>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</si>
  <si>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</si>
  <si>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</si>
  <si>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</si>
  <si>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</si>
  <si>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</si>
  <si>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</si>
  <si>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</si>
  <si>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</si>
  <si>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</si>
  <si>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</si>
  <si>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</si>
  <si>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</si>
  <si>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</si>
  <si>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</si>
  <si>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</si>
  <si>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</si>
  <si>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</si>
  <si>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</si>
  <si>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</si>
  <si>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</si>
  <si>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</si>
  <si>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</si>
  <si>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</si>
  <si>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</si>
  <si>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</si>
  <si>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</si>
  <si>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</si>
  <si>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</si>
  <si>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</si>
  <si>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</si>
  <si>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</si>
  <si>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</si>
  <si>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</si>
  <si>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</si>
  <si>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</si>
  <si>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</si>
  <si>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</si>
  <si>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</si>
  <si>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</si>
  <si>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</si>
  <si>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</si>
  <si>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</si>
  <si>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</si>
  <si>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</si>
  <si>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</si>
  <si>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</si>
  <si>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</si>
  <si>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</si>
  <si>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</si>
  <si>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</si>
  <si>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</si>
  <si>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</si>
  <si>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</si>
  <si>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</si>
  <si>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</si>
  <si>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</si>
  <si>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</si>
  <si>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</si>
  <si>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</si>
  <si>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</si>
  <si>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</si>
  <si>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</si>
  <si>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</si>
  <si>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</si>
  <si>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</si>
  <si>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</si>
  <si>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</si>
  <si>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</si>
  <si>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</si>
  <si>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</si>
  <si>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</si>
  <si>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</si>
  <si>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</si>
  <si>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</si>
  <si>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</si>
  <si>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</si>
  <si>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</si>
  <si>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</si>
  <si>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</si>
  <si>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</si>
  <si>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</si>
  <si>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</si>
  <si>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</si>
  <si>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</si>
  <si>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</si>
  <si>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</si>
  <si>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</si>
  <si>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</si>
  <si>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</si>
  <si>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</si>
  <si>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</si>
  <si>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</si>
  <si>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</si>
  <si>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</si>
  <si>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</si>
  <si>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</si>
  <si>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</si>
  <si>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</si>
  <si>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</si>
  <si>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</si>
  <si>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</si>
  <si>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</si>
  <si>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</si>
  <si>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</si>
  <si>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</si>
  <si>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</si>
  <si>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</si>
  <si>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</si>
  <si>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</si>
  <si>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</si>
  <si>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</si>
  <si>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</si>
  <si>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</si>
  <si>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</si>
  <si>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</si>
  <si>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</si>
  <si>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</si>
  <si>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</si>
  <si>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</si>
  <si>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</si>
  <si>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</si>
  <si>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</si>
  <si>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</si>
  <si>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</si>
  <si>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</si>
  <si>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</si>
  <si>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</si>
  <si>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</si>
  <si>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</si>
  <si>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</si>
  <si>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</si>
  <si>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</si>
  <si>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</si>
  <si>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</si>
  <si>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</si>
  <si>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</si>
  <si>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</si>
  <si>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</si>
  <si>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</si>
  <si>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</si>
  <si>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</si>
  <si>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</si>
  <si>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</si>
  <si>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</si>
  <si>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</si>
  <si>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</si>
  <si>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</si>
  <si>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</si>
  <si>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</si>
  <si>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</si>
  <si>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</si>
  <si>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</si>
  <si>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</si>
  <si>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</si>
  <si>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</si>
  <si>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</si>
  <si>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</si>
  <si>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</si>
  <si>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</si>
  <si>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</si>
  <si>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</si>
  <si>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</si>
  <si>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</si>
  <si>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</si>
  <si>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</si>
  <si>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</si>
  <si>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</si>
  <si>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</si>
  <si>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</si>
  <si>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</si>
  <si>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</si>
  <si>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</si>
  <si>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</si>
  <si>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</si>
  <si>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</si>
  <si>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</si>
  <si>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</si>
  <si>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</si>
  <si>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</si>
  <si>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</si>
  <si>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</si>
  <si>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</si>
  <si>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</si>
  <si>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</si>
  <si>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</si>
  <si>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</si>
  <si>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</si>
  <si>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</si>
  <si>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</si>
  <si>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</si>
  <si>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</si>
  <si>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</si>
  <si>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</si>
  <si>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</si>
  <si>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</si>
  <si>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</si>
  <si>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</si>
  <si>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</si>
  <si>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</si>
  <si>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</si>
  <si>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</si>
  <si>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</si>
  <si>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</si>
  <si>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</si>
  <si>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</si>
  <si>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</si>
  <si>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</si>
  <si>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</si>
  <si>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</si>
  <si>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</si>
  <si>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</si>
  <si>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</si>
  <si>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</si>
  <si>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</si>
  <si>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</si>
  <si>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</si>
  <si>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</si>
  <si>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</si>
  <si>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</si>
  <si>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</si>
  <si>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</si>
  <si>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</si>
  <si>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</si>
  <si>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</si>
  <si>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</si>
  <si>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</si>
  <si>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</si>
  <si>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</si>
  <si>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</si>
  <si>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</si>
  <si>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</si>
  <si>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</si>
  <si>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</si>
  <si>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</si>
  <si>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</si>
  <si>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</si>
  <si>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</si>
  <si>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</si>
  <si>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</si>
  <si>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</si>
  <si>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</si>
  <si>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</si>
  <si>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</si>
  <si>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</si>
  <si>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</si>
  <si>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</si>
  <si>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</si>
  <si>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</si>
  <si>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</si>
  <si>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</si>
  <si>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</si>
  <si>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</si>
  <si>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</si>
  <si>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</si>
  <si>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</si>
  <si>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</si>
  <si>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</si>
  <si>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</si>
  <si>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</si>
  <si>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</si>
  <si>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</si>
  <si>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</si>
  <si>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</si>
  <si>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</si>
  <si>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</si>
  <si>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</si>
  <si>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</si>
  <si>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</si>
  <si>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</si>
  <si>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</si>
  <si>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</si>
  <si>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</si>
  <si>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</si>
  <si>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</si>
  <si>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</si>
  <si>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</si>
  <si>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</si>
  <si>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</si>
  <si>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</si>
  <si>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</si>
  <si>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</si>
  <si>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</si>
  <si>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</si>
  <si>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</si>
  <si>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</si>
  <si>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</si>
  <si>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</si>
  <si>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</si>
  <si>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</si>
  <si>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</si>
  <si>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</si>
  <si>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</si>
  <si>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</si>
  <si>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</si>
  <si>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</si>
  <si>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</si>
  <si>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</si>
  <si>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</si>
  <si>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</si>
  <si>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</si>
  <si>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</si>
  <si>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</si>
  <si>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</si>
  <si>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</si>
  <si>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</si>
  <si>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</si>
  <si>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</si>
  <si>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</si>
  <si>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</si>
  <si>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</si>
  <si>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</si>
  <si>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</si>
  <si>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</si>
  <si>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</si>
  <si>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</si>
  <si>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</si>
  <si>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</si>
  <si>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</si>
  <si>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</si>
  <si>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</si>
  <si>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</si>
  <si>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</si>
  <si>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</si>
  <si>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</si>
  <si>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</si>
  <si>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</si>
  <si>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</si>
  <si>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</si>
  <si>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</si>
  <si>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</si>
  <si>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</si>
  <si>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</si>
  <si>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</si>
  <si>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</si>
  <si>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</si>
  <si>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</si>
  <si>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</si>
  <si>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</si>
  <si>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</si>
  <si>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</si>
  <si>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</si>
  <si>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</si>
  <si>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</si>
  <si>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</si>
  <si>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</si>
  <si>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</si>
  <si>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</si>
  <si>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</si>
  <si>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</si>
  <si>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</si>
  <si>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</si>
  <si>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</si>
  <si>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</si>
  <si>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</si>
  <si>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</si>
  <si>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</si>
  <si>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</si>
  <si>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</si>
  <si>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</si>
  <si>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</si>
  <si>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</si>
  <si>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</si>
  <si>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</si>
  <si>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</si>
  <si>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</si>
  <si>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</si>
  <si>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</si>
  <si>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</si>
  <si>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</si>
  <si>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</si>
  <si>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</si>
  <si>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</si>
  <si>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</si>
  <si>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</si>
  <si>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</si>
  <si>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</si>
  <si>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</si>
  <si>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</si>
  <si>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</si>
  <si>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</si>
  <si>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</si>
  <si>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</si>
  <si>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</si>
  <si>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</si>
  <si>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</si>
  <si>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</si>
  <si>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</si>
  <si>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</si>
  <si>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</si>
  <si>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</si>
  <si>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</si>
  <si>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</si>
  <si>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</si>
  <si>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</si>
  <si>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</si>
  <si>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</si>
  <si>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</si>
  <si>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</si>
  <si>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</si>
  <si>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</si>
  <si>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</si>
  <si>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</si>
  <si>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</si>
  <si>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</si>
  <si>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</si>
  <si>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</si>
  <si>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</si>
  <si>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</si>
  <si>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</si>
  <si>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</si>
  <si>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</si>
  <si>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</si>
  <si>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</si>
  <si>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</si>
  <si>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</si>
  <si>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</si>
  <si>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</si>
  <si>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</si>
  <si>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</si>
  <si>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</si>
  <si>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</si>
  <si>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</si>
  <si>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</si>
  <si>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</si>
  <si>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</si>
  <si>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</si>
  <si>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</si>
  <si>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</si>
  <si>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</si>
  <si>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</si>
  <si>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</si>
  <si>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</si>
  <si>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</si>
  <si>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</si>
  <si>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</si>
  <si>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</si>
  <si>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</si>
  <si>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</si>
  <si>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</si>
  <si>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</si>
  <si>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</si>
  <si>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</si>
  <si>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</si>
  <si>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</si>
  <si>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</si>
  <si>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</si>
  <si>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</si>
  <si>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</si>
  <si>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</si>
  <si>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</si>
  <si>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</si>
  <si>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</si>
  <si>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</si>
  <si>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</si>
  <si>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</si>
  <si>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</si>
  <si>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</si>
  <si>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</si>
  <si>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</si>
  <si>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</si>
  <si>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</si>
  <si>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</si>
  <si>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</si>
  <si>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</si>
  <si>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</si>
  <si>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</si>
  <si>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</si>
  <si>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</si>
  <si>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</si>
  <si>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</si>
  <si>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</si>
  <si>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</si>
  <si>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</si>
  <si>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</si>
  <si>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</si>
  <si>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</si>
  <si>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</si>
  <si>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</si>
  <si>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</si>
  <si>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</si>
  <si>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</si>
  <si>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</si>
  <si>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</si>
  <si>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</si>
  <si>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</si>
  <si>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</si>
  <si>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</si>
  <si>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</si>
  <si>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</si>
  <si>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</si>
  <si>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</si>
  <si>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</si>
  <si>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</si>
  <si>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</si>
  <si>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</si>
  <si>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</si>
  <si>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</si>
  <si>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</si>
  <si>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</si>
  <si>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</si>
  <si>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</si>
  <si>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</si>
  <si>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</si>
  <si>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</si>
  <si>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</si>
  <si>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</si>
  <si>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</si>
  <si>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</si>
  <si>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</si>
  <si>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</si>
  <si>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</si>
  <si>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</si>
  <si>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</si>
  <si>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</si>
  <si>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</si>
  <si>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</si>
  <si>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</si>
  <si>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</si>
  <si>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</si>
  <si>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</si>
  <si>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</si>
  <si>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</si>
  <si>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</si>
  <si>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</si>
  <si>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</si>
  <si>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</si>
  <si>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</si>
  <si>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</si>
  <si>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</si>
  <si>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</si>
  <si>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</si>
  <si>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</si>
  <si>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</si>
  <si>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</si>
  <si>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</si>
  <si>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</si>
  <si>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</si>
  <si>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</si>
  <si>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</si>
  <si>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</si>
  <si>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</si>
  <si>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</si>
  <si>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</si>
  <si>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</si>
  <si>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</si>
  <si>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</si>
  <si>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</si>
  <si>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</si>
  <si>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</si>
  <si>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</si>
  <si>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</si>
  <si>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</si>
  <si>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</si>
  <si>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</si>
  <si>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</si>
  <si>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</si>
  <si>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</si>
  <si>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</si>
  <si>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</si>
  <si>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</si>
  <si>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</si>
  <si>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</si>
  <si>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</si>
  <si>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</si>
  <si>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</si>
  <si>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</si>
  <si>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</si>
  <si>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</si>
  <si>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</si>
  <si>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</si>
  <si>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</si>
  <si>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</si>
  <si>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</si>
  <si>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</si>
  <si>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</si>
  <si>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</si>
  <si>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</si>
  <si>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</si>
  <si>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</si>
  <si>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</si>
  <si>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</si>
  <si>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</si>
  <si>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</si>
  <si>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</si>
  <si>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</si>
  <si>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</si>
  <si>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</si>
  <si>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</si>
  <si>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</si>
  <si>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</si>
  <si>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</si>
  <si>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</si>
  <si>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</si>
  <si>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</si>
  <si>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</si>
  <si>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</si>
  <si>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</si>
  <si>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</si>
  <si>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</si>
  <si>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</si>
  <si>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</si>
  <si>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</si>
  <si>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</si>
  <si>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</si>
  <si>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</si>
  <si>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</si>
  <si>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</si>
  <si>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</si>
  <si>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</si>
  <si>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</si>
  <si>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</si>
  <si>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</si>
  <si>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</si>
  <si>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</si>
  <si>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</si>
  <si>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</si>
  <si>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</si>
  <si>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</si>
  <si>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</si>
  <si>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</si>
  <si>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</si>
  <si>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</si>
  <si>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</si>
  <si>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</si>
  <si>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</si>
  <si>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</si>
  <si>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</si>
  <si>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</si>
  <si>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</si>
  <si>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</si>
  <si>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</si>
  <si>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</si>
  <si>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</si>
  <si>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</si>
  <si>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</si>
  <si>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</si>
  <si>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</si>
  <si>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</si>
  <si>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</si>
  <si>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</si>
  <si>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</si>
  <si>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</si>
  <si>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</si>
  <si>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</si>
  <si>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</si>
  <si>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</si>
  <si>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</si>
  <si>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</si>
  <si>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</si>
  <si>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</si>
  <si>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</si>
  <si>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</si>
  <si>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</si>
  <si>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</si>
  <si>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</si>
  <si>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</si>
  <si>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</si>
  <si>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</si>
  <si>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</si>
  <si>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</si>
  <si>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</si>
  <si>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</si>
  <si>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</si>
  <si>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</si>
  <si>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</si>
  <si>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</si>
  <si>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</si>
  <si>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</si>
  <si>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</si>
  <si>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</si>
  <si>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</si>
  <si>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</si>
  <si>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</si>
  <si>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</si>
  <si>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</si>
  <si>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</si>
  <si>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</si>
  <si>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</si>
  <si>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</si>
  <si>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</si>
  <si>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</si>
  <si>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</si>
  <si>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</si>
  <si>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</si>
  <si>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</si>
  <si>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</si>
  <si>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</si>
  <si>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</si>
  <si>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</si>
  <si>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</si>
  <si>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</si>
  <si>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</si>
  <si>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</si>
  <si>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</si>
  <si>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</si>
  <si>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</si>
  <si>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</si>
  <si>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</si>
  <si>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</si>
  <si>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</si>
  <si>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</si>
  <si>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</si>
  <si>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</si>
  <si>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</si>
  <si>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</si>
  <si>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</si>
  <si>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</si>
  <si>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</si>
  <si>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</si>
  <si>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</si>
  <si>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</si>
  <si>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</si>
  <si>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</si>
  <si>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</si>
  <si>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</si>
  <si>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</si>
  <si>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</si>
  <si>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</si>
  <si>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</si>
  <si>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</si>
  <si>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</si>
  <si>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</si>
  <si>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</si>
  <si>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</si>
  <si>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</si>
  <si>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</si>
  <si>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</si>
  <si>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</si>
  <si>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</si>
  <si>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</si>
  <si>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</si>
  <si>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</si>
  <si>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</si>
  <si>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</si>
  <si>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</si>
  <si>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</si>
  <si>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</si>
  <si>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</si>
  <si>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</si>
  <si>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</si>
  <si>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</si>
  <si>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</si>
  <si>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</si>
  <si>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</si>
  <si>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</si>
  <si>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</si>
  <si>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</si>
  <si>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</si>
  <si>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</si>
  <si>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</si>
  <si>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</si>
  <si>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</si>
  <si>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</si>
  <si>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</si>
  <si>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</si>
  <si>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</si>
  <si>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</si>
  <si>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</si>
  <si>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</si>
  <si>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</si>
  <si>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</si>
  <si>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</si>
  <si>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</si>
  <si>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</si>
  <si>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</si>
  <si>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</si>
  <si>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</si>
  <si>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</si>
  <si>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</si>
  <si>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</si>
  <si>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</si>
  <si>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</si>
  <si>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</si>
  <si>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</si>
  <si>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</si>
  <si>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</si>
  <si>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</si>
  <si>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</si>
  <si>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</si>
  <si>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</si>
  <si>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</si>
  <si>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</si>
  <si>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</si>
  <si>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</si>
  <si>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</si>
  <si>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</si>
  <si>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</si>
  <si>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</si>
  <si>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</si>
  <si>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</si>
  <si>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</si>
  <si>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</si>
  <si>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</si>
  <si>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</si>
  <si>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</si>
  <si>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</si>
  <si>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</si>
  <si>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</si>
  <si>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</si>
  <si>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</si>
  <si>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</si>
  <si>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</si>
  <si>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</si>
  <si>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</si>
  <si>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</si>
  <si>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</si>
  <si>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</si>
  <si>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</si>
  <si>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</si>
  <si>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</si>
  <si>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</si>
  <si>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</si>
  <si>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</si>
  <si>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</si>
  <si>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</si>
  <si>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</si>
  <si>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</si>
  <si>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</si>
  <si>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</si>
  <si>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</si>
  <si>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</si>
  <si>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</si>
  <si>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</si>
  <si>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</si>
  <si>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</si>
  <si>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</si>
  <si>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</si>
  <si>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</si>
  <si>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</si>
  <si>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</si>
  <si>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</si>
  <si>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</si>
  <si>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</si>
  <si>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</si>
  <si>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</si>
  <si>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</si>
  <si>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</si>
  <si>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</si>
  <si>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</si>
  <si>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</si>
  <si>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</si>
  <si>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</si>
  <si>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</si>
  <si>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</si>
  <si>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</si>
  <si>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</si>
  <si>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</si>
  <si>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</si>
  <si>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</si>
  <si>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</si>
  <si>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</si>
  <si>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</si>
  <si>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</si>
  <si>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</si>
  <si>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</si>
  <si>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</si>
  <si>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</si>
  <si>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</si>
  <si>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</si>
  <si>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</si>
  <si>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</si>
  <si>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</si>
  <si>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</si>
  <si>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</si>
  <si>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</si>
  <si>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</si>
  <si>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</si>
  <si>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</si>
  <si>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</si>
  <si>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</si>
  <si>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</si>
  <si>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</si>
  <si>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</si>
  <si>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</si>
  <si>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</si>
  <si>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</si>
  <si>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</si>
  <si>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</si>
  <si>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</si>
  <si>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</si>
  <si>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</si>
  <si>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</si>
  <si>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</si>
  <si>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</si>
  <si>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</si>
  <si>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</si>
  <si>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</si>
  <si>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</si>
  <si>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</si>
  <si>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</si>
  <si>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</si>
  <si>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</si>
  <si>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</si>
  <si>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</si>
  <si>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</si>
  <si>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</si>
  <si>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</si>
  <si>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</si>
  <si>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</si>
  <si>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</si>
  <si>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</si>
  <si>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</si>
  <si>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</si>
  <si>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</si>
  <si>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</si>
  <si>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</si>
  <si>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</si>
  <si>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</si>
  <si>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</si>
  <si>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</si>
  <si>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</si>
  <si>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</si>
  <si>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</si>
  <si>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</si>
  <si>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</si>
  <si>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</si>
  <si>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</si>
  <si>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</si>
  <si>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</si>
  <si>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</si>
  <si>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</si>
  <si>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</si>
  <si>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</si>
  <si>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</si>
  <si>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</si>
  <si>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</si>
  <si>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</si>
  <si>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</si>
  <si>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</si>
  <si>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</si>
  <si>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</si>
  <si>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</si>
  <si>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</si>
  <si>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</si>
  <si>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</si>
  <si>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</si>
  <si>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</si>
  <si>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</si>
  <si>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</si>
  <si>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</si>
  <si>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</si>
  <si>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</si>
  <si>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</si>
  <si>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</si>
  <si>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</si>
  <si>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</si>
  <si>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</si>
  <si>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</si>
  <si>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</si>
  <si>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</si>
  <si>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</si>
  <si>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</si>
  <si>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</si>
  <si>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</si>
  <si>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</si>
  <si>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</si>
  <si>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</si>
  <si>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</si>
  <si>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</si>
  <si>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</si>
  <si>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</si>
  <si>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</si>
  <si>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</si>
  <si>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</si>
  <si>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</si>
  <si>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</si>
  <si>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</si>
  <si>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</si>
  <si>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</si>
  <si>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</si>
  <si>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</si>
  <si>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</si>
  <si>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</si>
  <si>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</si>
  <si>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</si>
  <si>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</si>
  <si>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</si>
  <si>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</si>
  <si>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</si>
  <si>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</si>
  <si>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</si>
  <si>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</si>
  <si>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</si>
  <si>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</si>
  <si>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</si>
  <si>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</si>
  <si>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</si>
  <si>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</si>
  <si>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</si>
  <si>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</si>
  <si>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</si>
  <si>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</si>
  <si>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</si>
  <si>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</si>
  <si>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</si>
  <si>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</si>
  <si>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</si>
  <si>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</si>
  <si>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</si>
  <si>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</si>
  <si>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</si>
  <si>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</si>
  <si>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</si>
  <si>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</si>
  <si>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</si>
  <si>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</si>
  <si>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</si>
  <si>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</si>
  <si>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</si>
  <si>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</si>
  <si>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</si>
  <si>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</si>
  <si>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</si>
  <si>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</si>
  <si>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</si>
  <si>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</si>
  <si>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</si>
  <si>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</si>
  <si>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</si>
  <si>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</si>
  <si>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</si>
  <si>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</si>
  <si>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</si>
  <si>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</si>
  <si>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</si>
  <si>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</si>
  <si>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</si>
  <si>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</si>
  <si>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</si>
  <si>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</si>
  <si>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</si>
  <si>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</si>
  <si>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</si>
  <si>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</si>
  <si>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</si>
  <si>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</si>
  <si>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</si>
  <si>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</si>
  <si>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</si>
  <si>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</si>
  <si>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</si>
  <si>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</si>
  <si>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</si>
  <si>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</si>
  <si>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</si>
  <si>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</si>
  <si>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</si>
  <si>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</si>
  <si>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</si>
  <si>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</si>
  <si>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</si>
  <si>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</si>
  <si>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</si>
  <si>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</si>
  <si>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</si>
  <si>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</si>
  <si>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</si>
  <si>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</si>
  <si>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</si>
  <si>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</si>
  <si>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</si>
  <si>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</si>
  <si>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</si>
  <si>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</si>
  <si>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</si>
  <si>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</si>
  <si>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</si>
  <si>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</si>
  <si>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</si>
  <si>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</si>
  <si>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</si>
  <si>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</si>
  <si>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</si>
  <si>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</si>
  <si>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</si>
  <si>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</si>
  <si>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</si>
  <si>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</si>
  <si>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</si>
  <si>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</si>
  <si>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</si>
  <si>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</si>
  <si>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</si>
  <si>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</si>
  <si>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</si>
  <si>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</si>
  <si>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</si>
  <si>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</si>
  <si>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</si>
  <si>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</si>
  <si>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</si>
  <si>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</si>
  <si>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</si>
  <si>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</si>
  <si>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</si>
  <si>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</si>
  <si>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</si>
  <si>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</si>
  <si>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</si>
  <si>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</si>
  <si>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</si>
  <si>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</si>
  <si>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</si>
  <si>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</si>
  <si>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</si>
  <si>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</si>
  <si>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</si>
  <si>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</si>
  <si>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</si>
  <si>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</si>
  <si>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</si>
  <si>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</si>
  <si>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</si>
  <si>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</si>
  <si>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</si>
  <si>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</si>
  <si>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</si>
  <si>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</si>
  <si>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</si>
  <si>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</si>
  <si>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</si>
  <si>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</si>
  <si>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</si>
  <si>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</si>
  <si>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</si>
  <si>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</si>
  <si>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</si>
  <si>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</si>
  <si>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</si>
  <si>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</si>
  <si>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</si>
  <si>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</si>
  <si>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</si>
  <si>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</si>
  <si>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</si>
  <si>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</si>
  <si>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</si>
  <si>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</si>
  <si>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</si>
  <si>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</si>
  <si>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</si>
  <si>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</si>
  <si>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</si>
  <si>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</si>
  <si>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</si>
  <si>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</si>
  <si>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</si>
  <si>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</si>
  <si>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</si>
  <si>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</si>
  <si>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</si>
  <si>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</si>
  <si>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</si>
  <si>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</si>
  <si>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</si>
  <si>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</si>
  <si>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</si>
  <si>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</si>
  <si>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</si>
  <si>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</si>
  <si>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</si>
  <si>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</si>
  <si>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</si>
  <si>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</si>
  <si>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</si>
  <si>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</si>
  <si>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</si>
  <si>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</si>
  <si>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</si>
  <si>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</si>
  <si>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</si>
  <si>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</si>
  <si>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</si>
  <si>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</si>
  <si>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</si>
  <si>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</si>
  <si>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</si>
  <si>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</si>
  <si>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</si>
  <si>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</si>
  <si>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</si>
  <si>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</si>
  <si>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</si>
  <si>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</si>
  <si>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</si>
  <si>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</si>
  <si>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</si>
  <si>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</si>
  <si>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</si>
  <si>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</si>
  <si>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</si>
  <si>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</si>
  <si>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</si>
  <si>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</si>
  <si>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</si>
  <si>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</si>
  <si>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</si>
  <si>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</si>
  <si>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</si>
  <si>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</si>
  <si>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</si>
  <si>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</si>
  <si>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</si>
  <si>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</si>
  <si>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</si>
  <si>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</si>
  <si>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</si>
  <si>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</si>
  <si>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</si>
  <si>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</si>
  <si>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</si>
  <si>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</si>
  <si>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</si>
  <si>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</si>
  <si>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</si>
  <si>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</si>
  <si>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</si>
  <si>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</si>
  <si>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</si>
  <si>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</si>
  <si>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</si>
  <si>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</si>
  <si>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</si>
  <si>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</si>
  <si>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</si>
  <si>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</si>
  <si>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</si>
  <si>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</si>
  <si>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</si>
  <si>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</si>
  <si>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</si>
  <si>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</si>
  <si>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</si>
  <si>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</si>
  <si>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</si>
  <si>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</si>
  <si>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</si>
  <si>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</si>
  <si>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</si>
  <si>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</si>
  <si>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</si>
  <si>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</si>
  <si>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</si>
  <si>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</si>
  <si>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</si>
  <si>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</si>
  <si>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</si>
  <si>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</si>
  <si>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</si>
  <si>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</si>
  <si>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</si>
  <si>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</si>
  <si>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</si>
  <si>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</si>
  <si>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</si>
  <si>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</si>
  <si>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</si>
  <si>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</si>
  <si>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</si>
  <si>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</si>
  <si>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</si>
  <si>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</si>
  <si>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</si>
  <si>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</si>
  <si>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</si>
  <si>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</si>
  <si>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</si>
  <si>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</si>
  <si>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</si>
  <si>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</si>
  <si>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</si>
  <si>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</si>
  <si>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</si>
  <si>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</si>
  <si>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</si>
  <si>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</si>
  <si>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</si>
  <si>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</si>
  <si>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</si>
  <si>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</si>
  <si>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</si>
  <si>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</si>
  <si>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</si>
  <si>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</si>
  <si>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</si>
  <si>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</si>
  <si>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</si>
  <si>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</si>
  <si>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</si>
  <si>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</si>
  <si>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</si>
  <si>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</si>
  <si>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</si>
  <si>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</si>
  <si>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</si>
  <si>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</si>
  <si>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</si>
  <si>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</si>
  <si>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</si>
  <si>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</si>
  <si>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</si>
  <si>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</si>
  <si>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</si>
  <si>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</si>
  <si>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</si>
  <si>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</si>
  <si>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</si>
  <si>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</si>
  <si>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</si>
  <si>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</si>
  <si>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</si>
  <si>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</si>
  <si>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</si>
  <si>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</si>
  <si>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</si>
  <si>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</si>
  <si>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</si>
  <si>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</si>
  <si>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</si>
  <si>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</si>
  <si>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</si>
  <si>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</si>
  <si>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</si>
  <si>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</si>
  <si>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</si>
  <si>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</si>
  <si>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</si>
  <si>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</si>
  <si>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</si>
  <si>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</si>
  <si>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</si>
  <si>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</si>
  <si>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</si>
  <si>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</si>
  <si>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</si>
  <si>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</si>
  <si>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</si>
  <si>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</si>
  <si>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</si>
  <si>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</si>
  <si>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</si>
  <si>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</si>
  <si>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</si>
  <si>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</si>
  <si>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</si>
  <si>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</si>
  <si>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</si>
  <si>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</si>
  <si>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</si>
  <si>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</si>
  <si>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</si>
  <si>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</si>
  <si>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</si>
  <si>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</si>
  <si>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</si>
  <si>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</si>
  <si>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</si>
  <si>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</si>
  <si>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</si>
  <si>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</si>
  <si>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</si>
  <si>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</si>
  <si>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</si>
  <si>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</si>
  <si>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</si>
  <si>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</si>
  <si>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</si>
  <si>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</si>
  <si>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</si>
  <si>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</si>
  <si>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</si>
  <si>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</si>
  <si>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</si>
  <si>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</si>
  <si>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</si>
  <si>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</si>
  <si>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</si>
  <si>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</si>
  <si>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</si>
  <si>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</si>
  <si>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</si>
  <si>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</si>
  <si>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</si>
  <si>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</si>
  <si>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</si>
  <si>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</si>
  <si>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</si>
  <si>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</si>
  <si>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</si>
  <si>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</si>
  <si>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</si>
  <si>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</si>
  <si>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</si>
  <si>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</si>
  <si>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</si>
  <si>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</si>
  <si>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</si>
  <si>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</si>
  <si>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</si>
  <si>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</si>
  <si>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</si>
  <si>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</si>
  <si>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</si>
  <si>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</si>
  <si>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</si>
  <si>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</si>
  <si>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</si>
  <si>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</si>
  <si>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</si>
  <si>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</si>
  <si>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</si>
  <si>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</si>
  <si>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</si>
  <si>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</si>
  <si>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</si>
  <si>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</si>
  <si>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</si>
  <si>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</si>
  <si>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</si>
  <si>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</si>
  <si>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</si>
  <si>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</si>
  <si>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</si>
  <si>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</si>
  <si>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</si>
  <si>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</si>
  <si>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</si>
  <si>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</si>
  <si>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</si>
  <si>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</si>
  <si>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</si>
  <si>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</si>
  <si>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</si>
  <si>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</si>
  <si>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</si>
  <si>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</si>
  <si>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</si>
  <si>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</si>
  <si>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</si>
  <si>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</si>
  <si>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</si>
  <si>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</si>
  <si>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</si>
  <si>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</si>
  <si>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</si>
  <si>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</si>
  <si>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</si>
  <si>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</si>
  <si>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</si>
  <si>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</si>
  <si>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</si>
  <si>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</si>
  <si>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</si>
  <si>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</si>
  <si>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</si>
  <si>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</si>
  <si>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</si>
  <si>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</si>
  <si>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</si>
  <si>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</si>
  <si>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</si>
  <si>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</si>
  <si>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</si>
  <si>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</si>
  <si>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</si>
  <si>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</si>
  <si>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</si>
  <si>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</si>
  <si>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</si>
  <si>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</si>
  <si>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</si>
  <si>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</si>
  <si>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</si>
  <si>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</si>
  <si>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</si>
  <si>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</si>
  <si>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</si>
  <si>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</si>
  <si>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</si>
  <si>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</si>
  <si>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</si>
  <si>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</si>
  <si>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</si>
  <si>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</si>
  <si>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</si>
  <si>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</si>
  <si>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</si>
  <si>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</si>
  <si>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</si>
  <si>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</si>
  <si>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</si>
  <si>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</si>
  <si>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</si>
  <si>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</si>
  <si>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</si>
  <si>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</si>
  <si>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</si>
  <si>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</si>
  <si>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</si>
  <si>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</si>
  <si>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</si>
  <si>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</si>
  <si>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</si>
  <si>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</si>
  <si>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</si>
  <si>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</si>
  <si>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</si>
  <si>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</si>
  <si>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</si>
  <si>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</si>
  <si>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</si>
  <si>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</si>
  <si>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</si>
  <si>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</si>
  <si>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</si>
  <si>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</si>
  <si>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</si>
  <si>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</si>
  <si>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</si>
  <si>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</si>
  <si>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</si>
  <si>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</si>
  <si>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</si>
  <si>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</si>
  <si>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</si>
  <si>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</si>
  <si>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</si>
  <si>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</si>
  <si>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</si>
  <si>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</si>
  <si>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</si>
  <si>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</si>
  <si>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</si>
  <si>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</si>
  <si>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</si>
  <si>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</si>
  <si>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</si>
  <si>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</si>
  <si>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</si>
  <si>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</si>
  <si>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</si>
  <si>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</si>
  <si>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</si>
  <si>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</si>
  <si>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</si>
  <si>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</si>
  <si>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</si>
  <si>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</si>
  <si>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</si>
  <si>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</si>
  <si>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</si>
  <si>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</si>
  <si>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</si>
  <si>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</si>
  <si>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</si>
  <si>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</si>
  <si>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</si>
  <si>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</si>
  <si>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</si>
  <si>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</si>
  <si>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</si>
  <si>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</si>
  <si>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</si>
  <si>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</si>
  <si>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</si>
  <si>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</si>
  <si>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</si>
  <si>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</si>
  <si>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</si>
  <si>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</si>
  <si>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</si>
  <si>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</si>
  <si>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</si>
  <si>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</si>
  <si>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</si>
  <si>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</si>
  <si>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</si>
  <si>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</si>
  <si>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</si>
  <si>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</si>
  <si>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</si>
  <si>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</si>
  <si>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</si>
  <si>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</si>
  <si>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</si>
  <si>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</si>
  <si>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</si>
  <si>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</si>
  <si>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</si>
  <si>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</si>
  <si>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</si>
  <si>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</si>
  <si>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</si>
  <si>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</si>
  <si>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</si>
  <si>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</si>
  <si>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</si>
  <si>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</si>
  <si>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</si>
  <si>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</si>
  <si>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</si>
  <si>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</si>
  <si>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</si>
  <si>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</si>
  <si>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</si>
  <si>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</si>
  <si>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</si>
  <si>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</si>
  <si>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</si>
  <si>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</si>
  <si>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</si>
  <si>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</si>
  <si>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</si>
  <si>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</si>
  <si>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</si>
  <si>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</si>
  <si>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</si>
  <si>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</si>
  <si>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</si>
  <si>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</si>
  <si>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</si>
  <si>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</si>
  <si>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</si>
  <si>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</si>
  <si>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</si>
  <si>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</si>
  <si>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</si>
  <si>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</si>
  <si>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</si>
  <si>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</si>
  <si>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</si>
  <si>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</si>
  <si>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</si>
  <si>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</si>
  <si>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</si>
  <si>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</si>
  <si>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</si>
  <si>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</si>
  <si>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</si>
  <si>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</si>
  <si>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</si>
  <si>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</si>
  <si>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</si>
  <si>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</si>
  <si>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</si>
  <si>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</si>
  <si>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</si>
  <si>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</si>
  <si>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</si>
  <si>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</si>
  <si>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</si>
  <si>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</si>
  <si>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</si>
  <si>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</si>
  <si>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</si>
  <si>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</si>
  <si>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</si>
  <si>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</si>
  <si>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</si>
  <si>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</si>
  <si>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</si>
  <si>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</si>
  <si>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</si>
  <si>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</si>
  <si>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</si>
  <si>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</si>
  <si>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</si>
  <si>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</si>
  <si>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</si>
  <si>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</si>
  <si>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</si>
  <si>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</si>
  <si>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</si>
  <si>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</si>
  <si>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</si>
  <si>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</si>
  <si>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</si>
  <si>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</si>
  <si>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</si>
  <si>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</si>
  <si>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</si>
  <si>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</si>
  <si>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</si>
  <si>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</si>
  <si>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</si>
  <si>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</si>
  <si>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</si>
  <si>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</si>
  <si>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</si>
  <si>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</si>
  <si>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</si>
  <si>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</si>
  <si>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</si>
  <si>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</si>
  <si>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</si>
  <si>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</si>
  <si>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</si>
  <si>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</si>
  <si>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</si>
  <si>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</si>
  <si>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</si>
  <si>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</si>
  <si>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</si>
  <si>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</si>
  <si>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</si>
  <si>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</si>
  <si>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</si>
  <si>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</si>
  <si>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</si>
  <si>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</si>
  <si>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</si>
  <si>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</si>
  <si>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</si>
  <si>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</si>
  <si>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</si>
  <si>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</si>
  <si>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</si>
  <si>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</si>
  <si>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</si>
  <si>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</si>
  <si>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</si>
  <si>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</si>
  <si>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</si>
  <si>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</si>
  <si>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</si>
  <si>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</si>
  <si>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</si>
  <si>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</si>
  <si>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</si>
  <si>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</si>
  <si>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</si>
  <si>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</si>
  <si>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</si>
  <si>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</si>
  <si>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</si>
  <si>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</si>
  <si>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</si>
  <si>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</si>
  <si>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</si>
  <si>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</si>
  <si>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</si>
  <si>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</si>
  <si>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</si>
  <si>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</si>
  <si>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</si>
  <si>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</si>
  <si>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</si>
  <si>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</si>
  <si>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</si>
  <si>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</si>
  <si>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</si>
  <si>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</si>
  <si>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</si>
  <si>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</si>
  <si>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</si>
  <si>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</si>
  <si>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</si>
  <si>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</si>
  <si>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</si>
  <si>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</si>
  <si>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</si>
  <si>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</si>
  <si>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</si>
  <si>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</si>
  <si>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</si>
  <si>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</si>
  <si>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</si>
  <si>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</si>
  <si>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</si>
  <si>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</si>
  <si>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</si>
  <si>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</si>
  <si>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</si>
  <si>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</si>
  <si>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</si>
  <si>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</si>
  <si>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</si>
  <si>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</si>
  <si>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</si>
  <si>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</si>
  <si>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</si>
  <si>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</si>
  <si>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</si>
  <si>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</si>
  <si>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</si>
  <si>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</si>
  <si>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</si>
  <si>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</si>
  <si>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</si>
  <si>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</si>
  <si>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</si>
  <si>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</si>
  <si>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</si>
  <si>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</si>
  <si>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</si>
  <si>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</si>
  <si>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</si>
  <si>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</si>
  <si>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</si>
  <si>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</si>
  <si>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</si>
  <si>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</si>
  <si>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</si>
  <si>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</si>
  <si>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</si>
  <si>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</si>
  <si>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</si>
  <si>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</si>
  <si>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</si>
  <si>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</si>
  <si>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</si>
  <si>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</si>
  <si>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</si>
  <si>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</si>
  <si>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</si>
  <si>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</si>
  <si>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</si>
  <si>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</si>
  <si>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</si>
  <si>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</si>
  <si>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</si>
  <si>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</si>
  <si>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</si>
  <si>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</si>
  <si>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</si>
  <si>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</si>
  <si>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</si>
  <si>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</si>
  <si>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</si>
  <si>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</si>
  <si>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</si>
  <si>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</si>
  <si>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</si>
  <si>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</si>
  <si>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</si>
  <si>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</si>
  <si>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</si>
  <si>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</si>
  <si>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</si>
  <si>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</si>
  <si>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</si>
  <si>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</si>
  <si>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</si>
  <si>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</si>
  <si>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</si>
  <si>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</si>
  <si>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</si>
  <si>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</si>
  <si>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</si>
  <si>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</si>
  <si>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</si>
  <si>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</si>
  <si>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</si>
  <si>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</si>
  <si>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</si>
  <si>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</si>
  <si>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</si>
  <si>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</si>
  <si>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</si>
  <si>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</si>
  <si>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</si>
  <si>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</si>
  <si>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</si>
  <si>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</si>
  <si>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</si>
  <si>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</si>
  <si>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</si>
  <si>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</si>
  <si>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</si>
  <si>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</si>
  <si>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</si>
  <si>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</si>
  <si>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</si>
  <si>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</si>
  <si>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</si>
  <si>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</si>
  <si>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</si>
  <si>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</si>
  <si>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</si>
  <si>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</si>
  <si>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</si>
  <si>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</si>
  <si>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</si>
  <si>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</si>
  <si>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</si>
  <si>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</si>
  <si>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</si>
  <si>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</si>
  <si>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</si>
  <si>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</si>
  <si>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</si>
  <si>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</si>
  <si>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</si>
  <si>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</si>
  <si>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</si>
  <si>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</si>
  <si>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</si>
  <si>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</si>
  <si>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</si>
  <si>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</si>
  <si>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</si>
  <si>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</si>
  <si>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</si>
  <si>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</si>
  <si>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</si>
  <si>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</si>
  <si>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</si>
  <si>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</si>
  <si>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</si>
  <si>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</si>
  <si>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</si>
  <si>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</si>
  <si>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</si>
  <si>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</si>
  <si>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</si>
  <si>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</si>
  <si>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</si>
  <si>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</si>
  <si>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</si>
  <si>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</si>
  <si>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</si>
  <si>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</si>
  <si>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</si>
  <si>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</si>
  <si>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</si>
  <si>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</si>
  <si>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</si>
  <si>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</si>
  <si>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</si>
  <si>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</si>
  <si>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</si>
  <si>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</si>
  <si>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</si>
  <si>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</si>
  <si>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</si>
  <si>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</si>
  <si>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</si>
  <si>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</si>
  <si>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</si>
  <si>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</si>
  <si>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</si>
  <si>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</si>
  <si>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</si>
  <si>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</si>
  <si>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</si>
  <si>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</si>
  <si>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</si>
  <si>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</si>
  <si>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</si>
  <si>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</si>
  <si>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</si>
  <si>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</si>
  <si>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</si>
  <si>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</si>
  <si>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</si>
  <si>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</si>
  <si>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</si>
  <si>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</si>
  <si>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</si>
  <si>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</si>
  <si>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</si>
  <si>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</si>
  <si>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</si>
  <si>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</si>
  <si>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</si>
  <si>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</si>
  <si>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</si>
  <si>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</si>
  <si>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</si>
  <si>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</si>
  <si>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</si>
  <si>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</si>
  <si>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</si>
  <si>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</si>
  <si>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</si>
  <si>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</si>
  <si>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</si>
  <si>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</si>
  <si>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</si>
  <si>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</si>
  <si>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</si>
  <si>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</si>
  <si>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</si>
  <si>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</si>
  <si>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</si>
  <si>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</si>
  <si>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</si>
  <si>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</si>
  <si>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</si>
  <si>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</si>
  <si>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</si>
  <si>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</si>
  <si>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</si>
  <si>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</si>
  <si>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</si>
  <si>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</si>
  <si>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</si>
  <si>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</si>
  <si>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</si>
  <si>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</si>
  <si>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</si>
  <si>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</si>
  <si>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</si>
  <si>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</si>
  <si>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</si>
  <si>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</si>
  <si>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</si>
  <si>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</si>
  <si>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</si>
  <si>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</si>
  <si>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</si>
  <si>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</si>
  <si>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</si>
  <si>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</si>
  <si>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</si>
  <si>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</si>
  <si>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</si>
  <si>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</si>
  <si>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</si>
  <si>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</si>
  <si>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</si>
  <si>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</si>
  <si>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</si>
  <si>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</si>
  <si>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</si>
  <si>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</si>
  <si>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</si>
  <si>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</si>
  <si>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</si>
  <si>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</si>
  <si>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</si>
  <si>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</si>
  <si>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</si>
  <si>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</si>
  <si>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</si>
  <si>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</si>
  <si>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</si>
  <si>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</si>
  <si>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</si>
  <si>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</si>
  <si>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</si>
  <si>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</si>
  <si>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</si>
  <si>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</si>
  <si>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</si>
  <si>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</si>
  <si>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</si>
  <si>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</si>
  <si>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</si>
  <si>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</si>
  <si>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</si>
  <si>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</si>
  <si>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</si>
  <si>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</si>
  <si>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</si>
  <si>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</si>
  <si>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</si>
  <si>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</si>
  <si>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</si>
  <si>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</si>
  <si>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</si>
  <si>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</si>
  <si>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</si>
  <si>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</si>
  <si>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</si>
  <si>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</si>
  <si>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</si>
  <si>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</si>
  <si>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</si>
  <si>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</si>
  <si>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</si>
  <si>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</si>
  <si>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</si>
  <si>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</si>
  <si>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</si>
  <si>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</si>
  <si>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</si>
  <si>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</si>
  <si>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</si>
  <si>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</si>
  <si>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</si>
  <si>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</si>
  <si>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</si>
  <si>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</si>
  <si>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</si>
  <si>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</si>
  <si>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</si>
  <si>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</si>
  <si>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</si>
  <si>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</si>
  <si>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</si>
  <si>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</si>
  <si>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</si>
  <si>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</si>
  <si>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</si>
  <si>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</si>
  <si>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</si>
  <si>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</si>
  <si>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</si>
  <si>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</si>
  <si>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</si>
  <si>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</si>
  <si>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</si>
  <si>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</si>
  <si>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</si>
  <si>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</si>
  <si>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</si>
  <si>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</si>
  <si>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</si>
  <si>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</si>
  <si>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</si>
  <si>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</si>
  <si>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</si>
  <si>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</si>
  <si>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</si>
  <si>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</si>
  <si>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</si>
  <si>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</si>
  <si>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</si>
  <si>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</si>
  <si>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</si>
  <si>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</si>
  <si>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</si>
  <si>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</si>
  <si>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</si>
  <si>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</si>
  <si>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</si>
  <si>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</si>
  <si>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</si>
  <si>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</si>
  <si>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</si>
  <si>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</si>
  <si>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</si>
  <si>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</si>
  <si>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</si>
  <si>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</si>
  <si>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</si>
  <si>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</si>
  <si>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</si>
  <si>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</si>
  <si>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</si>
  <si>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</si>
  <si>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</si>
  <si>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</si>
  <si>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</si>
  <si>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</si>
  <si>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</si>
  <si>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</si>
  <si>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</si>
  <si>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</si>
  <si>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</si>
  <si>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</si>
  <si>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</si>
  <si>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</si>
  <si>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</si>
  <si>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</si>
  <si>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</si>
  <si>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</si>
  <si>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</si>
  <si>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</si>
  <si>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</si>
  <si>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</si>
  <si>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</si>
  <si>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</si>
  <si>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</si>
  <si>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</si>
  <si>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</si>
  <si>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</si>
  <si>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</si>
  <si>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</si>
  <si>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</si>
  <si>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</si>
  <si>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</si>
  <si>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</si>
  <si>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</si>
  <si>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</si>
  <si>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</si>
  <si>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</si>
  <si>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</si>
  <si>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</si>
  <si>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</si>
  <si>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</si>
  <si>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</si>
  <si>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</si>
  <si>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</si>
  <si>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</si>
  <si>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</si>
  <si>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</si>
  <si>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</si>
  <si>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</si>
  <si>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</si>
  <si>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</si>
  <si>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</si>
  <si>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</si>
  <si>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</si>
  <si>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</si>
  <si>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</si>
  <si>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</si>
  <si>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</si>
  <si>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</si>
  <si>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</si>
  <si>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</si>
  <si>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</si>
  <si>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</si>
  <si>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</si>
  <si>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</si>
  <si>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</si>
  <si>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</si>
  <si>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吴薇</t>
  </si>
  <si>
    <t>郑燚</t>
  </si>
  <si>
    <t>抵押</t>
  </si>
  <si>
    <t>房地产抵押价值</t>
  </si>
  <si>
    <t>北京市</t>
  </si>
  <si>
    <t>企业</t>
  </si>
  <si>
    <t>出让</t>
  </si>
  <si>
    <r>
      <rPr>
        <sz val="10"/>
        <rFont val="宋体"/>
        <family val="3"/>
        <charset val="134"/>
      </rPr>
      <t>商业</t>
    </r>
    <r>
      <rPr>
        <sz val="10"/>
        <rFont val="Arial"/>
        <family val="2"/>
      </rPr>
      <t>34.9</t>
    </r>
    <r>
      <rPr>
        <sz val="10"/>
        <rFont val="宋体"/>
        <family val="3"/>
        <charset val="134"/>
      </rPr>
      <t>、办公</t>
    </r>
    <r>
      <rPr>
        <sz val="10"/>
        <rFont val="Arial"/>
        <family val="2"/>
      </rPr>
      <t>44.9</t>
    </r>
    <phoneticPr fontId="6" type="noConversion"/>
  </si>
  <si>
    <t>办公项目</t>
  </si>
  <si>
    <t>现房</t>
  </si>
  <si>
    <t>通路</t>
  </si>
  <si>
    <t>通电</t>
  </si>
  <si>
    <t>通讯</t>
  </si>
  <si>
    <t>通上水</t>
  </si>
  <si>
    <t>通下水</t>
  </si>
  <si>
    <t>通热</t>
  </si>
  <si>
    <t>燃气</t>
  </si>
  <si>
    <t>出让合同</t>
    <phoneticPr fontId="140" type="noConversion"/>
  </si>
  <si>
    <t>宗地面积</t>
    <phoneticPr fontId="140" type="noConversion"/>
  </si>
  <si>
    <t>规划建筑面积</t>
    <phoneticPr fontId="140" type="noConversion"/>
  </si>
  <si>
    <t>住宅</t>
    <phoneticPr fontId="140" type="noConversion"/>
  </si>
  <si>
    <t>限价商品房</t>
    <phoneticPr fontId="140" type="noConversion"/>
  </si>
  <si>
    <t>商业办公</t>
    <phoneticPr fontId="140" type="noConversion"/>
  </si>
  <si>
    <t>自住型商品房</t>
    <phoneticPr fontId="140" type="noConversion"/>
  </si>
  <si>
    <t>楼号</t>
    <phoneticPr fontId="140" type="noConversion"/>
  </si>
  <si>
    <t>用途</t>
    <phoneticPr fontId="140" type="noConversion"/>
  </si>
  <si>
    <t>建筑面积</t>
    <phoneticPr fontId="140" type="noConversion"/>
  </si>
  <si>
    <t>楼层地上</t>
    <phoneticPr fontId="140" type="noConversion"/>
  </si>
  <si>
    <t>楼层地下</t>
    <phoneticPr fontId="140" type="noConversion"/>
  </si>
  <si>
    <t>高度</t>
    <phoneticPr fontId="140" type="noConversion"/>
  </si>
  <si>
    <t>6号楼</t>
    <phoneticPr fontId="140" type="noConversion"/>
  </si>
  <si>
    <t>办公</t>
    <phoneticPr fontId="140" type="noConversion"/>
  </si>
  <si>
    <t>小计</t>
    <phoneticPr fontId="140" type="noConversion"/>
  </si>
  <si>
    <t>商业</t>
    <phoneticPr fontId="140" type="noConversion"/>
  </si>
  <si>
    <t>8号楼</t>
    <phoneticPr fontId="140" type="noConversion"/>
  </si>
  <si>
    <t>10号楼</t>
    <phoneticPr fontId="140" type="noConversion"/>
  </si>
  <si>
    <t>11号楼</t>
    <phoneticPr fontId="140" type="noConversion"/>
  </si>
  <si>
    <t>13号楼</t>
    <phoneticPr fontId="140" type="noConversion"/>
  </si>
  <si>
    <t>14号楼</t>
    <phoneticPr fontId="140" type="noConversion"/>
  </si>
  <si>
    <t>602地下车库</t>
    <phoneticPr fontId="140" type="noConversion"/>
  </si>
  <si>
    <t>设备用房</t>
    <phoneticPr fontId="140" type="noConversion"/>
  </si>
  <si>
    <t>机动车车库</t>
    <phoneticPr fontId="140" type="noConversion"/>
  </si>
  <si>
    <t>人防</t>
    <phoneticPr fontId="140" type="noConversion"/>
  </si>
  <si>
    <t>楼层系数</t>
    <phoneticPr fontId="140" type="noConversion"/>
  </si>
  <si>
    <t>反算一层</t>
    <phoneticPr fontId="140" type="noConversion"/>
  </si>
  <si>
    <t>总地上</t>
    <phoneticPr fontId="140" type="noConversion"/>
  </si>
  <si>
    <r>
      <t>6</t>
    </r>
    <r>
      <rPr>
        <sz val="11"/>
        <color theme="1"/>
        <rFont val="宋体"/>
        <family val="3"/>
        <charset val="134"/>
        <scheme val="minor"/>
      </rPr>
      <t>03地下车库</t>
    </r>
    <phoneticPr fontId="140" type="noConversion"/>
  </si>
  <si>
    <t>机动车库</t>
    <phoneticPr fontId="140" type="noConversion"/>
  </si>
  <si>
    <t>商业1层</t>
    <phoneticPr fontId="140" type="noConversion"/>
  </si>
  <si>
    <t>商业地上</t>
    <phoneticPr fontId="140" type="noConversion"/>
  </si>
  <si>
    <t>商业2层</t>
  </si>
  <si>
    <t>商业总建面</t>
    <phoneticPr fontId="140" type="noConversion"/>
  </si>
  <si>
    <t>1号楼人防</t>
    <phoneticPr fontId="140" type="noConversion"/>
  </si>
  <si>
    <t>商业3层</t>
  </si>
  <si>
    <t>2号楼人防</t>
  </si>
  <si>
    <t>地下车库</t>
    <phoneticPr fontId="140" type="noConversion"/>
  </si>
  <si>
    <t>3号楼人防</t>
  </si>
  <si>
    <t>合计</t>
    <phoneticPr fontId="140" type="noConversion"/>
  </si>
  <si>
    <r>
      <t xml:space="preserve"> </t>
    </r>
    <r>
      <rPr>
        <sz val="11"/>
        <color theme="1"/>
        <rFont val="宋体"/>
        <family val="3"/>
        <charset val="134"/>
        <scheme val="minor"/>
      </rPr>
      <t xml:space="preserve">  </t>
    </r>
    <phoneticPr fontId="140" type="noConversion"/>
  </si>
  <si>
    <t>总规划建筑面积</t>
    <phoneticPr fontId="140" type="noConversion"/>
  </si>
  <si>
    <t>总建筑面积</t>
    <phoneticPr fontId="140" type="noConversion"/>
  </si>
  <si>
    <t>土地面积</t>
    <phoneticPr fontId="140" type="noConversion"/>
  </si>
  <si>
    <r>
      <t>6</t>
    </r>
    <r>
      <rPr>
        <sz val="11"/>
        <color theme="1"/>
        <rFont val="宋体"/>
        <family val="3"/>
        <charset val="134"/>
        <scheme val="minor"/>
      </rPr>
      <t>02地块</t>
    </r>
    <phoneticPr fontId="140" type="noConversion"/>
  </si>
  <si>
    <t>地上</t>
    <phoneticPr fontId="140" type="noConversion"/>
  </si>
  <si>
    <r>
      <t>6</t>
    </r>
    <r>
      <rPr>
        <sz val="11"/>
        <color theme="1"/>
        <rFont val="宋体"/>
        <family val="3"/>
        <charset val="134"/>
        <scheme val="minor"/>
      </rPr>
      <t>03地块</t>
    </r>
    <phoneticPr fontId="140" type="noConversion"/>
  </si>
  <si>
    <t>普通商品房</t>
    <phoneticPr fontId="140" type="noConversion"/>
  </si>
  <si>
    <t>总土地面积</t>
    <phoneticPr fontId="140" type="noConversion"/>
  </si>
  <si>
    <r>
      <t xml:space="preserve"> </t>
    </r>
    <r>
      <rPr>
        <sz val="11"/>
        <color theme="1"/>
        <rFont val="宋体"/>
        <family val="3"/>
        <charset val="134"/>
        <scheme val="minor"/>
      </rPr>
      <t xml:space="preserve">   </t>
    </r>
    <phoneticPr fontId="140" type="noConversion"/>
  </si>
  <si>
    <t>其他</t>
    <phoneticPr fontId="140" type="noConversion"/>
  </si>
  <si>
    <t>规证一</t>
    <phoneticPr fontId="140" type="noConversion"/>
  </si>
  <si>
    <t>规证二</t>
    <phoneticPr fontId="140" type="noConversion"/>
  </si>
  <si>
    <t>分摊土地面积</t>
    <phoneticPr fontId="140" type="noConversion"/>
  </si>
  <si>
    <t>地下</t>
    <phoneticPr fontId="140" type="noConversion"/>
  </si>
  <si>
    <t>规证三</t>
    <phoneticPr fontId="140" type="noConversion"/>
  </si>
  <si>
    <t>是</t>
  </si>
  <si>
    <t>地上</t>
  </si>
  <si>
    <t>办公楼</t>
  </si>
  <si>
    <t>实测</t>
    <phoneticPr fontId="140" type="noConversion"/>
  </si>
  <si>
    <t>底商</t>
  </si>
  <si>
    <t>商业</t>
    <phoneticPr fontId="7" type="noConversion"/>
  </si>
  <si>
    <t>办公</t>
    <phoneticPr fontId="7" type="noConversion"/>
  </si>
  <si>
    <t>批发零售用地</t>
  </si>
  <si>
    <t>不临58条商业街</t>
  </si>
  <si>
    <t>与级别开发程度一致</t>
  </si>
  <si>
    <t>自定义容积率</t>
  </si>
  <si>
    <t>地价指数</t>
  </si>
  <si>
    <t>一般</t>
    <phoneticPr fontId="3" type="noConversion"/>
  </si>
  <si>
    <t>好</t>
    <phoneticPr fontId="3" type="noConversion"/>
  </si>
  <si>
    <t>较好</t>
    <phoneticPr fontId="3" type="noConversion"/>
  </si>
  <si>
    <t>七通</t>
    <phoneticPr fontId="3" type="noConversion"/>
  </si>
  <si>
    <t>一般</t>
  </si>
  <si>
    <t>总价</t>
  </si>
  <si>
    <t>成本比率</t>
  </si>
  <si>
    <t>成本法</t>
  </si>
  <si>
    <t>好</t>
  </si>
  <si>
    <t>较好</t>
  </si>
  <si>
    <t>商务金融用地（办公类）</t>
  </si>
  <si>
    <t>容积率修正</t>
  </si>
  <si>
    <t>基准地价修正 (办公)</t>
  </si>
  <si>
    <t>基准地价修正 (办公)</t>
    <phoneticPr fontId="16" type="noConversion"/>
  </si>
  <si>
    <t>成新度</t>
  </si>
  <si>
    <t>收益法</t>
  </si>
  <si>
    <t>未包含在土地购买价格中</t>
  </si>
  <si>
    <t>全部缴纳</t>
  </si>
  <si>
    <t>已包含在土地取得成本中</t>
  </si>
  <si>
    <t>押一</t>
  </si>
  <si>
    <t>按租金收入计税</t>
  </si>
  <si>
    <t>钢混</t>
  </si>
  <si>
    <t>非生产用房</t>
  </si>
  <si>
    <t>否</t>
  </si>
  <si>
    <r>
      <t>1、</t>
    </r>
    <r>
      <rPr>
        <sz val="11"/>
        <color theme="1"/>
        <rFont val="宋体"/>
        <family val="3"/>
        <charset val="134"/>
        <scheme val="minor"/>
      </rPr>
      <t>2、3、4、7、9、12、602及603车库</t>
    </r>
    <phoneticPr fontId="140" type="noConversion"/>
  </si>
  <si>
    <t>6、8、10、11、13、14、602及603车库</t>
    <phoneticPr fontId="140" type="noConversion"/>
  </si>
  <si>
    <t>楼号</t>
    <phoneticPr fontId="140" type="noConversion"/>
  </si>
  <si>
    <t>部位及房号</t>
    <phoneticPr fontId="140" type="noConversion"/>
  </si>
  <si>
    <r>
      <t>7</t>
    </r>
    <r>
      <rPr>
        <sz val="11"/>
        <color theme="1"/>
        <rFont val="宋体"/>
        <family val="3"/>
        <charset val="134"/>
        <scheme val="minor"/>
      </rPr>
      <t>-1</t>
    </r>
    <phoneticPr fontId="140" type="noConversion"/>
  </si>
  <si>
    <r>
      <t>7</t>
    </r>
    <r>
      <rPr>
        <sz val="11"/>
        <color theme="1"/>
        <rFont val="宋体"/>
        <family val="3"/>
        <charset val="134"/>
        <scheme val="minor"/>
      </rPr>
      <t>-2</t>
    </r>
    <phoneticPr fontId="140" type="noConversion"/>
  </si>
  <si>
    <r>
      <t>3</t>
    </r>
    <r>
      <rPr>
        <sz val="11"/>
        <color theme="1"/>
        <rFont val="宋体"/>
        <family val="3"/>
        <charset val="134"/>
        <scheme val="minor"/>
      </rPr>
      <t>01</t>
    </r>
    <phoneticPr fontId="140" type="noConversion"/>
  </si>
  <si>
    <t>所在楼层</t>
    <phoneticPr fontId="140" type="noConversion"/>
  </si>
  <si>
    <t>分摊土地面积</t>
    <phoneticPr fontId="140" type="noConversion"/>
  </si>
  <si>
    <t>规划用途</t>
    <phoneticPr fontId="140" type="noConversion"/>
  </si>
  <si>
    <t>建筑面积</t>
    <phoneticPr fontId="140" type="noConversion"/>
  </si>
  <si>
    <t>商业</t>
    <phoneticPr fontId="140" type="noConversion"/>
  </si>
  <si>
    <t>办公</t>
    <phoneticPr fontId="140" type="noConversion"/>
  </si>
  <si>
    <r>
      <t>4</t>
    </r>
    <r>
      <rPr>
        <sz val="11"/>
        <color theme="1"/>
        <rFont val="宋体"/>
        <family val="3"/>
        <charset val="134"/>
        <scheme val="minor"/>
      </rPr>
      <t>01</t>
    </r>
    <phoneticPr fontId="140" type="noConversion"/>
  </si>
  <si>
    <r>
      <t>5</t>
    </r>
    <r>
      <rPr>
        <sz val="11"/>
        <color theme="1"/>
        <rFont val="宋体"/>
        <family val="3"/>
        <charset val="134"/>
        <scheme val="minor"/>
      </rPr>
      <t>01</t>
    </r>
    <phoneticPr fontId="140" type="noConversion"/>
  </si>
  <si>
    <r>
      <t>601</t>
    </r>
    <r>
      <rPr>
        <sz val="11"/>
        <color theme="1"/>
        <rFont val="宋体"/>
        <family val="3"/>
        <charset val="134"/>
        <scheme val="minor"/>
      </rPr>
      <t/>
    </r>
  </si>
  <si>
    <r>
      <t>701</t>
    </r>
    <r>
      <rPr>
        <sz val="11"/>
        <color theme="1"/>
        <rFont val="宋体"/>
        <family val="3"/>
        <charset val="134"/>
        <scheme val="minor"/>
      </rPr>
      <t/>
    </r>
  </si>
  <si>
    <r>
      <t>801</t>
    </r>
    <r>
      <rPr>
        <sz val="11"/>
        <color theme="1"/>
        <rFont val="宋体"/>
        <family val="3"/>
        <charset val="134"/>
        <scheme val="minor"/>
      </rPr>
      <t/>
    </r>
  </si>
  <si>
    <r>
      <t>901</t>
    </r>
    <r>
      <rPr>
        <sz val="11"/>
        <color theme="1"/>
        <rFont val="宋体"/>
        <family val="3"/>
        <charset val="134"/>
        <scheme val="minor"/>
      </rPr>
      <t/>
    </r>
  </si>
  <si>
    <r>
      <t>1001</t>
    </r>
    <r>
      <rPr>
        <sz val="11"/>
        <color theme="1"/>
        <rFont val="宋体"/>
        <family val="3"/>
        <charset val="134"/>
        <scheme val="minor"/>
      </rPr>
      <t/>
    </r>
  </si>
  <si>
    <r>
      <t>1101</t>
    </r>
    <r>
      <rPr>
        <sz val="11"/>
        <color theme="1"/>
        <rFont val="宋体"/>
        <family val="3"/>
        <charset val="134"/>
        <scheme val="minor"/>
      </rPr>
      <t/>
    </r>
  </si>
  <si>
    <r>
      <t>1201</t>
    </r>
    <r>
      <rPr>
        <sz val="11"/>
        <color theme="1"/>
        <rFont val="宋体"/>
        <family val="3"/>
        <charset val="134"/>
        <scheme val="minor"/>
      </rPr>
      <t/>
    </r>
  </si>
  <si>
    <r>
      <t>1301</t>
    </r>
    <r>
      <rPr>
        <sz val="11"/>
        <color theme="1"/>
        <rFont val="宋体"/>
        <family val="3"/>
        <charset val="134"/>
        <scheme val="minor"/>
      </rPr>
      <t/>
    </r>
  </si>
  <si>
    <r>
      <t>1401</t>
    </r>
    <r>
      <rPr>
        <sz val="11"/>
        <color theme="1"/>
        <rFont val="宋体"/>
        <family val="3"/>
        <charset val="134"/>
        <scheme val="minor"/>
      </rPr>
      <t/>
    </r>
  </si>
  <si>
    <r>
      <t>1501</t>
    </r>
    <r>
      <rPr>
        <sz val="11"/>
        <color theme="1"/>
        <rFont val="宋体"/>
        <family val="3"/>
        <charset val="134"/>
        <scheme val="minor"/>
      </rPr>
      <t/>
    </r>
  </si>
  <si>
    <t>合计</t>
    <phoneticPr fontId="140" type="noConversion"/>
  </si>
  <si>
    <t>成本法 (办公)</t>
  </si>
  <si>
    <t>成本法 (办公)</t>
    <phoneticPr fontId="16" type="noConversion"/>
  </si>
  <si>
    <t>次干道</t>
    <phoneticPr fontId="3" type="noConversion"/>
  </si>
  <si>
    <t>项目局部</t>
  </si>
  <si>
    <t>建筑物价值</t>
  </si>
  <si>
    <t>收益法（办公）</t>
  </si>
  <si>
    <t>收益法（办公）</t>
    <phoneticPr fontId="16" type="noConversion"/>
  </si>
  <si>
    <t>北京市商业房地产</t>
    <phoneticPr fontId="140" type="noConversion"/>
  </si>
  <si>
    <t>北京市办公房地产</t>
    <phoneticPr fontId="140" type="noConversion"/>
  </si>
  <si>
    <t>结果表</t>
    <phoneticPr fontId="140" type="noConversion"/>
  </si>
  <si>
    <t>建筑物价值</t>
    <phoneticPr fontId="140" type="noConversion"/>
  </si>
  <si>
    <t>序号</t>
    <phoneticPr fontId="140" type="noConversion"/>
  </si>
  <si>
    <t>估价对象名称</t>
    <phoneticPr fontId="140" type="noConversion"/>
  </si>
  <si>
    <t>北京市朝阳区黄渠东路3号院7号楼1层7-1号商业用房房地产</t>
    <phoneticPr fontId="140" type="noConversion"/>
  </si>
  <si>
    <t>房地产总价</t>
    <phoneticPr fontId="140" type="noConversion"/>
  </si>
  <si>
    <t>楼面单价</t>
    <phoneticPr fontId="140" type="noConversion"/>
  </si>
  <si>
    <t>北京市朝阳区黄渠东路3号院7号楼2层7-2号商业用房房地产</t>
    <phoneticPr fontId="140" type="noConversion"/>
  </si>
  <si>
    <t>北京市朝阳区黄渠东路3号院7号楼3层301号办公用房房地产</t>
    <phoneticPr fontId="140" type="noConversion"/>
  </si>
  <si>
    <t>北京市朝阳区黄渠东路3号院7号楼4层401号办公用房房地产</t>
    <phoneticPr fontId="140" type="noConversion"/>
  </si>
  <si>
    <t>北京市朝阳区黄渠东路3号院7号楼5层501号办公用房房地产</t>
    <phoneticPr fontId="140" type="noConversion"/>
  </si>
  <si>
    <t>北京市朝阳区黄渠东路3号院7号楼6层601号办公用房房地产</t>
    <phoneticPr fontId="140" type="noConversion"/>
  </si>
  <si>
    <t>北京市朝阳区黄渠东路3号院7号楼7层701号办公用房房地产</t>
    <phoneticPr fontId="140" type="noConversion"/>
  </si>
  <si>
    <t>北京市朝阳区黄渠东路3号院7号楼8层801号办公用房房地产</t>
    <phoneticPr fontId="140" type="noConversion"/>
  </si>
  <si>
    <t>北京市朝阳区黄渠东路3号院7号楼9层901号办公用房房地产</t>
    <phoneticPr fontId="140" type="noConversion"/>
  </si>
  <si>
    <t>北京市朝阳区黄渠东路3号院7号楼10层1001号办公用房房地产</t>
    <phoneticPr fontId="140" type="noConversion"/>
  </si>
  <si>
    <t>北京市朝阳区黄渠东路3号院7号楼11层1101号办公用房房地产</t>
    <phoneticPr fontId="140" type="noConversion"/>
  </si>
  <si>
    <t>北京市朝阳区黄渠东路3号院7号楼12层1201号办公用房房地产</t>
    <phoneticPr fontId="140" type="noConversion"/>
  </si>
  <si>
    <t>北京市朝阳区黄渠东路3号院7号楼13层1301号办公用房房地产</t>
    <phoneticPr fontId="140" type="noConversion"/>
  </si>
  <si>
    <t>北京市朝阳区黄渠东路3号院7号楼14层1401号办公用房房地产</t>
    <phoneticPr fontId="140" type="noConversion"/>
  </si>
  <si>
    <t>北京市朝阳区黄渠东路3号院7号楼15层1501号办公用房房地产</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</si>
</sst>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Arial"/>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7030A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4" fontId="255" fillId="0" borderId="0" applyNumberFormat="0" applyFill="0" applyBorder="0" applyAlignment="0" applyProtection="0">
      <alignment vertical="center"/>
    </xf>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9" fontId="98" fillId="0" borderId="0" xfId="0" applyNumberFormat="1" applyFont="1">
      <alignment vertical="center"/>
    </xf>
    <xf numFmtId="0" fontId="98" fillId="0" borderId="1" xfId="0" applyFont="1" applyBorder="1">
      <alignment vertical="center"/>
    </xf>
    <xf numFmtId="0" fontId="98" fillId="9" borderId="0" xfId="0" applyFont="1" applyFill="1">
      <alignment vertical="center"/>
    </xf>
    <xf numFmtId="9" fontId="0" fillId="0" borderId="0" xfId="0" applyNumberFormat="1">
      <alignment vertical="center"/>
    </xf>
    <xf numFmtId="0" fontId="0" fillId="0" borderId="1" xfId="0" applyBorder="1">
      <alignment vertical="center"/>
    </xf>
    <xf numFmtId="10" fontId="0" fillId="0" borderId="0" xfId="0" applyNumberFormat="1">
      <alignment vertical="center"/>
    </xf>
    <xf numFmtId="0" fontId="0" fillId="9" borderId="0" xfId="0" applyFill="1">
      <alignment vertical="center"/>
    </xf>
    <xf numFmtId="2" fontId="0" fillId="0" borderId="0" xfId="0" applyNumberFormat="1">
      <alignment vertical="center"/>
    </xf>
    <xf numFmtId="0" fontId="255" fillId="0" borderId="0" xfId="17" applyNumberFormat="1">
      <alignment vertical="center"/>
    </xf>
    <xf numFmtId="0" fontId="0" fillId="20" borderId="1" xfId="0" applyFill="1" applyBorder="1" applyAlignment="1">
      <alignment horizontal="center" vertical="center"/>
    </xf>
    <xf numFmtId="177" fontId="79" fillId="0" borderId="1" xfId="1" applyNumberFormat="1" applyFont="1" applyFill="1" applyBorder="1" applyAlignment="1" applyProtection="1">
      <alignment vertical="center"/>
      <protection locked="0" hidden="1"/>
    </xf>
    <xf numFmtId="49" fontId="221" fillId="0" borderId="24" xfId="0" applyNumberFormat="1" applyFont="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221" fillId="0" borderId="49" xfId="0" applyFont="1" applyBorder="1" applyAlignment="1" applyProtection="1">
      <alignment horizontal="center" vertical="center"/>
      <protection locked="0"/>
    </xf>
    <xf numFmtId="177" fontId="49" fillId="9" borderId="1" xfId="1" applyNumberFormat="1" applyFont="1" applyFill="1" applyBorder="1" applyAlignment="1" applyProtection="1">
      <alignment horizontal="center" vertical="center"/>
      <protection locked="0"/>
    </xf>
    <xf numFmtId="0" fontId="49" fillId="6" borderId="35" xfId="0" applyFont="1" applyFill="1" applyBorder="1" applyAlignment="1" applyProtection="1">
      <alignment horizontal="lef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98" fillId="0" borderId="0" xfId="0" applyFont="1" applyAlignment="1">
      <alignment vertical="center" wrapText="1"/>
    </xf>
    <xf numFmtId="0" fontId="98" fillId="0" borderId="0" xfId="0" applyFont="1" applyAlignment="1">
      <alignment horizontal="center" vertical="center" wrapText="1"/>
    </xf>
    <xf numFmtId="0" fontId="55" fillId="20" borderId="1" xfId="0" applyNumberFormat="1" applyFont="1" applyFill="1" applyBorder="1" applyAlignment="1" applyProtection="1">
      <alignment horizontal="center"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254" fillId="0" borderId="5" xfId="0" applyNumberFormat="1" applyFont="1" applyBorder="1" applyAlignment="1" applyProtection="1">
      <alignment horizontal="left" vertical="center"/>
      <protection locked="0"/>
    </xf>
    <xf numFmtId="0" fontId="55" fillId="0" borderId="54" xfId="0" applyNumberFormat="1" applyFont="1" applyBorder="1" applyAlignment="1" applyProtection="1">
      <alignment horizontal="left" vertical="center"/>
      <protection locked="0"/>
    </xf>
    <xf numFmtId="0" fontId="55"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98"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98" fillId="0" borderId="1" xfId="0" applyNumberFormat="1" applyFont="1" applyBorder="1" applyAlignment="1">
      <alignment horizontal="center" vertical="center"/>
    </xf>
    <xf numFmtId="0" fontId="46" fillId="0" borderId="1"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0" fillId="0" borderId="0" xfId="0" applyFill="1">
      <alignment vertical="center"/>
    </xf>
    <xf numFmtId="0" fontId="46" fillId="0"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protection locked="0"/>
    </xf>
    <xf numFmtId="0" fontId="99" fillId="0" borderId="1" xfId="0" applyFont="1" applyBorder="1">
      <alignment vertical="center"/>
    </xf>
    <xf numFmtId="0" fontId="99" fillId="0" borderId="0" xfId="0" applyFont="1">
      <alignment vertical="center"/>
    </xf>
    <xf numFmtId="0" fontId="99" fillId="0" borderId="1" xfId="0" applyFont="1" applyBorder="1" applyAlignment="1">
      <alignment horizontal="left" vertical="center"/>
    </xf>
    <xf numFmtId="0" fontId="99" fillId="0" borderId="1" xfId="0" applyFont="1" applyBorder="1" applyAlignment="1">
      <alignment horizontal="left" vertical="center"/>
    </xf>
    <xf numFmtId="0" fontId="55" fillId="9" borderId="1" xfId="0" applyNumberFormat="1" applyFont="1" applyFill="1" applyBorder="1" applyAlignment="1" applyProtection="1">
      <alignment vertical="center" wrapText="1"/>
      <protection locked="0"/>
    </xf>
    <xf numFmtId="2" fontId="49" fillId="13" borderId="0" xfId="0" applyNumberFormat="1" applyFont="1" applyFill="1" applyAlignment="1" applyProtection="1">
      <alignment vertical="center"/>
      <protection locked="0"/>
    </xf>
    <xf numFmtId="0" fontId="134" fillId="0" borderId="1" xfId="0" applyFont="1" applyFill="1" applyBorder="1" applyAlignment="1" applyProtection="1">
      <alignment horizontal="left" vertical="center" wrapText="1"/>
      <protection locked="0"/>
    </xf>
    <xf numFmtId="182" fontId="111" fillId="0" borderId="1" xfId="0" applyNumberFormat="1" applyFont="1" applyBorder="1" applyAlignment="1">
      <alignment horizontal="center" vertical="center"/>
    </xf>
    <xf numFmtId="0" fontId="0" fillId="9" borderId="1" xfId="0" applyFill="1" applyBorder="1" applyAlignment="1">
      <alignment horizontal="center" vertical="center"/>
    </xf>
    <xf numFmtId="0" fontId="0" fillId="21" borderId="1" xfId="0" applyFill="1" applyBorder="1" applyAlignment="1">
      <alignment horizontal="center" vertical="center"/>
    </xf>
    <xf numFmtId="0" fontId="0" fillId="0" borderId="1" xfId="0" applyFill="1" applyBorder="1" applyAlignment="1">
      <alignment horizontal="center" vertical="center"/>
    </xf>
    <xf numFmtId="0" fontId="98" fillId="9" borderId="1" xfId="0" applyFont="1" applyFill="1" applyBorder="1" applyAlignment="1">
      <alignment horizontal="center" vertical="center"/>
    </xf>
    <xf numFmtId="0" fontId="98" fillId="0" borderId="1" xfId="0" applyFont="1" applyFill="1" applyBorder="1" applyAlignment="1">
      <alignment horizontal="center" vertical="center"/>
    </xf>
    <xf numFmtId="49" fontId="98" fillId="0" borderId="1" xfId="0" applyNumberFormat="1" applyFont="1" applyBorder="1" applyAlignment="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5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020-1-0421&#24120;&#33829;&#22312;&#24314;&#35810;&#20215;/P01DYGJ2/&#32467;&#26524;/&#12304;&#27979;&#31639;&#12305;2020-1-0421-P01DYGJ2&#21271;&#20140;&#24066;&#26397;&#38451;&#21306;&#24120;&#33829;&#20065;1201-602&#12289;603&#22320;&#22359;&#8220;&#26234;&#27719;&#24191;&#22330;&#8221;&#39033;&#30446;&#65288;&#37096;&#20998;&#65289;&#20986;&#35753;&#22269;&#26377;&#24314;&#35774;&#29992;&#22320;&#20351;&#29992;&#26435;&#21450;&#22312;&#24314;&#24314;&#31569;&#29289;&#25151;&#22320;&#20135;&#25269;&#25276;&#20215;&#20540;&#3904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
      <sheetName val="数据-汇总表"/>
      <sheetName val="数据-取费表"/>
      <sheetName val="估价对象房地状况"/>
      <sheetName val="系统读取表"/>
      <sheetName val="结果表"/>
      <sheetName val="成本法"/>
      <sheetName val="成本法 (元)"/>
      <sheetName val="基准地价修正"/>
      <sheetName val="基准地价修正 (办公)"/>
      <sheetName val="假设开发法"/>
      <sheetName val="比较法-办公"/>
      <sheetName val="收益法"/>
      <sheetName val="收益法 (元)"/>
      <sheetName val="收益法 (办公)"/>
      <sheetName val="收益法 (车库)"/>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8">
          <cell r="L18">
            <v>6</v>
          </cell>
        </row>
        <row r="21">
          <cell r="L21">
            <v>4.6900000000000004</v>
          </cell>
        </row>
      </sheetData>
      <sheetData sheetId="14"/>
      <sheetData sheetId="15"/>
      <sheetData sheetId="16"/>
      <sheetData sheetId="17"/>
      <sheetData sheetId="18"/>
      <sheetData sheetId="19"/>
      <sheetData sheetId="20"/>
      <sheetData sheetId="21"/>
      <sheetData sheetId="22"/>
      <sheetData sheetId="23">
        <row r="6">
          <cell r="C6">
            <v>26671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估价对象为北京市房地产，为所有。根据，估价对象（分摊）出让国有建设用地使用权面积为2411.61平方米，建筑面积为11966.17平方米。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估价对象为北京市房地产,属开发建设的办公项目，该项目尚在开发建设中。根据，估价对象（分摊）出让国有建设用地使用权面积为2411.61平方米，规划建筑面积为11966.17平方米。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2021年1月22日（评估专业人员实地查勘之日）</v>
      </c>
    </row>
    <row r="13" spans="1:2" s="1365" customFormat="1">
      <c r="A13" s="1363" t="s">
        <v>1194</v>
      </c>
      <c r="B13" s="1364" t="str">
        <f>'预评函-1'!A18</f>
        <v>本次估价的“房地产价值”是指在正常市场情况下，在价值时点2021年1月22日，估价对象规划用途为，土地取得方式为出让，出让国有建设用地使用权剩余土地使用年限为商业34.9、办公44.9，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通热、燃气）、红线内场地平整条件下，剩余土地使用年限为商业34.9、办公44.9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4714</v>
      </c>
    </row>
    <row r="21" spans="1:2" s="1365" customFormat="1">
      <c r="A21" s="1363" t="s">
        <v>1202</v>
      </c>
      <c r="B21" s="1364">
        <f ca="1">'预评函-2'!D7</f>
        <v>33478</v>
      </c>
    </row>
    <row r="22" spans="1:2" s="1365" customFormat="1">
      <c r="A22" s="1363" t="s">
        <v>1203</v>
      </c>
      <c r="B22" s="1364" t="str">
        <f ca="1">'预评函-2'!D6</f>
        <v>肆仟柒佰壹拾肆万元整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4714</v>
      </c>
    </row>
    <row r="31" spans="1:2" s="1365" customFormat="1">
      <c r="A31" s="1363" t="s">
        <v>1241</v>
      </c>
      <c r="B31" s="1364">
        <f ca="1">'预评函-2'!D15</f>
        <v>3939</v>
      </c>
    </row>
    <row r="32" spans="1:2" s="1365" customFormat="1">
      <c r="A32" s="1363" t="s">
        <v>1208</v>
      </c>
      <c r="B32" s="1364" t="str">
        <f ca="1">'预评函-2'!D14</f>
        <v>肆仟柒佰壹拾肆万元整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11966.17</v>
      </c>
    </row>
    <row r="44" spans="1:2" s="1365" customFormat="1">
      <c r="A44" s="1363" t="s">
        <v>1240</v>
      </c>
      <c r="B44" s="1364" t="str">
        <f>'预评函-3'!C2</f>
        <v>(分摊)土地面积</v>
      </c>
    </row>
    <row r="45" spans="1:2" s="1365" customFormat="1">
      <c r="A45" s="1363" t="s">
        <v>1212</v>
      </c>
      <c r="B45" s="1364">
        <f>'预评函-3'!C4</f>
        <v>2411.61</v>
      </c>
    </row>
    <row r="46" spans="1:2" s="1365" customFormat="1">
      <c r="A46" s="1363" t="s">
        <v>1238</v>
      </c>
      <c r="B46" s="1364" t="str">
        <f>'预评函-3'!D2</f>
        <v>出让国有建设用地使用权价值</v>
      </c>
    </row>
    <row r="47" spans="1:2" s="1365" customFormat="1">
      <c r="A47" s="1363" t="s">
        <v>1213</v>
      </c>
      <c r="B47" s="1364">
        <f ca="1">'预评函-3'!D4</f>
        <v>4054</v>
      </c>
    </row>
    <row r="48" spans="1:2" s="1365" customFormat="1">
      <c r="A48" s="1363" t="s">
        <v>1214</v>
      </c>
      <c r="B48" s="1364">
        <f ca="1">'预评函-3'!E4</f>
        <v>28791</v>
      </c>
    </row>
    <row r="49" spans="1:2" s="1365" customFormat="1">
      <c r="A49" s="1363" t="s">
        <v>1215</v>
      </c>
      <c r="B49" s="1364" t="str">
        <f ca="1">'预评函-3'!D5</f>
        <v>肆仟零伍拾肆万元整</v>
      </c>
    </row>
    <row r="50" spans="1:2" s="1365" customFormat="1">
      <c r="A50" s="1363" t="s">
        <v>1239</v>
      </c>
      <c r="B50" s="1364" t="str">
        <f>'预评函-3'!F2</f>
        <v>建筑物价值</v>
      </c>
    </row>
    <row r="51" spans="1:2" s="1365" customFormat="1">
      <c r="A51" s="1363" t="s">
        <v>1216</v>
      </c>
      <c r="B51" s="1364">
        <f ca="1">'预评函-3'!F4</f>
        <v>660</v>
      </c>
    </row>
    <row r="52" spans="1:2" s="1365" customFormat="1">
      <c r="A52" s="1363" t="s">
        <v>1217</v>
      </c>
      <c r="B52" s="1364">
        <f ca="1">'预评函-3'!G4</f>
        <v>4687</v>
      </c>
    </row>
    <row r="53" spans="1:2" s="1365" customFormat="1">
      <c r="A53" s="1363" t="s">
        <v>1245</v>
      </c>
      <c r="B53" s="1364" t="str">
        <f ca="1">'预评函-3'!F5</f>
        <v>陆佰陆拾万元整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6" sqref="C26"/>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3033</v>
      </c>
      <c r="C17" s="1734"/>
    </row>
    <row r="18" spans="1:3">
      <c r="A18" s="1733" t="s">
        <v>1732</v>
      </c>
      <c r="B18" s="1733" t="s">
        <v>757</v>
      </c>
      <c r="C18" s="1734"/>
    </row>
    <row r="19" spans="1:3">
      <c r="A19" s="1733" t="s">
        <v>1733</v>
      </c>
      <c r="B19" s="1733" t="s">
        <v>3155</v>
      </c>
      <c r="C19" s="1734"/>
    </row>
    <row r="20" spans="1:3">
      <c r="A20" s="1733" t="s">
        <v>1734</v>
      </c>
      <c r="B20" s="1733" t="s">
        <v>3198</v>
      </c>
      <c r="C20" s="1734"/>
    </row>
    <row r="21" spans="1:3">
      <c r="A21" s="1733" t="s">
        <v>1735</v>
      </c>
      <c r="B21" s="1733" t="s">
        <v>3193</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48"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8"/>
      <c r="B54" s="1741" t="s">
        <v>832</v>
      </c>
      <c r="C54" s="1738" t="s">
        <v>1248</v>
      </c>
    </row>
    <row r="55" spans="1:4">
      <c r="A55" s="3148"/>
      <c r="B55" s="1741" t="s">
        <v>833</v>
      </c>
      <c r="C55" s="1738" t="s">
        <v>1249</v>
      </c>
    </row>
    <row r="56" spans="1:4">
      <c r="A56" s="3148"/>
      <c r="B56" s="1741" t="s">
        <v>834</v>
      </c>
      <c r="C56" s="1738" t="s">
        <v>1253</v>
      </c>
    </row>
    <row r="57" spans="1:4">
      <c r="A57" s="3148"/>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I24" sqref="I2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57" t="str">
        <f>IF(B10="北京市","北京市",C10)&amp;F10&amp;IF('结果表（商业）'!G1="在建","出让国有建设用地使用权及在建建筑物",IF('结果表（商业）'!G1="土地","出让国有建设用地使用权",))&amp;B9&amp;"预评估"</f>
        <v>北京市房地产抵押价值预评估</v>
      </c>
      <c r="C1" s="3158"/>
      <c r="D1" s="3158"/>
      <c r="E1" s="3158"/>
      <c r="F1" s="3158"/>
      <c r="G1" s="3158"/>
      <c r="H1" s="3158"/>
      <c r="I1" s="3159"/>
      <c r="J1" s="2698"/>
      <c r="K1" s="2594"/>
      <c r="L1" s="2595"/>
      <c r="M1" s="2595"/>
      <c r="N1" s="2596"/>
      <c r="O1" s="1763"/>
      <c r="P1" s="2596"/>
      <c r="Q1" s="2596"/>
      <c r="R1" s="2596"/>
      <c r="S1" s="1870" t="str">
        <f>IF(B10="北京市","北京市",C10)&amp;F10&amp;IF('结果表（商业）'!G1="在建","出让国有建设用地使用权及在建建筑物房地产抵押价值",IF('结果表（商业）'!G1="土地","出让国有建设用地使用权抵押价值",B9))</f>
        <v>北京市房地产抵押价值</v>
      </c>
      <c r="T1" s="1933"/>
      <c r="U1" s="1933"/>
      <c r="V1" s="1933"/>
      <c r="W1" s="1933"/>
      <c r="X1" s="1933"/>
      <c r="Y1" s="1933"/>
      <c r="Z1" s="1933"/>
      <c r="AA1" s="1933"/>
      <c r="AB1" s="1933"/>
    </row>
    <row r="2" spans="1:28">
      <c r="A2" s="2593" t="s">
        <v>2915</v>
      </c>
      <c r="B2" s="2597"/>
      <c r="C2" s="2598"/>
      <c r="D2" s="2899"/>
      <c r="E2" s="2889"/>
      <c r="F2" s="2889"/>
      <c r="G2" s="2890"/>
      <c r="H2" s="2890"/>
      <c r="I2" s="2890"/>
      <c r="J2" s="2698"/>
      <c r="K2" s="2594"/>
      <c r="L2" s="2595"/>
      <c r="M2" s="2595"/>
      <c r="N2" s="2596"/>
      <c r="O2" s="1763"/>
      <c r="P2" s="2596"/>
      <c r="Q2" s="2596"/>
      <c r="R2" s="2596"/>
      <c r="S2" s="1870" t="str">
        <f>IF(B10="北京市","北京市",C10)&amp;F10&amp;IF('结果表（商业）'!G1="在建","出让国有建设用地使用权及在建建筑物房地产",IF('结果表（商业）'!G1="土地","出让国有建设用地使用权","房地产"))</f>
        <v>北京市房地产</v>
      </c>
      <c r="T2" s="1933"/>
      <c r="U2" s="1933"/>
      <c r="V2" s="1933"/>
      <c r="W2" s="1933"/>
      <c r="X2" s="1933"/>
      <c r="Y2" s="1933"/>
      <c r="Z2" s="1933"/>
      <c r="AA2" s="1933"/>
      <c r="AB2" s="1933"/>
    </row>
    <row r="3" spans="1:28">
      <c r="A3" s="308" t="s">
        <v>2916</v>
      </c>
      <c r="B3" s="2599">
        <v>44218</v>
      </c>
      <c r="C3" s="2600" t="s">
        <v>2917</v>
      </c>
      <c r="D3" s="2599">
        <f>B3</f>
        <v>44218</v>
      </c>
      <c r="E3" s="2890"/>
      <c r="F3" s="2890"/>
      <c r="G3" s="2890"/>
      <c r="H3" s="2890"/>
      <c r="I3" s="2890"/>
      <c r="J3" s="2698"/>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t="s">
        <v>3056</v>
      </c>
      <c r="C4" s="2602">
        <f ca="1">SUMIF(注册房地产估价师,B4,估价师及机构信息!B3:B24)</f>
        <v>1419970001</v>
      </c>
      <c r="D4" s="2601" t="s">
        <v>3057</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7"/>
      <c r="K4" s="2604" t="str">
        <f ca="1">CONCATENATE(B4,"（注册号：",C4,")、",D4,"（注册号：",E4,")")</f>
        <v>吴薇（注册号：1419970001)、郑燚（注册号：1120070131)</v>
      </c>
      <c r="L4" s="2595"/>
      <c r="M4" s="2595"/>
      <c r="N4" s="2596"/>
      <c r="O4" s="1763"/>
      <c r="P4" s="2596"/>
      <c r="Q4" s="2596"/>
      <c r="R4" s="2596"/>
      <c r="S4" s="1870"/>
      <c r="T4" s="1933"/>
      <c r="U4" s="1933"/>
      <c r="V4" s="1933"/>
      <c r="W4" s="1933"/>
      <c r="X4" s="1933"/>
      <c r="Y4" s="1933"/>
      <c r="Z4" s="1933"/>
      <c r="AA4" s="1933"/>
      <c r="AB4" s="1933"/>
    </row>
    <row r="5" spans="1:28" ht="13.5" thickTop="1">
      <c r="A5" s="2605" t="s">
        <v>2919</v>
      </c>
      <c r="B5" s="2606"/>
      <c r="C5" s="2607"/>
      <c r="D5" s="2608"/>
      <c r="E5" s="2891"/>
      <c r="F5" s="2891"/>
      <c r="G5" s="2891"/>
      <c r="H5" s="2891"/>
      <c r="I5" s="2891"/>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89"/>
      <c r="F6" s="2891"/>
      <c r="G6" s="2891"/>
      <c r="H6" s="2891"/>
      <c r="I6" s="2891"/>
      <c r="J6" s="2667"/>
      <c r="K6" s="2841" t="str">
        <f>IF(COUNTIF(B6,"*上海银行*"),"上海银行","")</f>
        <v/>
      </c>
      <c r="L6" s="2839"/>
      <c r="M6" s="2839"/>
      <c r="N6" s="2667"/>
      <c r="O6" s="2678"/>
      <c r="P6" s="2667"/>
      <c r="Q6" s="2667"/>
      <c r="R6" s="2667"/>
    </row>
    <row r="7" spans="1:28">
      <c r="A7" s="2609" t="s">
        <v>2921</v>
      </c>
      <c r="B7" s="2613"/>
      <c r="C7" s="2611"/>
      <c r="D7" s="2612"/>
      <c r="E7" s="2889"/>
      <c r="F7" s="2891"/>
      <c r="G7" s="2891"/>
      <c r="H7" s="2891"/>
      <c r="I7" s="2891"/>
      <c r="J7" s="2667"/>
      <c r="K7" s="2842"/>
      <c r="L7" s="2839"/>
      <c r="M7" s="2839"/>
      <c r="N7" s="2667"/>
      <c r="O7" s="2678"/>
      <c r="P7" s="2667"/>
      <c r="Q7" s="2667"/>
      <c r="R7" s="2667"/>
    </row>
    <row r="8" spans="1:28">
      <c r="A8" s="2614" t="s">
        <v>2922</v>
      </c>
      <c r="B8" s="2615" t="s">
        <v>3058</v>
      </c>
      <c r="C8" s="2616"/>
      <c r="D8" s="3160" t="s">
        <v>2923</v>
      </c>
      <c r="E8" s="2617" t="s">
        <v>3059</v>
      </c>
      <c r="F8" s="2618"/>
      <c r="G8" s="2890"/>
      <c r="H8" s="2890"/>
      <c r="I8" s="2890"/>
      <c r="J8" s="2667"/>
      <c r="K8" s="2840"/>
      <c r="L8" s="2839"/>
      <c r="M8" s="2839"/>
      <c r="N8" s="2667"/>
      <c r="O8" s="2678"/>
      <c r="P8" s="2667"/>
      <c r="Q8" s="2667"/>
      <c r="R8" s="2667"/>
    </row>
    <row r="9" spans="1:28" ht="13.5" thickBot="1">
      <c r="A9" s="2619" t="s">
        <v>2924</v>
      </c>
      <c r="B9" s="2620" t="s">
        <v>3059</v>
      </c>
      <c r="C9" s="2621"/>
      <c r="D9" s="3161"/>
      <c r="E9" s="2620"/>
      <c r="F9" s="2622"/>
      <c r="G9" s="2892"/>
      <c r="H9" s="2892"/>
      <c r="I9" s="2892"/>
      <c r="J9" s="2667"/>
      <c r="K9" s="2842"/>
      <c r="L9" s="2839"/>
      <c r="M9" s="2839"/>
      <c r="N9" s="2667"/>
      <c r="O9" s="2678"/>
      <c r="P9" s="2667"/>
      <c r="Q9" s="2667"/>
      <c r="R9" s="2667"/>
    </row>
    <row r="10" spans="1:28" ht="13.5" thickTop="1">
      <c r="A10" s="2623" t="s">
        <v>2925</v>
      </c>
      <c r="B10" s="2624" t="s">
        <v>3060</v>
      </c>
      <c r="C10" s="2625"/>
      <c r="D10" s="2608"/>
      <c r="E10" s="2626" t="s">
        <v>2926</v>
      </c>
      <c r="F10" s="2893"/>
      <c r="G10" s="2894"/>
      <c r="H10" s="2895"/>
      <c r="I10" s="2896"/>
      <c r="J10" s="2667"/>
      <c r="K10" s="2842"/>
      <c r="L10" s="2839"/>
      <c r="M10" s="2839"/>
      <c r="N10" s="2667"/>
      <c r="O10" s="2678"/>
      <c r="P10" s="2667"/>
      <c r="Q10" s="2667"/>
      <c r="R10" s="2667"/>
    </row>
    <row r="11" spans="1:28">
      <c r="A11" s="2627" t="s">
        <v>2927</v>
      </c>
      <c r="B11" s="2628" t="s">
        <v>3061</v>
      </c>
      <c r="C11" s="2629"/>
      <c r="D11" s="2630"/>
      <c r="E11" s="2596"/>
      <c r="F11" s="2596"/>
      <c r="G11" s="2596"/>
      <c r="H11" s="2596"/>
      <c r="I11" s="2596"/>
      <c r="J11" s="2667"/>
      <c r="K11" s="2842"/>
      <c r="L11" s="2839"/>
      <c r="M11" s="2839"/>
      <c r="N11" s="2667"/>
      <c r="O11" s="2678"/>
      <c r="P11" s="2667"/>
      <c r="Q11" s="2667"/>
      <c r="R11" s="2667"/>
    </row>
    <row r="12" spans="1:28">
      <c r="A12" s="2631" t="s">
        <v>2928</v>
      </c>
      <c r="B12" s="2628" t="s">
        <v>3062</v>
      </c>
      <c r="C12" s="329" t="s">
        <v>2929</v>
      </c>
      <c r="D12" s="2632" t="s">
        <v>2930</v>
      </c>
      <c r="E12" s="2632" t="s">
        <v>2931</v>
      </c>
      <c r="F12" s="2632" t="s">
        <v>2932</v>
      </c>
      <c r="G12" s="2632" t="s">
        <v>2933</v>
      </c>
      <c r="H12" s="2632" t="s">
        <v>2934</v>
      </c>
      <c r="I12" s="2632" t="s">
        <v>2935</v>
      </c>
      <c r="J12" s="2667"/>
      <c r="K12" s="2842"/>
      <c r="L12" s="2839"/>
      <c r="M12" s="2839"/>
      <c r="N12" s="2667"/>
      <c r="O12" s="2678"/>
      <c r="P12" s="2667"/>
      <c r="Q12" s="2667"/>
      <c r="R12" s="2667"/>
    </row>
    <row r="13" spans="1:28">
      <c r="A13" s="1241"/>
      <c r="B13" s="2633"/>
      <c r="C13" s="2634" t="s">
        <v>2936</v>
      </c>
      <c r="D13" s="965"/>
      <c r="E13" s="965">
        <v>56963</v>
      </c>
      <c r="F13" s="965">
        <v>60616</v>
      </c>
      <c r="G13" s="965"/>
      <c r="H13" s="965"/>
      <c r="I13" s="965"/>
      <c r="J13" s="2667"/>
      <c r="K13" s="2842"/>
      <c r="L13" s="2839"/>
      <c r="M13" s="2839"/>
      <c r="N13" s="2667"/>
      <c r="O13" s="2678"/>
      <c r="P13" s="2667"/>
      <c r="Q13" s="2667"/>
      <c r="R13" s="2667"/>
    </row>
    <row r="14" spans="1:28">
      <c r="A14" s="1241"/>
      <c r="B14" s="2633"/>
      <c r="C14" s="2634" t="s">
        <v>2937</v>
      </c>
      <c r="D14" s="2635"/>
      <c r="E14" s="2635">
        <v>40</v>
      </c>
      <c r="F14" s="2635">
        <v>50</v>
      </c>
      <c r="G14" s="2635"/>
      <c r="H14" s="2635"/>
      <c r="I14" s="2635"/>
      <c r="J14" s="2667"/>
      <c r="K14" s="2843"/>
      <c r="L14" s="2839"/>
      <c r="M14" s="2839"/>
      <c r="N14" s="2667"/>
      <c r="O14" s="2678"/>
      <c r="P14" s="2667"/>
      <c r="Q14" s="2667"/>
      <c r="R14" s="2667"/>
    </row>
    <row r="15" spans="1:28">
      <c r="A15" s="326"/>
      <c r="B15" s="2636"/>
      <c r="C15" s="2637" t="s">
        <v>2938</v>
      </c>
      <c r="D15" s="2638" t="str">
        <f>IF(B12="出让",IF(D13="","",ROUNDDOWN(MIN((D13-$D$3)/365,D14),2)),D14)</f>
        <v/>
      </c>
      <c r="E15" s="2638">
        <f>IF(B12="出让",IF(E13="","",ROUNDDOWN(MIN((E13-$D$3)/365,E14),2)),E14)</f>
        <v>34.909999999999997</v>
      </c>
      <c r="F15" s="2638">
        <f>IF(B12="出让",IF(F13="","",ROUNDDOWN(MIN((F13-$D$3)/365,F14),2)),F14)</f>
        <v>44.92</v>
      </c>
      <c r="G15" s="2638" t="str">
        <f>IF(B12="出让",IF(G13="","",ROUNDDOWN(MIN((G13-$D$3)/365,G14),2)),G14)</f>
        <v/>
      </c>
      <c r="H15" s="2638" t="str">
        <f>IF(B12="出让",IF(H13="","",ROUNDDOWN(MIN((H13-$D$3)/365,H14),2)),H14)</f>
        <v/>
      </c>
      <c r="I15" s="2638" t="str">
        <f>IF(B12="出让",IF(I13="","",ROUNDDOWN(MIN((I13-$D$3)/365,I14),2)),I14)</f>
        <v/>
      </c>
      <c r="J15" s="2667"/>
      <c r="K15" s="2844"/>
      <c r="L15" s="2679"/>
      <c r="M15" s="2679"/>
      <c r="N15" s="2735"/>
      <c r="O15" s="2679"/>
      <c r="P15" s="2735"/>
      <c r="Q15" s="2667"/>
      <c r="R15" s="2667"/>
    </row>
    <row r="16" spans="1:28">
      <c r="A16" s="2626" t="s">
        <v>2939</v>
      </c>
      <c r="B16" s="3167"/>
      <c r="C16" s="3168"/>
      <c r="D16" s="3169"/>
      <c r="E16" s="2641" t="s">
        <v>2940</v>
      </c>
      <c r="F16" s="3170" t="s">
        <v>3063</v>
      </c>
      <c r="G16" s="3171"/>
      <c r="H16" s="3171"/>
      <c r="I16" s="3172"/>
      <c r="J16" s="2667"/>
      <c r="K16" s="2844"/>
      <c r="L16" s="2679"/>
      <c r="M16" s="2679"/>
      <c r="N16" s="2735"/>
      <c r="O16" s="2679"/>
      <c r="P16" s="2735"/>
      <c r="Q16" s="2667"/>
      <c r="R16" s="2667"/>
    </row>
    <row r="17" spans="1:28">
      <c r="A17" s="319" t="s">
        <v>2941</v>
      </c>
      <c r="B17" s="308" t="s">
        <v>2942</v>
      </c>
      <c r="C17" s="11">
        <f>'数据-汇总表'!E3</f>
        <v>11966.17</v>
      </c>
      <c r="D17" s="2547" t="s">
        <v>2943</v>
      </c>
      <c r="E17" s="3173"/>
      <c r="F17" s="3174"/>
      <c r="G17" s="3174"/>
      <c r="H17" s="3174"/>
      <c r="I17" s="3175"/>
      <c r="J17" s="2667"/>
      <c r="K17" s="2845"/>
      <c r="L17" s="2679"/>
      <c r="M17" s="2679"/>
      <c r="N17" s="2735"/>
      <c r="O17" s="2679"/>
      <c r="P17" s="2735"/>
      <c r="Q17" s="2667"/>
      <c r="R17" s="2667"/>
      <c r="S17" s="2667"/>
      <c r="T17" s="2667"/>
      <c r="U17" s="2667"/>
      <c r="V17" s="2667"/>
    </row>
    <row r="18" spans="1:28" ht="24.75" thickBot="1">
      <c r="A18" s="2642" t="s">
        <v>2944</v>
      </c>
      <c r="B18" s="1250" t="s">
        <v>2945</v>
      </c>
      <c r="C18" s="2643">
        <f>'数据-汇总表'!D3</f>
        <v>2411.61</v>
      </c>
      <c r="D18" s="1252" t="s">
        <v>2946</v>
      </c>
      <c r="E18" s="3176"/>
      <c r="F18" s="3177"/>
      <c r="G18" s="3177"/>
      <c r="H18" s="3177"/>
      <c r="I18" s="3178"/>
      <c r="J18" s="2667"/>
      <c r="K18" s="2845"/>
      <c r="L18" s="2679"/>
      <c r="M18" s="2679"/>
      <c r="N18" s="2735"/>
      <c r="O18" s="2679"/>
      <c r="P18" s="2735"/>
      <c r="Q18" s="2667"/>
      <c r="R18" s="2667"/>
      <c r="S18" s="2667"/>
      <c r="T18" s="2667"/>
      <c r="U18" s="2667"/>
      <c r="V18" s="2667"/>
    </row>
    <row r="19" spans="1:28" ht="37.5" thickTop="1" thickBot="1">
      <c r="A19" s="333" t="s">
        <v>1741</v>
      </c>
      <c r="B19" s="313" t="s">
        <v>2947</v>
      </c>
      <c r="C19" s="1750"/>
      <c r="D19" s="1751" t="s">
        <v>2948</v>
      </c>
      <c r="E19" s="1752"/>
      <c r="F19" s="1753" t="str">
        <f>IF(AND(C19="是",E19="否"),"是否提供他项权证或相关说明","")</f>
        <v/>
      </c>
      <c r="G19" s="1754"/>
      <c r="H19" s="2891"/>
      <c r="I19" s="2891"/>
      <c r="J19" s="2667"/>
      <c r="K19" s="2842"/>
      <c r="L19" s="2839"/>
      <c r="M19" s="2839"/>
      <c r="N19" s="2735"/>
      <c r="O19" s="2679"/>
      <c r="P19" s="2735"/>
      <c r="Q19" s="2667"/>
      <c r="R19" s="2667"/>
      <c r="S19" s="2667"/>
      <c r="T19" s="2667"/>
      <c r="U19" s="2667"/>
      <c r="V19" s="2667"/>
    </row>
    <row r="20" spans="1:28">
      <c r="A20" s="2859" t="s">
        <v>2949</v>
      </c>
      <c r="B20" s="3163" t="s">
        <v>2950</v>
      </c>
      <c r="C20" s="3164"/>
      <c r="D20" s="3165" t="s">
        <v>2951</v>
      </c>
      <c r="E20" s="3166"/>
      <c r="F20" s="2874" t="s">
        <v>1742</v>
      </c>
      <c r="G20" s="2891"/>
      <c r="H20" s="2891"/>
      <c r="I20" s="2891"/>
      <c r="J20" s="2667"/>
      <c r="K20" s="3162"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59"/>
      <c r="B21" s="2860" t="s">
        <v>2953</v>
      </c>
      <c r="C21" s="2861" t="s">
        <v>1743</v>
      </c>
      <c r="D21" s="1755"/>
      <c r="E21" s="2862" t="s">
        <v>1743</v>
      </c>
      <c r="F21" s="2875"/>
      <c r="G21" s="2891"/>
      <c r="H21" s="2891"/>
      <c r="I21" s="2891"/>
      <c r="J21" s="2667"/>
      <c r="K21" s="316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59"/>
      <c r="B22" s="2863" t="s">
        <v>2954</v>
      </c>
      <c r="C22" s="2861" t="s">
        <v>1744</v>
      </c>
      <c r="D22" s="2890"/>
      <c r="E22" s="2890"/>
      <c r="F22" s="2890"/>
      <c r="G22" s="2891"/>
      <c r="H22" s="2891"/>
      <c r="I22" s="2891"/>
      <c r="J22" s="2667"/>
      <c r="K22" s="3162"/>
      <c r="L22" s="693"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4" t="s">
        <v>2955</v>
      </c>
      <c r="B23" s="2728" t="s">
        <v>2956</v>
      </c>
      <c r="C23" s="2865"/>
      <c r="D23" s="2866" t="s">
        <v>2956</v>
      </c>
      <c r="E23" s="2867"/>
      <c r="F23" s="2890"/>
      <c r="G23" s="2891"/>
      <c r="H23" s="2891"/>
      <c r="I23" s="2891"/>
      <c r="J23" s="2667"/>
      <c r="K23" s="2846"/>
      <c r="L23" s="2702"/>
      <c r="M23" s="2839"/>
      <c r="N23" s="2735"/>
      <c r="O23" s="2679"/>
      <c r="P23" s="2735"/>
      <c r="Q23" s="2667"/>
      <c r="R23" s="2667"/>
      <c r="S23" s="2667"/>
      <c r="T23" s="2667"/>
      <c r="U23" s="2667"/>
      <c r="V23" s="2667"/>
    </row>
    <row r="24" spans="1:28">
      <c r="A24" s="2864"/>
      <c r="B24" s="2728" t="s">
        <v>1745</v>
      </c>
      <c r="C24" s="2868"/>
      <c r="D24" s="2864" t="s">
        <v>1745</v>
      </c>
      <c r="E24" s="2869"/>
      <c r="F24" s="2890"/>
      <c r="G24" s="2891"/>
      <c r="H24" s="2891"/>
      <c r="I24" s="2891"/>
      <c r="J24" s="2667"/>
      <c r="K24" s="2846"/>
      <c r="L24" s="2702"/>
      <c r="M24" s="2839"/>
      <c r="N24" s="2735"/>
      <c r="O24" s="2679"/>
      <c r="P24" s="2735"/>
      <c r="Q24" s="2667"/>
      <c r="R24" s="2667"/>
      <c r="S24" s="2667"/>
      <c r="T24" s="2667"/>
      <c r="U24" s="2667"/>
      <c r="V24" s="2667"/>
    </row>
    <row r="25" spans="1:28">
      <c r="A25" s="2864"/>
      <c r="B25" s="2728" t="s">
        <v>1746</v>
      </c>
      <c r="C25" s="2868"/>
      <c r="D25" s="2864" t="s">
        <v>1746</v>
      </c>
      <c r="E25" s="2869"/>
      <c r="F25" s="2890"/>
      <c r="G25" s="2891"/>
      <c r="H25" s="2891"/>
      <c r="I25" s="2891"/>
      <c r="J25" s="2667"/>
      <c r="K25" s="2842"/>
      <c r="L25" s="2839"/>
      <c r="M25" s="2839"/>
      <c r="N25" s="2735"/>
      <c r="O25" s="2679"/>
      <c r="P25" s="2735"/>
      <c r="Q25" s="2667"/>
      <c r="R25" s="2667"/>
      <c r="S25" s="2667"/>
      <c r="T25" s="2667"/>
      <c r="U25" s="2667"/>
      <c r="V25" s="2667"/>
    </row>
    <row r="26" spans="1:28" ht="13.5" thickBot="1">
      <c r="A26" s="2870"/>
      <c r="B26" s="2871" t="s">
        <v>1747</v>
      </c>
      <c r="C26" s="2872"/>
      <c r="D26" s="2870" t="s">
        <v>1747</v>
      </c>
      <c r="E26" s="2873"/>
      <c r="F26" s="2892"/>
      <c r="G26" s="2892"/>
      <c r="H26" s="2892"/>
      <c r="I26" s="2892"/>
      <c r="J26" s="2667"/>
      <c r="K26" s="2842"/>
      <c r="L26" s="2839"/>
      <c r="M26" s="2839"/>
      <c r="N26" s="2735"/>
      <c r="O26" s="2679"/>
      <c r="P26" s="2735"/>
      <c r="Q26" s="2667"/>
      <c r="R26" s="2667"/>
      <c r="S26" s="2667"/>
      <c r="T26" s="2667"/>
      <c r="U26" s="2667"/>
      <c r="V26" s="2667"/>
    </row>
    <row r="27" spans="1:28" ht="13.5" thickTop="1">
      <c r="A27" s="3150" t="s">
        <v>2957</v>
      </c>
      <c r="B27" s="326" t="s">
        <v>2958</v>
      </c>
      <c r="C27" s="2644" t="s">
        <v>3064</v>
      </c>
      <c r="D27" s="2645"/>
      <c r="E27" s="2891"/>
      <c r="F27" s="2891"/>
      <c r="G27" s="2891"/>
      <c r="H27" s="2891"/>
      <c r="I27" s="2891"/>
      <c r="J27" s="2667"/>
      <c r="K27" s="2844"/>
      <c r="L27" s="2679"/>
      <c r="M27" s="2679"/>
      <c r="N27" s="2735"/>
      <c r="O27" s="2679"/>
      <c r="P27" s="2735"/>
      <c r="Q27" s="2667"/>
      <c r="R27" s="2667"/>
      <c r="S27" s="2667"/>
      <c r="T27" s="2667"/>
      <c r="U27" s="2667"/>
      <c r="V27" s="2667"/>
    </row>
    <row r="28" spans="1:28">
      <c r="A28" s="3150"/>
      <c r="B28" s="308" t="s">
        <v>2959</v>
      </c>
      <c r="C28" s="2646"/>
      <c r="D28" s="2647"/>
      <c r="E28" s="2891"/>
      <c r="F28" s="2891"/>
      <c r="G28" s="2891"/>
      <c r="H28" s="2891"/>
      <c r="I28" s="2891"/>
      <c r="J28" s="2667"/>
      <c r="K28" s="2842"/>
      <c r="L28" s="2839"/>
      <c r="M28" s="2839"/>
      <c r="N28" s="2667"/>
      <c r="O28" s="2678"/>
      <c r="P28" s="2667"/>
      <c r="Q28" s="2667"/>
      <c r="R28" s="2667"/>
      <c r="S28" s="2667"/>
      <c r="T28" s="2667"/>
      <c r="U28" s="2667"/>
      <c r="V28" s="2667"/>
    </row>
    <row r="29" spans="1:28">
      <c r="A29" s="3150"/>
      <c r="B29" s="308" t="s">
        <v>2960</v>
      </c>
      <c r="C29" s="2648"/>
      <c r="D29" s="2649"/>
      <c r="E29" s="2891"/>
      <c r="F29" s="2891"/>
      <c r="G29" s="2891"/>
      <c r="H29" s="2891"/>
      <c r="I29" s="2891"/>
      <c r="J29" s="2667"/>
      <c r="K29" s="2842"/>
      <c r="L29" s="2839"/>
      <c r="M29" s="2839"/>
      <c r="N29" s="2667"/>
      <c r="O29" s="2678"/>
      <c r="P29" s="2667"/>
      <c r="Q29" s="2667"/>
      <c r="R29" s="2667"/>
      <c r="S29" s="2667"/>
      <c r="T29" s="2667"/>
      <c r="U29" s="2667"/>
      <c r="V29" s="2667"/>
    </row>
    <row r="30" spans="1:28">
      <c r="A30" s="3151"/>
      <c r="B30" s="308" t="s">
        <v>2961</v>
      </c>
      <c r="C30" s="3152"/>
      <c r="D30" s="3153"/>
      <c r="E30" s="2891"/>
      <c r="F30" s="2891"/>
      <c r="G30" s="2891"/>
      <c r="H30" s="2891"/>
      <c r="I30" s="2891"/>
      <c r="J30" s="2667"/>
      <c r="K30" s="2842"/>
      <c r="L30" s="2839"/>
      <c r="M30" s="2839"/>
      <c r="N30" s="2667"/>
      <c r="O30" s="2678"/>
      <c r="P30" s="2667"/>
      <c r="Q30" s="2667"/>
      <c r="R30" s="2667"/>
      <c r="S30" s="2667"/>
      <c r="T30" s="2667"/>
      <c r="U30" s="2667"/>
      <c r="V30" s="2667"/>
    </row>
    <row r="31" spans="1:28">
      <c r="A31" s="3154" t="s">
        <v>2962</v>
      </c>
      <c r="B31" s="2650" t="s">
        <v>3065</v>
      </c>
      <c r="C31" s="2548" t="str">
        <f>IF(B31="现房","成新及维护状况正常否",IF(B31="在建","工程状态是否正常",IF(B31="土地","是否闲置","-")))</f>
        <v>成新及维护状况正常否</v>
      </c>
      <c r="D31" s="1559"/>
      <c r="E31" s="2651"/>
      <c r="F31" s="2891"/>
      <c r="G31" s="2891"/>
      <c r="H31" s="2891"/>
      <c r="I31" s="2891"/>
      <c r="J31" s="2667"/>
      <c r="K31" s="2841"/>
      <c r="L31" s="2839"/>
      <c r="M31" s="2839"/>
      <c r="N31" s="2667"/>
      <c r="O31" s="2678"/>
      <c r="P31" s="2667"/>
      <c r="Q31" s="2667"/>
      <c r="R31" s="2667"/>
      <c r="S31" s="2667"/>
      <c r="T31" s="2667"/>
      <c r="U31" s="2667"/>
      <c r="V31" s="2667"/>
    </row>
    <row r="32" spans="1:28">
      <c r="A32" s="3155"/>
      <c r="B32" s="2650"/>
      <c r="C32" s="2548" t="str">
        <f>IF(B32="现房","成新及维护状况是否正常",IF(B32="在建","工程状态是否正常",IF(B32="土地","是否闲置","-")))</f>
        <v>-</v>
      </c>
      <c r="D32" s="1559"/>
      <c r="E32" s="2651"/>
      <c r="F32" s="2891"/>
      <c r="G32" s="2891"/>
      <c r="H32" s="2891"/>
      <c r="I32" s="2891"/>
      <c r="J32" s="2667"/>
      <c r="K32" s="2842"/>
      <c r="L32" s="2839"/>
      <c r="M32" s="2839"/>
      <c r="N32" s="2667"/>
      <c r="O32" s="2678"/>
      <c r="P32" s="2667"/>
      <c r="Q32" s="2667"/>
      <c r="R32" s="2667"/>
      <c r="S32" s="2667"/>
      <c r="T32" s="2667"/>
      <c r="U32" s="2667"/>
      <c r="V32" s="2667"/>
    </row>
    <row r="33" spans="1:30">
      <c r="A33" s="3155"/>
      <c r="B33" s="2653"/>
      <c r="C33" s="1777" t="str">
        <f>IF(B33="现房","成新及维护状况是否正常",IF(B33="在建","工程状态是否正常",IF(B33="土地","是否闲置","-")))</f>
        <v>-</v>
      </c>
      <c r="D33" s="1551"/>
      <c r="E33" s="2654"/>
      <c r="F33" s="2891"/>
      <c r="G33" s="2891"/>
      <c r="H33" s="2891"/>
      <c r="I33" s="2891"/>
      <c r="J33" s="2667"/>
      <c r="K33" s="2842"/>
      <c r="L33" s="2839"/>
      <c r="M33" s="2839"/>
      <c r="N33" s="2667"/>
      <c r="O33" s="2678"/>
      <c r="P33" s="2667"/>
      <c r="Q33" s="2667"/>
      <c r="R33" s="2667"/>
      <c r="S33" s="2667"/>
      <c r="T33" s="2667"/>
      <c r="U33" s="2667"/>
      <c r="V33" s="2667"/>
    </row>
    <row r="34" spans="1:30">
      <c r="A34" s="308" t="s">
        <v>2963</v>
      </c>
      <c r="B34" s="2216" t="s">
        <v>3066</v>
      </c>
      <c r="C34" s="2216" t="s">
        <v>3067</v>
      </c>
      <c r="D34" s="2216" t="s">
        <v>3068</v>
      </c>
      <c r="E34" s="2216" t="s">
        <v>3069</v>
      </c>
      <c r="F34" s="2216" t="s">
        <v>3070</v>
      </c>
      <c r="G34" s="2216" t="s">
        <v>3071</v>
      </c>
      <c r="H34" s="2216" t="s">
        <v>3072</v>
      </c>
      <c r="I34" s="2891"/>
      <c r="J34" s="2667"/>
      <c r="K34" s="2655">
        <f>COUNTIF(B34:H34,"——")</f>
        <v>0</v>
      </c>
      <c r="L34" s="329" t="s">
        <v>2964</v>
      </c>
      <c r="M34" s="329" t="s">
        <v>2965</v>
      </c>
      <c r="N34" s="329" t="s">
        <v>2966</v>
      </c>
      <c r="O34" s="329" t="s">
        <v>2967</v>
      </c>
      <c r="P34" s="329" t="s">
        <v>2968</v>
      </c>
      <c r="Q34" s="329" t="s">
        <v>2969</v>
      </c>
      <c r="R34" s="329" t="s">
        <v>2970</v>
      </c>
      <c r="S34" s="3149" t="s">
        <v>2971</v>
      </c>
      <c r="T34" s="2656" t="str">
        <f>NUMBERSTRING(7-K34,1)&amp;"通"</f>
        <v>七通</v>
      </c>
      <c r="U34" s="2667"/>
      <c r="V34" s="2667"/>
    </row>
    <row r="35" spans="1:30">
      <c r="A35" s="2657"/>
      <c r="B35" s="3156" t="s">
        <v>2972</v>
      </c>
      <c r="C35" s="3156"/>
      <c r="D35" s="3156"/>
      <c r="E35" s="3156"/>
      <c r="F35" s="673">
        <f>C10</f>
        <v>0</v>
      </c>
      <c r="G35" s="2891"/>
      <c r="H35" s="2891"/>
      <c r="I35" s="2891"/>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49"/>
      <c r="T35" s="335" t="str">
        <f>IF(T34="一通",L35,IF(T34="二通",M35,IF(T34="三通",N35,IF(T34="四通",O35,IF(T34="五通",P35,IF(T34="六通",Q35,R35))))))</f>
        <v>通路、通电、通讯、通上水、通下水、通热、燃气</v>
      </c>
      <c r="U35" s="2667"/>
      <c r="V35" s="2667"/>
    </row>
    <row r="36" spans="1:30">
      <c r="A36" s="2658"/>
      <c r="B36" s="673" t="s">
        <v>2931</v>
      </c>
      <c r="C36" s="673" t="s">
        <v>2932</v>
      </c>
      <c r="D36" s="673" t="s">
        <v>2930</v>
      </c>
      <c r="E36" s="673" t="s">
        <v>2935</v>
      </c>
      <c r="F36" s="2897"/>
      <c r="G36" s="2891"/>
      <c r="H36" s="2891"/>
      <c r="I36" s="2891"/>
      <c r="J36" s="2667"/>
      <c r="K36" s="2842"/>
      <c r="L36" s="2839"/>
      <c r="M36" s="2839"/>
      <c r="N36" s="2667"/>
      <c r="O36" s="2678"/>
      <c r="P36" s="2667"/>
      <c r="Q36" s="2667"/>
      <c r="R36" s="2667"/>
      <c r="S36" s="2667"/>
      <c r="T36" s="2667"/>
      <c r="U36" s="2667"/>
      <c r="V36" s="2667"/>
    </row>
    <row r="37" spans="1:30">
      <c r="A37" s="2857" t="s">
        <v>2973</v>
      </c>
      <c r="B37" s="2659" t="s">
        <v>56</v>
      </c>
      <c r="C37" s="2659" t="s">
        <v>56</v>
      </c>
      <c r="D37" s="2659"/>
      <c r="E37" s="2659"/>
      <c r="F37" s="2897"/>
      <c r="G37" s="2891"/>
      <c r="H37" s="2891"/>
      <c r="I37" s="2891"/>
      <c r="J37" s="2667"/>
      <c r="K37" s="2842"/>
      <c r="L37" s="2839"/>
      <c r="M37" s="2839"/>
      <c r="N37" s="2667"/>
      <c r="O37" s="2678"/>
      <c r="P37" s="2667"/>
      <c r="Q37" s="2667"/>
      <c r="R37" s="2667"/>
      <c r="S37" s="2667"/>
      <c r="T37" s="2667"/>
      <c r="U37" s="2667"/>
      <c r="V37" s="2667"/>
    </row>
    <row r="38" spans="1:30" ht="13.5" thickBot="1">
      <c r="A38" s="2858" t="s">
        <v>2974</v>
      </c>
      <c r="B38" s="2660" t="s">
        <v>386</v>
      </c>
      <c r="C38" s="2660" t="s">
        <v>386</v>
      </c>
      <c r="D38" s="2660"/>
      <c r="E38" s="2660"/>
      <c r="F38" s="2898"/>
      <c r="G38" s="2892"/>
      <c r="H38" s="2892"/>
      <c r="I38" s="2892"/>
      <c r="J38" s="2667"/>
      <c r="K38" s="2842"/>
      <c r="L38" s="2839"/>
      <c r="M38" s="2839"/>
      <c r="N38" s="2667"/>
      <c r="O38" s="2678"/>
      <c r="P38" s="2667"/>
      <c r="Q38" s="2667"/>
      <c r="R38" s="2667"/>
      <c r="S38" s="2667"/>
      <c r="T38" s="2667"/>
      <c r="U38" s="2667"/>
      <c r="V38" s="2667"/>
    </row>
    <row r="39" spans="1:30" s="2663" customFormat="1" ht="14.25" thickTop="1" thickBot="1">
      <c r="A39" s="2661" t="s">
        <v>2975</v>
      </c>
      <c r="B39" s="2662"/>
      <c r="C39" s="2662"/>
      <c r="D39" s="2662"/>
      <c r="E39" s="2662"/>
      <c r="F39" s="2662"/>
      <c r="G39" s="2662"/>
      <c r="H39" s="2662"/>
      <c r="I39" s="2662"/>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6"/>
      <c r="B40" s="2596"/>
      <c r="C40" s="2596"/>
      <c r="D40" s="2596"/>
      <c r="E40" s="2596"/>
      <c r="F40" s="2596"/>
      <c r="G40" s="2596"/>
      <c r="H40" s="2596"/>
      <c r="I40" s="1765"/>
      <c r="J40" s="2735"/>
      <c r="K40" s="2841"/>
      <c r="L40" s="2679"/>
      <c r="M40" s="2679"/>
      <c r="N40" s="2735"/>
      <c r="O40" s="2679"/>
      <c r="P40" s="2667"/>
      <c r="Q40" s="2667"/>
      <c r="R40" s="2667"/>
      <c r="S40" s="2667"/>
      <c r="T40" s="2667"/>
      <c r="U40" s="2667"/>
      <c r="V40" s="2667"/>
    </row>
    <row r="41" spans="1:30">
      <c r="A41" s="2664" t="s">
        <v>2976</v>
      </c>
      <c r="B41" s="1945"/>
      <c r="C41" s="1559"/>
      <c r="D41" s="2596"/>
      <c r="E41" s="2596"/>
      <c r="F41" s="2596"/>
      <c r="G41" s="2596"/>
      <c r="H41" s="2596"/>
      <c r="I41" s="1763"/>
      <c r="J41" s="2667"/>
      <c r="K41" s="2842"/>
      <c r="L41" s="2839"/>
      <c r="M41" s="2839"/>
      <c r="N41" s="2667"/>
      <c r="O41" s="2678"/>
      <c r="P41" s="2667"/>
      <c r="Q41" s="2667"/>
      <c r="R41" s="2667"/>
      <c r="S41" s="2667"/>
      <c r="T41" s="2667"/>
      <c r="U41" s="2667"/>
      <c r="V41" s="2667"/>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8" sqref="E8"/>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信息!F31</f>
        <v>2411.61</v>
      </c>
      <c r="B3" s="14">
        <f>IF(C3="否",G5-AT5,G5)</f>
        <v>11966.17</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11966.17</v>
      </c>
      <c r="H5" s="16">
        <f t="shared" ref="H5:AT5" si="0">SUM(H13:H656)</f>
        <v>11966.17</v>
      </c>
      <c r="I5" s="16">
        <f t="shared" si="0"/>
        <v>1408.09</v>
      </c>
      <c r="J5" s="16">
        <f t="shared" si="0"/>
        <v>0</v>
      </c>
      <c r="K5" s="16">
        <f t="shared" si="0"/>
        <v>10558.08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11966.17</v>
      </c>
      <c r="BA5" s="18">
        <f t="shared" si="1"/>
        <v>11966.17</v>
      </c>
      <c r="BB5" s="18">
        <f t="shared" si="1"/>
        <v>1408.09</v>
      </c>
      <c r="BC5" s="18">
        <f t="shared" si="1"/>
        <v>10558.08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2411.6099999999997</v>
      </c>
      <c r="F6" s="16" t="s">
        <v>1</v>
      </c>
      <c r="G6" s="16" t="s">
        <v>2</v>
      </c>
      <c r="H6" s="20">
        <f>SUMIF(I$12:AB$12,"总值",I6:AB6)</f>
        <v>2411.6099999999997</v>
      </c>
      <c r="I6" s="16">
        <f t="shared" ref="I6:AB6" si="2">ROUND($A$3*I5/$B$3,2)</f>
        <v>283.77999999999997</v>
      </c>
      <c r="J6" s="16">
        <f t="shared" si="2"/>
        <v>0</v>
      </c>
      <c r="K6" s="16">
        <f t="shared" si="2"/>
        <v>2127.83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2411.61</v>
      </c>
      <c r="AZ6" s="16" t="s">
        <v>3</v>
      </c>
      <c r="BA6" s="16">
        <f>ROUND($AY$6*BA5/$AZ$5,2)</f>
        <v>2411.61</v>
      </c>
      <c r="BB6" s="16">
        <f>ROUND($AY$6*BB5/$AZ$5,2)</f>
        <v>283.77999999999997</v>
      </c>
      <c r="BC6" s="16">
        <f t="shared" ref="BC6:BH6" si="4">ROUND($AY$6*BC5/$AZ$5,2)</f>
        <v>2127.83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3131</v>
      </c>
      <c r="J9" s="918"/>
      <c r="K9" s="1790" t="s">
        <v>3131</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27</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地上</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3134</v>
      </c>
      <c r="J11" s="1802"/>
      <c r="K11" s="1801" t="s">
        <v>3132</v>
      </c>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办公</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t="str">
        <f>K11</f>
        <v>办公楼</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3130</v>
      </c>
      <c r="E13" s="16">
        <f>IF($C$3="是",ROUND($A$3*G13/$B$3,2),ROUND($A$3*(G13-AT13)/$B$3,2))</f>
        <v>2411.61</v>
      </c>
      <c r="F13" s="32"/>
      <c r="G13" s="33">
        <f>H13+AC13+AT13</f>
        <v>11966.17</v>
      </c>
      <c r="H13" s="20">
        <f>SUMIF(I$12:AB$12,"总值",I13:AB13)</f>
        <v>11966.17</v>
      </c>
      <c r="I13" s="1813">
        <v>1408.09</v>
      </c>
      <c r="J13" s="1813"/>
      <c r="K13" s="1813">
        <v>10558.08</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2411.61</v>
      </c>
      <c r="AZ13" s="16">
        <f>BA13+BL13</f>
        <v>11966.17</v>
      </c>
      <c r="BA13" s="16">
        <f>SUM(BB13:BK13)</f>
        <v>11966.17</v>
      </c>
      <c r="BB13" s="16">
        <f>IF($D13="是",I13-J13,0)</f>
        <v>1408.09</v>
      </c>
      <c r="BC13" s="16">
        <f>IF($D13="是",K13-L13,0)</f>
        <v>10558.08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C1D94-BF31-4A0C-A019-037550A0387F}">
  <dimension ref="A1:Q51"/>
  <sheetViews>
    <sheetView topLeftCell="A34" workbookViewId="0">
      <selection activeCell="G35" sqref="G35:K51"/>
    </sheetView>
  </sheetViews>
  <sheetFormatPr defaultRowHeight="13.5"/>
  <cols>
    <col min="1" max="1" width="13" bestFit="1" customWidth="1"/>
    <col min="7" max="7" width="11" bestFit="1" customWidth="1"/>
    <col min="9" max="9" width="11" bestFit="1" customWidth="1"/>
    <col min="10" max="10" width="13" bestFit="1" customWidth="1"/>
    <col min="15" max="15" width="11" bestFit="1" customWidth="1"/>
    <col min="16" max="16" width="11.75" customWidth="1"/>
  </cols>
  <sheetData>
    <row r="1" spans="1:12">
      <c r="A1" s="3066" t="s">
        <v>3073</v>
      </c>
    </row>
    <row r="2" spans="1:12">
      <c r="A2" s="3066" t="s">
        <v>3074</v>
      </c>
      <c r="B2">
        <v>41963.654999999999</v>
      </c>
    </row>
    <row r="3" spans="1:12">
      <c r="A3" s="3066" t="s">
        <v>3075</v>
      </c>
      <c r="B3">
        <v>109498</v>
      </c>
    </row>
    <row r="4" spans="1:12">
      <c r="A4" s="3066" t="s">
        <v>3076</v>
      </c>
      <c r="B4">
        <v>82248.600000000006</v>
      </c>
      <c r="C4" s="3066" t="s">
        <v>3077</v>
      </c>
      <c r="D4">
        <v>28000</v>
      </c>
      <c r="E4">
        <v>1.5</v>
      </c>
    </row>
    <row r="5" spans="1:12">
      <c r="A5" s="3066" t="s">
        <v>3078</v>
      </c>
      <c r="B5">
        <v>27249.4</v>
      </c>
      <c r="C5" s="3066" t="s">
        <v>3079</v>
      </c>
      <c r="D5">
        <v>36000</v>
      </c>
      <c r="E5">
        <v>2.2000000000000002</v>
      </c>
    </row>
    <row r="7" spans="1:12">
      <c r="A7" s="3067" t="s">
        <v>3080</v>
      </c>
      <c r="B7" s="3067" t="s">
        <v>3081</v>
      </c>
      <c r="C7" s="3067" t="s">
        <v>3082</v>
      </c>
      <c r="D7" s="3066" t="s">
        <v>3083</v>
      </c>
      <c r="E7" s="3066" t="s">
        <v>3084</v>
      </c>
      <c r="F7" s="3066" t="s">
        <v>3085</v>
      </c>
      <c r="G7" s="3066"/>
    </row>
    <row r="8" spans="1:12">
      <c r="A8" s="3179" t="s">
        <v>3086</v>
      </c>
      <c r="B8" s="3067" t="s">
        <v>3087</v>
      </c>
      <c r="C8" s="3078">
        <v>9622.0400000000009</v>
      </c>
      <c r="D8" s="3066">
        <v>15</v>
      </c>
      <c r="E8" s="3066">
        <v>0</v>
      </c>
      <c r="F8" s="3066">
        <v>59.7</v>
      </c>
      <c r="G8" s="3069">
        <v>0.95</v>
      </c>
      <c r="I8" s="3070">
        <v>1</v>
      </c>
      <c r="J8" s="3070">
        <v>2</v>
      </c>
      <c r="K8" s="3070">
        <v>3</v>
      </c>
      <c r="L8" s="3070" t="s">
        <v>3088</v>
      </c>
    </row>
    <row r="9" spans="1:12">
      <c r="A9" s="3179"/>
      <c r="B9" s="3067" t="s">
        <v>3089</v>
      </c>
      <c r="C9" s="3078">
        <v>1218.31</v>
      </c>
      <c r="D9" s="3071">
        <v>2</v>
      </c>
      <c r="E9" s="3066">
        <v>0</v>
      </c>
      <c r="G9" s="3072">
        <v>0.95</v>
      </c>
      <c r="I9" s="3070">
        <f>ROUND(C9/2,2)</f>
        <v>609.16</v>
      </c>
      <c r="J9" s="3073">
        <f>C9-I9</f>
        <v>609.15</v>
      </c>
      <c r="K9" s="3073"/>
      <c r="L9" s="3073">
        <f>SUM(I9:K9)</f>
        <v>1218.31</v>
      </c>
    </row>
    <row r="10" spans="1:12">
      <c r="A10" s="3067" t="s">
        <v>3090</v>
      </c>
      <c r="B10" s="3067" t="s">
        <v>3089</v>
      </c>
      <c r="C10" s="3068">
        <v>3547.83</v>
      </c>
      <c r="D10">
        <v>3</v>
      </c>
      <c r="E10">
        <v>0</v>
      </c>
      <c r="F10">
        <v>13.9</v>
      </c>
      <c r="G10" s="3072">
        <v>0.5</v>
      </c>
      <c r="I10" s="3070"/>
      <c r="J10" s="3070"/>
      <c r="K10" s="3073"/>
      <c r="L10" s="3073">
        <f t="shared" ref="L10:L14" si="0">SUM(I10:K10)</f>
        <v>0</v>
      </c>
    </row>
    <row r="11" spans="1:12">
      <c r="A11" s="3067" t="s">
        <v>3091</v>
      </c>
      <c r="B11" s="3067" t="s">
        <v>3089</v>
      </c>
      <c r="C11" s="3068">
        <v>3549.39</v>
      </c>
      <c r="D11">
        <v>3</v>
      </c>
      <c r="E11">
        <v>0</v>
      </c>
      <c r="F11">
        <v>13.9</v>
      </c>
      <c r="G11" s="3072">
        <v>0.5</v>
      </c>
      <c r="I11" s="3070"/>
      <c r="J11" s="3070"/>
      <c r="K11" s="3073"/>
      <c r="L11" s="3073">
        <f t="shared" si="0"/>
        <v>0</v>
      </c>
    </row>
    <row r="12" spans="1:12">
      <c r="A12" s="3067" t="s">
        <v>3092</v>
      </c>
      <c r="B12" s="3067" t="s">
        <v>3089</v>
      </c>
      <c r="C12" s="3068">
        <v>522.01</v>
      </c>
      <c r="D12">
        <v>1</v>
      </c>
      <c r="E12">
        <v>0</v>
      </c>
      <c r="F12">
        <v>5.9</v>
      </c>
      <c r="G12" s="3072">
        <v>0</v>
      </c>
      <c r="I12" s="3070"/>
      <c r="J12" s="3070"/>
      <c r="K12" s="3073"/>
      <c r="L12" s="3073">
        <f t="shared" si="0"/>
        <v>0</v>
      </c>
    </row>
    <row r="13" spans="1:12">
      <c r="A13" s="3067" t="s">
        <v>3093</v>
      </c>
      <c r="B13" s="3067" t="s">
        <v>3089</v>
      </c>
      <c r="C13" s="3068">
        <v>3052.69</v>
      </c>
      <c r="D13">
        <v>3</v>
      </c>
      <c r="E13">
        <v>0</v>
      </c>
      <c r="F13">
        <v>13.9</v>
      </c>
      <c r="G13" s="3072">
        <v>0.6</v>
      </c>
      <c r="I13" s="3070"/>
      <c r="J13" s="3070"/>
      <c r="K13" s="3073"/>
      <c r="L13" s="3073">
        <f t="shared" si="0"/>
        <v>0</v>
      </c>
    </row>
    <row r="14" spans="1:12">
      <c r="A14" s="3067" t="s">
        <v>3094</v>
      </c>
      <c r="B14" s="3067" t="s">
        <v>3089</v>
      </c>
      <c r="C14" s="3068">
        <v>2546.33</v>
      </c>
      <c r="D14">
        <v>3</v>
      </c>
      <c r="E14">
        <v>0</v>
      </c>
      <c r="F14">
        <v>14.2</v>
      </c>
      <c r="G14" s="3072">
        <v>0.95</v>
      </c>
      <c r="I14" s="3070"/>
      <c r="J14" s="3070"/>
      <c r="K14" s="3073"/>
      <c r="L14" s="3073">
        <f t="shared" si="0"/>
        <v>0</v>
      </c>
    </row>
    <row r="15" spans="1:12">
      <c r="A15" s="3179" t="s">
        <v>3095</v>
      </c>
      <c r="B15" s="3067" t="s">
        <v>3096</v>
      </c>
      <c r="C15" s="3068">
        <v>953.5</v>
      </c>
      <c r="G15" s="3074">
        <f>ROUND(((C8+C9)*G8+C10*G10+C11*G11+C12*G12+C13*G13+C14*G14)/(J22-J21),2)</f>
        <v>1.67</v>
      </c>
      <c r="I15" s="3070">
        <f>SUM(I9:I14)</f>
        <v>609.16</v>
      </c>
      <c r="J15" s="3070">
        <f>SUM(J9:J14)</f>
        <v>609.15</v>
      </c>
      <c r="K15" s="3070">
        <f>SUM(K9:K14)</f>
        <v>0</v>
      </c>
      <c r="L15" s="3073">
        <f>SUM(L9:L14)</f>
        <v>1218.31</v>
      </c>
    </row>
    <row r="16" spans="1:12">
      <c r="A16" s="3179"/>
      <c r="B16" s="3067" t="s">
        <v>3097</v>
      </c>
      <c r="C16" s="3068">
        <v>2062.31</v>
      </c>
    </row>
    <row r="17" spans="1:17">
      <c r="A17" s="3179"/>
      <c r="B17" s="3067" t="s">
        <v>3098</v>
      </c>
      <c r="C17" s="3068">
        <v>1109.97</v>
      </c>
      <c r="I17" s="3070" t="s">
        <v>3087</v>
      </c>
      <c r="J17" s="3073">
        <f>C8</f>
        <v>9622.0400000000009</v>
      </c>
      <c r="K17" s="3066" t="s">
        <v>3099</v>
      </c>
      <c r="L17" s="3066" t="s">
        <v>1320</v>
      </c>
      <c r="M17" s="3066" t="s">
        <v>3100</v>
      </c>
      <c r="O17" s="3070" t="s">
        <v>3101</v>
      </c>
      <c r="P17" s="3073">
        <v>117457</v>
      </c>
    </row>
    <row r="18" spans="1:17">
      <c r="A18" s="3179" t="s">
        <v>3102</v>
      </c>
      <c r="B18" s="3067" t="s">
        <v>3103</v>
      </c>
      <c r="C18" s="3068">
        <f>23997.19-C19</f>
        <v>12679.839999999998</v>
      </c>
      <c r="I18" s="3070" t="s">
        <v>3104</v>
      </c>
      <c r="J18" s="3073">
        <f>I15</f>
        <v>609.16</v>
      </c>
      <c r="K18">
        <v>1</v>
      </c>
      <c r="L18" s="3075">
        <v>6</v>
      </c>
      <c r="O18" s="3070" t="s">
        <v>3105</v>
      </c>
      <c r="P18" s="3073">
        <v>24183.47</v>
      </c>
    </row>
    <row r="19" spans="1:17">
      <c r="A19" s="3179"/>
      <c r="B19" s="3067" t="s">
        <v>3098</v>
      </c>
      <c r="C19" s="3068">
        <v>11317.35</v>
      </c>
      <c r="I19" s="3070" t="s">
        <v>3106</v>
      </c>
      <c r="J19" s="3073">
        <f>J15</f>
        <v>609.15</v>
      </c>
      <c r="K19">
        <v>0.7</v>
      </c>
      <c r="L19">
        <f>L18*K19</f>
        <v>4.1999999999999993</v>
      </c>
      <c r="O19" s="3070" t="s">
        <v>3107</v>
      </c>
      <c r="P19" s="3073">
        <v>52306</v>
      </c>
    </row>
    <row r="20" spans="1:17">
      <c r="A20" s="3067" t="s">
        <v>3108</v>
      </c>
      <c r="B20" s="3067" t="s">
        <v>3098</v>
      </c>
      <c r="C20" s="3068">
        <v>31</v>
      </c>
      <c r="I20" s="3070" t="s">
        <v>3109</v>
      </c>
      <c r="J20" s="3073">
        <f>K15</f>
        <v>0</v>
      </c>
      <c r="K20">
        <v>0.6</v>
      </c>
      <c r="L20">
        <f>L18*K20</f>
        <v>3.5999999999999996</v>
      </c>
    </row>
    <row r="21" spans="1:17">
      <c r="A21" s="3067" t="s">
        <v>3110</v>
      </c>
      <c r="B21" s="3067" t="s">
        <v>3098</v>
      </c>
      <c r="C21" s="3068">
        <v>38</v>
      </c>
      <c r="I21" s="3070" t="s">
        <v>3111</v>
      </c>
      <c r="J21" s="3073">
        <f>C16+C18</f>
        <v>14742.149999999998</v>
      </c>
      <c r="L21">
        <f>ROUND((L18*J18+L19*J19+L20*J20)/(J18+J19+J20),2)</f>
        <v>5.0999999999999996</v>
      </c>
      <c r="M21">
        <f>ROUND([1]假设开发法!C6*[1]信息!L18/[1]信息!L21,0)</f>
        <v>34121</v>
      </c>
    </row>
    <row r="22" spans="1:17">
      <c r="A22" s="3067" t="s">
        <v>3112</v>
      </c>
      <c r="B22" s="3067" t="s">
        <v>3098</v>
      </c>
      <c r="C22" s="3068">
        <v>55.87</v>
      </c>
      <c r="I22" s="3070" t="s">
        <v>3113</v>
      </c>
      <c r="J22" s="3073">
        <f>SUM(J17:J21)</f>
        <v>25582.5</v>
      </c>
      <c r="L22" s="3066" t="s">
        <v>3114</v>
      </c>
      <c r="O22" s="3179" t="s">
        <v>3115</v>
      </c>
      <c r="P22" s="3179"/>
      <c r="Q22" s="3073">
        <v>208219.69</v>
      </c>
    </row>
    <row r="23" spans="1:17">
      <c r="A23" s="3067" t="s">
        <v>3116</v>
      </c>
      <c r="B23" s="3068"/>
      <c r="C23" s="3068">
        <f>SUM(C8:C22)</f>
        <v>52306.44</v>
      </c>
      <c r="D23">
        <f>SUM(C8:C14)+C20+C21+C22</f>
        <v>24183.469999999998</v>
      </c>
      <c r="E23">
        <f>C23-D23</f>
        <v>28122.970000000005</v>
      </c>
      <c r="O23" s="3179" t="s">
        <v>3117</v>
      </c>
      <c r="P23" s="3179"/>
      <c r="Q23" s="3073">
        <v>41963.654999999999</v>
      </c>
    </row>
    <row r="24" spans="1:17">
      <c r="I24" t="s">
        <v>3118</v>
      </c>
      <c r="J24">
        <v>24148.19</v>
      </c>
      <c r="O24" s="3179" t="s">
        <v>3119</v>
      </c>
      <c r="P24" s="3070" t="s">
        <v>3077</v>
      </c>
      <c r="Q24" s="3073">
        <v>27959.38</v>
      </c>
    </row>
    <row r="25" spans="1:17">
      <c r="C25">
        <f>C23-C22-C21-C20-C19-C17</f>
        <v>39754.25</v>
      </c>
      <c r="D25">
        <f>C22+C21+C20+C19+C17</f>
        <v>12552.19</v>
      </c>
      <c r="I25" t="s">
        <v>3120</v>
      </c>
      <c r="J25">
        <v>17815.47</v>
      </c>
      <c r="O25" s="3180"/>
      <c r="P25" s="3070" t="s">
        <v>3121</v>
      </c>
      <c r="Q25" s="3073">
        <v>18221.68</v>
      </c>
    </row>
    <row r="26" spans="1:17">
      <c r="I26" t="s">
        <v>3122</v>
      </c>
      <c r="J26">
        <f>SUM(J24:J25)</f>
        <v>41963.66</v>
      </c>
      <c r="O26" s="3180"/>
      <c r="P26" s="3070" t="s">
        <v>3079</v>
      </c>
      <c r="Q26" s="3073">
        <v>35919.019999999997</v>
      </c>
    </row>
    <row r="27" spans="1:17">
      <c r="F27" s="3066" t="s">
        <v>3123</v>
      </c>
      <c r="G27" s="3066"/>
      <c r="O27" s="3180"/>
      <c r="P27" s="3070" t="s">
        <v>3087</v>
      </c>
      <c r="Q27" s="3073">
        <v>9622.0400000000009</v>
      </c>
    </row>
    <row r="28" spans="1:17">
      <c r="O28" s="3180"/>
      <c r="P28" s="3070" t="s">
        <v>3089</v>
      </c>
      <c r="Q28" s="3073">
        <v>17551.009999999998</v>
      </c>
    </row>
    <row r="29" spans="1:17">
      <c r="B29" s="3066" t="s">
        <v>3082</v>
      </c>
      <c r="C29" s="3066" t="s">
        <v>3098</v>
      </c>
      <c r="D29" s="3066" t="s">
        <v>3168</v>
      </c>
      <c r="O29" s="3180"/>
      <c r="P29" s="3070" t="s">
        <v>3124</v>
      </c>
      <c r="Q29" s="3073">
        <v>8308.8700000000008</v>
      </c>
    </row>
    <row r="30" spans="1:17" ht="67.5">
      <c r="A30" s="3066" t="s">
        <v>3125</v>
      </c>
      <c r="B30">
        <v>146388.75</v>
      </c>
      <c r="C30">
        <f>11292.6+37+47</f>
        <v>11376.6</v>
      </c>
      <c r="D30" s="3103" t="s">
        <v>3166</v>
      </c>
      <c r="G30" s="3103"/>
      <c r="O30" s="3073"/>
      <c r="P30" s="3070" t="s">
        <v>3088</v>
      </c>
      <c r="Q30" s="3073">
        <f>SUM(Q24:Q29)</f>
        <v>117581.99999999999</v>
      </c>
    </row>
    <row r="31" spans="1:17">
      <c r="A31" s="3066" t="s">
        <v>3126</v>
      </c>
      <c r="B31">
        <v>9524.5</v>
      </c>
      <c r="C31">
        <v>399.47</v>
      </c>
      <c r="D31">
        <v>5</v>
      </c>
      <c r="E31" s="3066" t="s">
        <v>3127</v>
      </c>
      <c r="F31" s="3076">
        <f>ROUND('数据-汇总表'!E3/B33*J26,2)</f>
        <v>2411.61</v>
      </c>
      <c r="O31" s="3179" t="s">
        <v>3128</v>
      </c>
      <c r="P31" s="3070" t="s">
        <v>3103</v>
      </c>
      <c r="Q31" s="3073">
        <v>29447.9</v>
      </c>
    </row>
    <row r="32" spans="1:17" ht="67.5">
      <c r="A32" s="3066" t="s">
        <v>3129</v>
      </c>
      <c r="B32">
        <v>52306.44</v>
      </c>
      <c r="C32">
        <f>1109.97+11317.35+31+38+55.87</f>
        <v>12552.19</v>
      </c>
      <c r="D32" s="3104" t="s">
        <v>3167</v>
      </c>
      <c r="G32" s="3077"/>
      <c r="O32" s="3180"/>
      <c r="P32" s="3070" t="s">
        <v>3096</v>
      </c>
      <c r="Q32" s="3073">
        <v>17893.36</v>
      </c>
    </row>
    <row r="33" spans="1:17">
      <c r="B33">
        <f>SUM(B30:B32)</f>
        <v>208219.69</v>
      </c>
      <c r="C33">
        <f>SUM(C30:C32)</f>
        <v>24328.260000000002</v>
      </c>
      <c r="O33" s="3180"/>
      <c r="P33" s="3070" t="s">
        <v>3124</v>
      </c>
      <c r="Q33" s="3073">
        <v>43296.43</v>
      </c>
    </row>
    <row r="34" spans="1:17">
      <c r="O34" s="3073"/>
      <c r="P34" s="3070" t="s">
        <v>3088</v>
      </c>
      <c r="Q34" s="3073">
        <f>SUM(Q31:Q33)</f>
        <v>90637.69</v>
      </c>
    </row>
    <row r="35" spans="1:17">
      <c r="A35" s="3066" t="s">
        <v>3133</v>
      </c>
      <c r="G35" s="3085" t="s">
        <v>3169</v>
      </c>
      <c r="H35" s="3085" t="s">
        <v>3173</v>
      </c>
      <c r="I35" s="3085" t="s">
        <v>3175</v>
      </c>
      <c r="J35" s="3085" t="s">
        <v>3174</v>
      </c>
      <c r="K35" s="3085" t="s">
        <v>3176</v>
      </c>
    </row>
    <row r="36" spans="1:17">
      <c r="G36" s="3447" t="s">
        <v>3170</v>
      </c>
      <c r="H36" s="3086">
        <v>1</v>
      </c>
      <c r="I36" s="3085" t="s">
        <v>3177</v>
      </c>
      <c r="J36" s="3180">
        <v>2411.61</v>
      </c>
      <c r="K36" s="3086">
        <v>600.01</v>
      </c>
    </row>
    <row r="37" spans="1:17">
      <c r="G37" s="3447" t="s">
        <v>3171</v>
      </c>
      <c r="H37" s="3086">
        <v>2</v>
      </c>
      <c r="I37" s="3085" t="s">
        <v>3177</v>
      </c>
      <c r="J37" s="3180"/>
      <c r="K37" s="3086">
        <v>808.08</v>
      </c>
    </row>
    <row r="38" spans="1:17">
      <c r="G38" s="3447" t="s">
        <v>3172</v>
      </c>
      <c r="H38" s="3086">
        <v>3</v>
      </c>
      <c r="I38" s="3085" t="s">
        <v>3178</v>
      </c>
      <c r="J38" s="3180"/>
      <c r="K38" s="3086">
        <v>812.16</v>
      </c>
    </row>
    <row r="39" spans="1:17">
      <c r="G39" s="3447" t="s">
        <v>3179</v>
      </c>
      <c r="H39" s="3086">
        <v>4</v>
      </c>
      <c r="I39" s="3085" t="s">
        <v>3178</v>
      </c>
      <c r="J39" s="3180"/>
      <c r="K39" s="3086">
        <f>K38</f>
        <v>812.16</v>
      </c>
    </row>
    <row r="40" spans="1:17">
      <c r="G40" s="3447" t="s">
        <v>3180</v>
      </c>
      <c r="H40" s="3086">
        <v>5</v>
      </c>
      <c r="I40" s="3085" t="s">
        <v>3178</v>
      </c>
      <c r="J40" s="3180"/>
      <c r="K40" s="3086">
        <f>K39</f>
        <v>812.16</v>
      </c>
    </row>
    <row r="41" spans="1:17">
      <c r="G41" s="3447" t="s">
        <v>3181</v>
      </c>
      <c r="H41" s="3086">
        <v>6</v>
      </c>
      <c r="I41" s="3085" t="s">
        <v>3178</v>
      </c>
      <c r="J41" s="3180"/>
      <c r="K41" s="3086">
        <f t="shared" ref="K41:K50" si="1">K40</f>
        <v>812.16</v>
      </c>
    </row>
    <row r="42" spans="1:17">
      <c r="G42" s="3447" t="s">
        <v>3182</v>
      </c>
      <c r="H42" s="3086">
        <v>7</v>
      </c>
      <c r="I42" s="3085" t="s">
        <v>3178</v>
      </c>
      <c r="J42" s="3180"/>
      <c r="K42" s="3086">
        <f t="shared" si="1"/>
        <v>812.16</v>
      </c>
    </row>
    <row r="43" spans="1:17">
      <c r="G43" s="3447" t="s">
        <v>3183</v>
      </c>
      <c r="H43" s="3086">
        <v>8</v>
      </c>
      <c r="I43" s="3085" t="s">
        <v>3178</v>
      </c>
      <c r="J43" s="3180"/>
      <c r="K43" s="3086">
        <f t="shared" si="1"/>
        <v>812.16</v>
      </c>
    </row>
    <row r="44" spans="1:17">
      <c r="G44" s="3447" t="s">
        <v>3184</v>
      </c>
      <c r="H44" s="3086">
        <v>9</v>
      </c>
      <c r="I44" s="3085" t="s">
        <v>3178</v>
      </c>
      <c r="J44" s="3180"/>
      <c r="K44" s="3086">
        <f t="shared" si="1"/>
        <v>812.16</v>
      </c>
    </row>
    <row r="45" spans="1:17">
      <c r="G45" s="3447" t="s">
        <v>3185</v>
      </c>
      <c r="H45" s="3086">
        <v>10</v>
      </c>
      <c r="I45" s="3085" t="s">
        <v>3178</v>
      </c>
      <c r="J45" s="3180"/>
      <c r="K45" s="3086">
        <f t="shared" si="1"/>
        <v>812.16</v>
      </c>
    </row>
    <row r="46" spans="1:17">
      <c r="G46" s="3447" t="s">
        <v>3186</v>
      </c>
      <c r="H46" s="3086">
        <v>11</v>
      </c>
      <c r="I46" s="3085" t="s">
        <v>3178</v>
      </c>
      <c r="J46" s="3180"/>
      <c r="K46" s="3086">
        <f t="shared" si="1"/>
        <v>812.16</v>
      </c>
    </row>
    <row r="47" spans="1:17">
      <c r="G47" s="3447" t="s">
        <v>3187</v>
      </c>
      <c r="H47" s="3086">
        <v>12</v>
      </c>
      <c r="I47" s="3085" t="s">
        <v>3178</v>
      </c>
      <c r="J47" s="3180"/>
      <c r="K47" s="3086">
        <f t="shared" si="1"/>
        <v>812.16</v>
      </c>
    </row>
    <row r="48" spans="1:17">
      <c r="G48" s="3447" t="s">
        <v>3188</v>
      </c>
      <c r="H48" s="3086">
        <v>13</v>
      </c>
      <c r="I48" s="3085" t="s">
        <v>3178</v>
      </c>
      <c r="J48" s="3180"/>
      <c r="K48" s="3086">
        <f t="shared" si="1"/>
        <v>812.16</v>
      </c>
    </row>
    <row r="49" spans="7:11">
      <c r="G49" s="3447" t="s">
        <v>3189</v>
      </c>
      <c r="H49" s="3086">
        <v>14</v>
      </c>
      <c r="I49" s="3085" t="s">
        <v>3178</v>
      </c>
      <c r="J49" s="3180"/>
      <c r="K49" s="3086">
        <f t="shared" si="1"/>
        <v>812.16</v>
      </c>
    </row>
    <row r="50" spans="7:11">
      <c r="G50" s="3447" t="s">
        <v>3190</v>
      </c>
      <c r="H50" s="3086">
        <v>15</v>
      </c>
      <c r="I50" s="3085" t="s">
        <v>3178</v>
      </c>
      <c r="J50" s="3180"/>
      <c r="K50" s="3086">
        <f t="shared" si="1"/>
        <v>812.16</v>
      </c>
    </row>
    <row r="51" spans="7:11">
      <c r="G51" s="3179" t="s">
        <v>3191</v>
      </c>
      <c r="H51" s="3180"/>
      <c r="I51" s="3180"/>
      <c r="J51" s="3086">
        <f>J36</f>
        <v>2411.61</v>
      </c>
      <c r="K51" s="3086">
        <f>SUM(K36:K50)</f>
        <v>11966.169999999998</v>
      </c>
    </row>
  </sheetData>
  <mergeCells count="9">
    <mergeCell ref="J36:J50"/>
    <mergeCell ref="G51:I51"/>
    <mergeCell ref="O31:O33"/>
    <mergeCell ref="A8:A9"/>
    <mergeCell ref="A15:A17"/>
    <mergeCell ref="A18:A19"/>
    <mergeCell ref="O22:P22"/>
    <mergeCell ref="O23:P23"/>
    <mergeCell ref="O24:O29"/>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1" t="s">
        <v>0</v>
      </c>
      <c r="B1" s="3181" t="s">
        <v>4</v>
      </c>
      <c r="C1" s="3181" t="s">
        <v>5</v>
      </c>
      <c r="D1" s="3182" t="s">
        <v>53</v>
      </c>
      <c r="E1" s="3182" t="s">
        <v>54</v>
      </c>
      <c r="F1" s="3182"/>
      <c r="G1" s="3182"/>
      <c r="H1" s="3182"/>
      <c r="I1" s="3182"/>
      <c r="J1" s="3182"/>
      <c r="K1" s="3182"/>
      <c r="L1" s="3182"/>
      <c r="M1" s="3182"/>
    </row>
    <row r="2" spans="1:13" ht="27" customHeight="1">
      <c r="A2" s="3181"/>
      <c r="B2" s="3181"/>
      <c r="C2" s="3181"/>
      <c r="D2" s="3182"/>
      <c r="E2" s="3182" t="s">
        <v>37</v>
      </c>
      <c r="F2" s="3182" t="s">
        <v>38</v>
      </c>
      <c r="G2" s="3182"/>
      <c r="H2" s="3182"/>
      <c r="I2" s="3182"/>
      <c r="J2" s="3182" t="s">
        <v>39</v>
      </c>
      <c r="K2" s="3182"/>
      <c r="L2" s="3182"/>
      <c r="M2" s="3182"/>
    </row>
    <row r="3" spans="1:13" ht="28.5">
      <c r="A3" s="3181"/>
      <c r="B3" s="3181"/>
      <c r="C3" s="3181"/>
      <c r="D3" s="3182"/>
      <c r="E3" s="31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2" t="s">
        <v>55</v>
      </c>
      <c r="B9" s="3182"/>
      <c r="C9" s="31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6"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92" t="s">
        <v>1817</v>
      </c>
      <c r="B2" s="3192"/>
      <c r="C2" s="3192"/>
      <c r="D2" s="904" t="s">
        <v>1793</v>
      </c>
      <c r="E2" s="1826" t="s">
        <v>1794</v>
      </c>
      <c r="F2" s="2886"/>
      <c r="G2" s="2877"/>
      <c r="H2" s="2878"/>
      <c r="I2" s="2550" t="s">
        <v>1818</v>
      </c>
      <c r="J2" s="2886"/>
      <c r="K2" s="2886"/>
      <c r="L2" s="2886"/>
      <c r="M2" s="2886"/>
      <c r="N2" s="2888"/>
      <c r="O2" s="2886"/>
      <c r="P2" s="2886"/>
    </row>
    <row r="3" spans="1:16" ht="15.75" thickBot="1">
      <c r="A3" s="3193" t="s">
        <v>1791</v>
      </c>
      <c r="B3" s="3193"/>
      <c r="C3" s="3193"/>
      <c r="D3" s="46">
        <f>'数据-基础表'!AY6</f>
        <v>2411.61</v>
      </c>
      <c r="E3" s="46">
        <f>'数据-基础表'!AZ5</f>
        <v>11966.17</v>
      </c>
      <c r="F3" s="2886"/>
      <c r="G3" s="1307"/>
      <c r="H3" s="1157" t="s">
        <v>1792</v>
      </c>
      <c r="I3" s="964">
        <f>ROUND('数据-基础表'!B3/'数据-基础表'!A3,2)</f>
        <v>4.96</v>
      </c>
      <c r="J3" s="2886"/>
      <c r="K3" s="2886"/>
      <c r="L3" s="2886"/>
      <c r="M3" s="2886"/>
      <c r="N3" s="2888"/>
      <c r="O3" s="2886"/>
      <c r="P3" s="2886"/>
    </row>
    <row r="4" spans="1:16" ht="15">
      <c r="A4" s="3194"/>
      <c r="B4" s="3195"/>
      <c r="C4" s="3196"/>
      <c r="D4" s="1828" t="s">
        <v>1793</v>
      </c>
      <c r="E4" s="1829" t="s">
        <v>1794</v>
      </c>
      <c r="F4" s="2886"/>
      <c r="G4" s="2879" t="s">
        <v>1819</v>
      </c>
      <c r="H4" s="1157" t="s">
        <v>1799</v>
      </c>
      <c r="I4" s="964">
        <f>ROUND(SUMIF('数据-基础表'!I9:AS9,"地上",'数据-基础表'!I5:AS5)/'数据-基础表'!A3,2)</f>
        <v>4.96</v>
      </c>
      <c r="J4" s="2886"/>
      <c r="K4" s="2886"/>
      <c r="L4" s="2886"/>
      <c r="M4" s="2886"/>
      <c r="N4" s="2888"/>
      <c r="O4" s="2886"/>
      <c r="P4" s="2886"/>
    </row>
    <row r="5" spans="1:16">
      <c r="A5" s="47" t="s">
        <v>1795</v>
      </c>
      <c r="B5" s="3197" t="s">
        <v>1796</v>
      </c>
      <c r="C5" s="3197"/>
      <c r="D5" s="48">
        <f>ROUND($D$3*E5/$E$3,2)</f>
        <v>0</v>
      </c>
      <c r="E5" s="49">
        <f>SUMIF('数据-基础表'!$11:$11,"住宅",'数据-基础表'!$5:$5)</f>
        <v>0</v>
      </c>
      <c r="F5" s="2886"/>
      <c r="G5" s="1307"/>
      <c r="H5" s="1157" t="s">
        <v>1792</v>
      </c>
      <c r="I5" s="964">
        <f>ROUND(E31/D31,2)</f>
        <v>4.96</v>
      </c>
      <c r="J5" s="2886"/>
      <c r="K5" s="2886"/>
      <c r="L5" s="2886"/>
      <c r="M5" s="2886"/>
      <c r="N5" s="2886"/>
      <c r="O5" s="2886"/>
      <c r="P5" s="2886"/>
    </row>
    <row r="6" spans="1:16" ht="15" thickBot="1">
      <c r="A6" s="1831"/>
      <c r="B6" s="3197" t="s">
        <v>1797</v>
      </c>
      <c r="C6" s="3197"/>
      <c r="D6" s="48">
        <f>ROUND($D$3*E6/$E$3,2)</f>
        <v>2411.61</v>
      </c>
      <c r="E6" s="49">
        <f>E3-E5</f>
        <v>11966.17</v>
      </c>
      <c r="F6" s="2886"/>
      <c r="G6" s="2880" t="s">
        <v>1798</v>
      </c>
      <c r="H6" s="1308" t="s">
        <v>1799</v>
      </c>
      <c r="I6" s="2881">
        <f>ROUND(F31/D31,2)</f>
        <v>4.96</v>
      </c>
      <c r="J6" s="2886"/>
      <c r="K6" s="2886"/>
      <c r="L6" s="2886"/>
      <c r="M6" s="2886"/>
      <c r="N6" s="2886"/>
      <c r="O6" s="2886"/>
      <c r="P6" s="2886"/>
    </row>
    <row r="7" spans="1:16" ht="15.75" thickBot="1">
      <c r="A7" s="3189"/>
      <c r="B7" s="3190"/>
      <c r="C7" s="3191"/>
      <c r="D7" s="1828" t="s">
        <v>1793</v>
      </c>
      <c r="E7" s="1832" t="s">
        <v>1800</v>
      </c>
      <c r="F7" s="2886"/>
      <c r="G7" s="2882" t="s">
        <v>1801</v>
      </c>
      <c r="H7" s="2883"/>
      <c r="I7" s="2884">
        <v>2.8</v>
      </c>
      <c r="J7" s="2886"/>
      <c r="K7" s="2886"/>
      <c r="L7" s="2886"/>
      <c r="M7" s="2886"/>
      <c r="N7" s="2886"/>
      <c r="O7" s="2886"/>
      <c r="P7" s="2886"/>
    </row>
    <row r="8" spans="1:16">
      <c r="A8" s="47" t="s">
        <v>1802</v>
      </c>
      <c r="B8" s="50" t="s">
        <v>1803</v>
      </c>
      <c r="C8" s="48" t="s">
        <v>1804</v>
      </c>
      <c r="D8" s="48">
        <f t="shared" ref="D8:D15" si="0">ROUND($D$3*E8/$E$3,2)</f>
        <v>2411.61</v>
      </c>
      <c r="E8" s="51">
        <f>SUMIF('数据-基础表'!BB10:BK10,"地上",'数据-基础表'!BB5:BK5)</f>
        <v>11966.17</v>
      </c>
      <c r="F8" s="2886"/>
      <c r="G8" s="2887"/>
      <c r="H8" s="2887"/>
      <c r="I8" s="2886"/>
      <c r="J8" s="2886"/>
      <c r="K8" s="2886"/>
      <c r="L8" s="2886"/>
      <c r="M8" s="2886"/>
      <c r="N8" s="2886"/>
      <c r="O8" s="2886"/>
      <c r="P8" s="2886"/>
    </row>
    <row r="9" spans="1:16">
      <c r="A9" s="1833"/>
      <c r="B9" s="1834"/>
      <c r="C9" s="48" t="s">
        <v>1805</v>
      </c>
      <c r="D9" s="48">
        <f t="shared" si="0"/>
        <v>0</v>
      </c>
      <c r="E9" s="52">
        <v>0</v>
      </c>
      <c r="F9" s="2886"/>
      <c r="G9" s="2887"/>
      <c r="H9" s="2887"/>
      <c r="I9" s="2886"/>
      <c r="J9" s="2886"/>
      <c r="K9" s="2886"/>
      <c r="L9" s="2886"/>
      <c r="M9" s="2886"/>
      <c r="N9" s="2886"/>
      <c r="O9" s="2886"/>
      <c r="P9" s="2886"/>
    </row>
    <row r="10" spans="1:16">
      <c r="A10" s="1833"/>
      <c r="B10" s="1834"/>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3"/>
      <c r="B11" s="1834"/>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1809</v>
      </c>
      <c r="D16" s="50">
        <f>SUM(D8:D15)</f>
        <v>2411.61</v>
      </c>
      <c r="E16" s="53">
        <f>SUM(E8:E15)</f>
        <v>11966.17</v>
      </c>
      <c r="F16" s="2886"/>
      <c r="G16" s="2887"/>
      <c r="H16" s="1835" t="s">
        <v>1821</v>
      </c>
      <c r="I16" s="1836"/>
      <c r="J16" s="1301"/>
      <c r="K16" s="3186" t="s">
        <v>1821</v>
      </c>
      <c r="L16" s="3187"/>
      <c r="M16" s="3187"/>
      <c r="N16" s="3187"/>
      <c r="O16" s="3187"/>
      <c r="P16" s="3188"/>
    </row>
    <row r="17" spans="1:19" ht="15">
      <c r="A17" s="1837" t="s">
        <v>1822</v>
      </c>
      <c r="B17" s="1838" t="s">
        <v>1823</v>
      </c>
      <c r="C17" s="1839" t="s">
        <v>1824</v>
      </c>
      <c r="D17" s="1840" t="s">
        <v>1812</v>
      </c>
      <c r="E17" s="1841" t="s">
        <v>1813</v>
      </c>
      <c r="F17" s="1842"/>
      <c r="G17" s="1843"/>
      <c r="H17" s="1844" t="s">
        <v>1825</v>
      </c>
      <c r="I17" s="1845" t="s">
        <v>1810</v>
      </c>
      <c r="J17" s="1301"/>
      <c r="K17" s="3183" t="s">
        <v>1826</v>
      </c>
      <c r="L17" s="3184"/>
      <c r="M17" s="3185"/>
      <c r="N17" s="3183" t="s">
        <v>1827</v>
      </c>
      <c r="O17" s="3184"/>
      <c r="P17" s="3185"/>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79" t="s">
        <v>3136</v>
      </c>
      <c r="D19" s="48">
        <f>ROUND($D$3*E19/$E$3,2)</f>
        <v>2127.83</v>
      </c>
      <c r="E19" s="56">
        <f t="shared" ref="E19:E26" si="1">SUM(F19:G19)</f>
        <v>10558.08</v>
      </c>
      <c r="F19" s="3026">
        <f>'数据-基础表'!K13</f>
        <v>10558.08</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2127.83</v>
      </c>
      <c r="S19" s="1158">
        <f t="shared" si="5"/>
        <v>10558.08</v>
      </c>
    </row>
    <row r="20" spans="1:19">
      <c r="A20" s="1858"/>
      <c r="B20" s="50" t="s">
        <v>1839</v>
      </c>
      <c r="C20" s="3079" t="s">
        <v>3135</v>
      </c>
      <c r="D20" s="48">
        <f t="shared" ref="D20:D26" si="6">ROUND($D$3*E20/$E$3,2)</f>
        <v>283.77999999999997</v>
      </c>
      <c r="E20" s="56">
        <f t="shared" si="1"/>
        <v>1408.09</v>
      </c>
      <c r="F20" s="3026">
        <f>'数据-基础表'!I13</f>
        <v>1408.09</v>
      </c>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283.77999999999997</v>
      </c>
      <c r="S20" s="1158">
        <f t="shared" si="5"/>
        <v>1408.09</v>
      </c>
    </row>
    <row r="21" spans="1:19">
      <c r="A21" s="1858"/>
      <c r="B21" s="50" t="s">
        <v>1839</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2411.6099999999997</v>
      </c>
      <c r="E27" s="1303">
        <f>IF(SUM(E19:E26)='数据-基础表'!BA5,SUM(E19:E26),IF(F27="地上面积有误","面积有误","地下面积有误"))</f>
        <v>11966.17</v>
      </c>
      <c r="F27" s="1302">
        <f>IF(SUM(F19:F26)=E8,SUM(F19:F26),"地上面积有误")</f>
        <v>11966.17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2411.6099999999997</v>
      </c>
      <c r="S27" s="1157">
        <f>IF(SUM(S19:S26)=$E$3,SUM(S19:S26),SUM(S19:S26)&amp;"误差"&amp;ROUND(SUM(S19:S26)-E3,2))</f>
        <v>11966.17</v>
      </c>
    </row>
    <row r="28" spans="1:19">
      <c r="A28" s="1858"/>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8"/>
      <c r="B29" s="50" t="s">
        <v>1841</v>
      </c>
      <c r="C29" s="1862"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4"/>
      <c r="B31" s="1865"/>
      <c r="C31" s="944" t="s">
        <v>1844</v>
      </c>
      <c r="D31" s="685">
        <f>D27+D30</f>
        <v>2411.6099999999997</v>
      </c>
      <c r="E31" s="685">
        <f>E27+E30</f>
        <v>11966.17</v>
      </c>
      <c r="F31" s="686">
        <f>F27+F30</f>
        <v>11966.17</v>
      </c>
      <c r="G31" s="687">
        <f>G27+G30</f>
        <v>0</v>
      </c>
      <c r="H31" s="2886"/>
      <c r="I31" s="2886"/>
      <c r="J31" s="2886"/>
      <c r="K31" s="2886"/>
      <c r="L31" s="2886"/>
      <c r="M31" s="2886"/>
      <c r="N31" s="2886"/>
      <c r="O31" s="2886"/>
      <c r="P31" s="2886"/>
    </row>
    <row r="32" spans="1:19">
      <c r="A32" s="1830"/>
      <c r="B32" s="1830" t="s">
        <v>1845</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W19" sqref="W1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75" thickBot="1">
      <c r="A2" s="1871" t="s">
        <v>1847</v>
      </c>
      <c r="B2" s="1176">
        <f>项目基本情况!D3</f>
        <v>44218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5"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3156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60616</v>
      </c>
      <c r="F6" s="68">
        <f>SUMIF(项目基本情况!D$12:I$12,C6,项目基本情况!D$15:I$15)</f>
        <v>44.92</v>
      </c>
      <c r="G6" s="69">
        <f ca="1">IF(ISERROR(ROUND(POWER(1+H6,D6-F6)*(POWER(1+H6,F6)-1)/(POWER(1+H6,D6)-1),3)),0,ROUND(POWER(1+H6,D6-F6)*(POWER(1+H6,F6)-1)/(POWER(1+H6,D6)-1),3))</f>
        <v>0.97599999999999998</v>
      </c>
      <c r="H6" s="741">
        <f ca="1">基准地价修正!G20</f>
        <v>5.3999999999999999E-2</v>
      </c>
      <c r="I6" s="741">
        <v>5.5E-2</v>
      </c>
      <c r="J6" s="70">
        <v>0.08</v>
      </c>
      <c r="K6" s="1161">
        <f>SUMIF('数据-汇总表'!C$19:C$33,A6,'数据-汇总表'!E$19:E$33)</f>
        <v>10558.08</v>
      </c>
      <c r="L6" s="742">
        <v>3000</v>
      </c>
      <c r="M6" s="71">
        <f t="shared" ref="M6:M14" si="0">ROUND(K6*L6/10000,0)</f>
        <v>3167</v>
      </c>
      <c r="N6" s="740">
        <v>1</v>
      </c>
      <c r="O6" s="71" t="str">
        <f>IF($N$5="成新度","——",ROUND(M6*N6,0))</f>
        <v>——</v>
      </c>
      <c r="P6" s="72" t="str">
        <f>IF($N$5="成新度","——",M6-O6)</f>
        <v>——</v>
      </c>
      <c r="Q6" s="743">
        <v>0.15</v>
      </c>
      <c r="R6" s="73">
        <f ca="1">SUMIF('数据-汇总表'!C$19:C$33,A6,'数据-汇总表'!R$19:R$27)</f>
        <v>2127.83</v>
      </c>
      <c r="S6" s="54">
        <f>IF('数据-汇总表'!$I$17="按面积比例",SUMIF('数据-汇总表'!C$19:C$33,A6,'数据-汇总表'!K$19:K$33),SUMIF('数据-汇总表'!C$19:C$33,A6,'数据-汇总表'!N$19:N$33))</f>
        <v>0</v>
      </c>
      <c r="T6" s="1334">
        <f>ROUND($L$14*S6/10000,0)</f>
        <v>0</v>
      </c>
      <c r="U6" s="74">
        <v>4</v>
      </c>
      <c r="V6" s="75">
        <v>0.03</v>
      </c>
      <c r="W6" s="75">
        <v>0.1</v>
      </c>
      <c r="X6" s="1171"/>
      <c r="Y6" s="76">
        <v>1</v>
      </c>
      <c r="Z6" s="77"/>
      <c r="AA6" s="70"/>
      <c r="AB6" s="70"/>
      <c r="AC6" s="1171"/>
      <c r="AD6" s="78"/>
      <c r="AE6" s="1172">
        <f ca="1">IF(AN6="",0,SUMIF(INDIRECT("'"&amp;AN6&amp;"'"&amp;"!E:E"),$AE$5,INDIRECT("'"&amp;AN6&amp;"'"&amp;"!F:F")))</f>
        <v>44.92</v>
      </c>
      <c r="AF6" s="1534"/>
      <c r="AG6" s="143">
        <f>IF(AF6="",0,AE6-AF6)</f>
        <v>0</v>
      </c>
      <c r="AH6" s="79"/>
      <c r="AI6" s="81">
        <v>365</v>
      </c>
      <c r="AJ6" s="82"/>
      <c r="AK6" s="83">
        <v>1.4999999999999999E-2</v>
      </c>
      <c r="AL6" s="84">
        <v>1.5E-3</v>
      </c>
      <c r="AM6" s="85">
        <v>0.02</v>
      </c>
      <c r="AN6" s="1903" t="s">
        <v>3197</v>
      </c>
      <c r="AO6" s="55">
        <f ca="1">SUMIF(INDIRECT("'"&amp;AN6&amp;"'"&amp;"!A:A"),"总价",INDIRECT("'"&amp;AN6&amp;"'"&amp;"!B:B"))</f>
        <v>27772</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商业</v>
      </c>
      <c r="B7" s="1901" t="str">
        <f t="shared" ref="B7:B13" si="1">IF(A7=0,"","经营性")</f>
        <v>经营性</v>
      </c>
      <c r="C7" s="1902" t="s">
        <v>1343</v>
      </c>
      <c r="D7" s="967">
        <f>SUMIF(项目基本情况!D$12:I$12,C7,项目基本情况!D$14:I$14)</f>
        <v>40</v>
      </c>
      <c r="E7" s="966">
        <f>IF(B7="","",SUMIF(项目基本情况!D$12:I$12,C7,项目基本情况!D$13:I$13))</f>
        <v>56963</v>
      </c>
      <c r="F7" s="68">
        <f>SUMIF(项目基本情况!D$12:I$12,C7,项目基本情况!D$15:I$15)</f>
        <v>34.909999999999997</v>
      </c>
      <c r="G7" s="69">
        <f t="shared" ref="G7:G11" ca="1" si="2">IF(ISERROR(ROUND(POWER(1+H7,D7-F7)*(POWER(1+H7,F7)-1)/(POWER(1+H7,D7)-1),3)),0,ROUND(POWER(1+H7,D7-F7)*(POWER(1+H7,F7)-1)/(POWER(1+H7,D7)-1),3))</f>
        <v>0.95499999999999996</v>
      </c>
      <c r="H7" s="741">
        <f ca="1">'基准地价修正 (办公)'!G20</f>
        <v>5.1999999999999998E-2</v>
      </c>
      <c r="I7" s="741">
        <f>I6</f>
        <v>5.5E-2</v>
      </c>
      <c r="J7" s="70">
        <v>0.08</v>
      </c>
      <c r="K7" s="1161">
        <f>SUMIF('数据-汇总表'!C$19:C$33,A7,'数据-汇总表'!E$19:E$33)</f>
        <v>1408.09</v>
      </c>
      <c r="L7" s="3083">
        <v>3500</v>
      </c>
      <c r="M7" s="71">
        <f t="shared" si="0"/>
        <v>493</v>
      </c>
      <c r="N7" s="740">
        <v>1</v>
      </c>
      <c r="O7" s="71" t="str">
        <f t="shared" ref="O7:O14" si="3">IF($N$5="成新度","——",ROUND(M7*N7,0))</f>
        <v>——</v>
      </c>
      <c r="P7" s="72" t="str">
        <f t="shared" ref="P7:P14" si="4">IF($N$5="成新度","——",M7-O7)</f>
        <v>——</v>
      </c>
      <c r="Q7" s="743">
        <v>0.2</v>
      </c>
      <c r="R7" s="73">
        <f ca="1">SUMIF('数据-汇总表'!C$19:C$33,A7,'数据-汇总表'!R$19:R$27)</f>
        <v>283.77999999999997</v>
      </c>
      <c r="S7" s="54">
        <f>IF('数据-汇总表'!$I$17="按面积比例",SUMIF('数据-汇总表'!C$19:C$33,A7,'数据-汇总表'!K$19:K$33),SUMIF('数据-汇总表'!C$19:C$33,A7,'数据-汇总表'!N$19:N$33))</f>
        <v>0</v>
      </c>
      <c r="T7" s="1334">
        <f t="shared" ref="T7:T13" si="5">ROUND($L$14*S7/10000,0)</f>
        <v>0</v>
      </c>
      <c r="U7" s="74">
        <f>S20</f>
        <v>5.0999999999999996</v>
      </c>
      <c r="V7" s="75">
        <v>0.03</v>
      </c>
      <c r="W7" s="75">
        <v>0.1</v>
      </c>
      <c r="X7" s="1171"/>
      <c r="Y7" s="76">
        <v>1</v>
      </c>
      <c r="Z7" s="77"/>
      <c r="AA7" s="70"/>
      <c r="AB7" s="70"/>
      <c r="AC7" s="1171"/>
      <c r="AD7" s="78"/>
      <c r="AE7" s="1172">
        <f t="shared" ref="AE7:AE13" ca="1" si="6">IF(AN7="",0,SUMIF(INDIRECT("'"&amp;AN7&amp;"'"&amp;"!E:E"),$AE$5,INDIRECT("'"&amp;AN7&amp;"'"&amp;"!F:F")))</f>
        <v>34.909999999999997</v>
      </c>
      <c r="AF7" s="1534"/>
      <c r="AG7" s="143">
        <f t="shared" ref="AG7:AG13" si="7">IF(AF7="",0,AE7-AF7)</f>
        <v>0</v>
      </c>
      <c r="AH7" s="79"/>
      <c r="AI7" s="81">
        <v>365</v>
      </c>
      <c r="AJ7" s="82"/>
      <c r="AK7" s="83">
        <v>1.4999999999999999E-2</v>
      </c>
      <c r="AL7" s="84">
        <v>1.5E-3</v>
      </c>
      <c r="AM7" s="85">
        <v>0.02</v>
      </c>
      <c r="AN7" s="1903" t="s">
        <v>3157</v>
      </c>
      <c r="AO7" s="55">
        <f t="shared" ref="AO7:AO13" ca="1" si="8">SUMIF(INDIRECT("'"&amp;AN7&amp;"'"&amp;"!A:A"),"总价",INDIRECT("'"&amp;AN7&amp;"'"&amp;"!B:B"))</f>
        <v>4078</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0.97399999999999998</v>
      </c>
      <c r="H16" s="95">
        <f ca="1">ROUND(SUMPRODUCT(H6:H13,K6:K13)/SUMPRODUCT((H6:H13&gt;0)*(K6:K13)),3)</f>
        <v>5.3999999999999999E-2</v>
      </c>
      <c r="I16" s="96"/>
      <c r="J16" s="96"/>
      <c r="K16" s="97">
        <f>SUM(K6:K15)</f>
        <v>11966.17</v>
      </c>
      <c r="L16" s="98">
        <f>ROUND(M16*10000/SUM(K6:K14),0)</f>
        <v>3059</v>
      </c>
      <c r="M16" s="98">
        <f>SUM(M6:M14)</f>
        <v>3660</v>
      </c>
      <c r="N16" s="99">
        <f>ROUND(SUMPRODUCT(M6:M14,N6:N14)/M16,3)</f>
        <v>1</v>
      </c>
      <c r="O16" s="98">
        <f>SUM(O6:O14)</f>
        <v>0</v>
      </c>
      <c r="P16" s="98">
        <f>SUM(P6:P14)</f>
        <v>0</v>
      </c>
      <c r="Q16" s="100">
        <f>ROUND(SUMPRODUCT(Q6:Q13,K6:K13)/SUMPRODUCT((Q6:Q13&gt;0)*(K6:K13)),2)</f>
        <v>0.16</v>
      </c>
      <c r="R16" s="1165">
        <f ca="1">SUM(R6:R13)</f>
        <v>2411.6099999999997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v>600.01</v>
      </c>
      <c r="S18" s="2900">
        <v>6</v>
      </c>
      <c r="T18" s="2900">
        <v>1</v>
      </c>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0" t="s">
        <v>1897</v>
      </c>
      <c r="B19" s="108">
        <v>0</v>
      </c>
      <c r="C19" s="3030" t="s">
        <v>3046</v>
      </c>
      <c r="D19" s="2905"/>
      <c r="E19" s="2902"/>
      <c r="F19" s="2902"/>
      <c r="G19" s="2902"/>
      <c r="H19" s="2902"/>
      <c r="I19" s="2902"/>
      <c r="J19" s="2902"/>
      <c r="K19" s="2901"/>
      <c r="L19" s="2901"/>
      <c r="M19" s="2900"/>
      <c r="N19" s="2900"/>
      <c r="O19" s="2900"/>
      <c r="P19" s="2900"/>
      <c r="Q19" s="2900"/>
      <c r="R19" s="2900">
        <v>808.08</v>
      </c>
      <c r="S19" s="2900">
        <f>S18*T19</f>
        <v>4.1999999999999993</v>
      </c>
      <c r="T19" s="2900">
        <v>0.7</v>
      </c>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1" t="s">
        <v>1898</v>
      </c>
      <c r="B20" s="109">
        <v>2</v>
      </c>
      <c r="C20" s="3031" t="s">
        <v>3044</v>
      </c>
      <c r="D20" s="2905"/>
      <c r="E20" s="2902"/>
      <c r="F20" s="2902"/>
      <c r="G20" s="2902"/>
      <c r="H20" s="2902"/>
      <c r="I20" s="2902"/>
      <c r="J20" s="2902"/>
      <c r="K20" s="2901"/>
      <c r="L20" s="2901"/>
      <c r="M20" s="2900"/>
      <c r="N20" s="2900"/>
      <c r="O20" s="2900"/>
      <c r="P20" s="2900"/>
      <c r="Q20" s="2900"/>
      <c r="R20" s="2900"/>
      <c r="S20" s="3458">
        <f>(S18+S19)/2</f>
        <v>5.0999999999999996</v>
      </c>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2"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1"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2"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1903</v>
      </c>
      <c r="B26" s="1914"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7.75">
      <c r="A27" s="1915" t="s">
        <v>1906</v>
      </c>
      <c r="B27" s="112">
        <v>160</v>
      </c>
      <c r="C27" s="3032" t="s">
        <v>3048</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成本法!C10+'成本法 (办公)'!C10</f>
        <v>239</v>
      </c>
      <c r="C29" s="3033" t="s">
        <v>3034</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4" t="s">
        <v>3035</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4" t="s">
        <v>3036</v>
      </c>
      <c r="D34" s="2913" t="s">
        <v>3045</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4" t="s">
        <v>3037</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4" t="s">
        <v>3038</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9" t="s">
        <v>1916</v>
      </c>
      <c r="B37" s="120">
        <v>0.02</v>
      </c>
      <c r="C37" s="3034" t="s">
        <v>3039</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7" t="s">
        <v>1917</v>
      </c>
      <c r="B38" s="118">
        <v>0.02</v>
      </c>
      <c r="C38" s="3034" t="s">
        <v>3039</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0"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1919</v>
      </c>
      <c r="B40" s="1210">
        <f ca="1">存贷款利率!G1</f>
        <v>4.7500000000000001E-2</v>
      </c>
      <c r="C40" s="3034" t="s">
        <v>3040</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5"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1"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1"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2" t="s">
        <v>1923</v>
      </c>
      <c r="B44" s="124">
        <v>7.0000000000000007E-2</v>
      </c>
      <c r="C44" s="3034" t="s">
        <v>3049</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2" t="s">
        <v>1924</v>
      </c>
      <c r="B45" s="122">
        <v>0.03</v>
      </c>
      <c r="C45" s="3033" t="s">
        <v>3041</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2" t="s">
        <v>1925</v>
      </c>
      <c r="B46" s="122">
        <v>0.02</v>
      </c>
      <c r="C46" s="3033" t="s">
        <v>3042</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1926</v>
      </c>
      <c r="B47" s="125"/>
      <c r="C47" s="3036" t="s">
        <v>3050</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4" t="s">
        <v>1927</v>
      </c>
      <c r="B48" s="126">
        <v>0.03</v>
      </c>
      <c r="C48" s="3033" t="s">
        <v>3041</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1928</v>
      </c>
      <c r="B49" s="122">
        <v>5.0000000000000001E-4</v>
      </c>
      <c r="C49" s="3033" t="s">
        <v>3043</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5"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5" t="s">
        <v>1931</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7" t="s">
        <v>1932</v>
      </c>
      <c r="B53" s="1926" t="s">
        <v>523</v>
      </c>
      <c r="C53" s="2888" t="s">
        <v>1933</v>
      </c>
      <c r="D53" s="3035" t="s">
        <v>3047</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7"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7"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7"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7"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7" t="s">
        <v>1938</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7"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7"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7"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7"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4"/>
  </cols>
  <sheetData>
    <row r="1" spans="1:29" s="2685" customFormat="1" ht="18.75" thickBot="1">
      <c r="A1" s="3198" t="s">
        <v>3026</v>
      </c>
      <c r="B1" s="3199"/>
      <c r="C1" s="3199"/>
      <c r="D1" s="3199"/>
      <c r="E1" s="3199"/>
      <c r="F1" s="3199"/>
      <c r="G1" s="3199"/>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3021</v>
      </c>
      <c r="D2" s="2689"/>
      <c r="E2" s="2686"/>
      <c r="F2" s="2690"/>
      <c r="G2" s="2688" t="s">
        <v>3022</v>
      </c>
      <c r="H2" s="907"/>
      <c r="I2" s="907"/>
      <c r="J2" s="907"/>
      <c r="K2" s="907"/>
      <c r="L2" s="907"/>
      <c r="M2" s="907"/>
      <c r="N2" s="907"/>
      <c r="O2" s="907"/>
      <c r="P2" s="907"/>
      <c r="Q2" s="907"/>
      <c r="R2" s="907"/>
    </row>
    <row r="3" spans="1:29" ht="48">
      <c r="A3" s="2669" t="s">
        <v>3023</v>
      </c>
      <c r="B3" s="2691" t="s">
        <v>2995</v>
      </c>
      <c r="C3" s="2692" t="s">
        <v>3024</v>
      </c>
      <c r="D3" s="2693"/>
      <c r="E3" s="2670" t="s">
        <v>3023</v>
      </c>
      <c r="F3" s="2694" t="s">
        <v>2996</v>
      </c>
      <c r="G3" s="2695" t="s">
        <v>3025</v>
      </c>
      <c r="H3" s="907"/>
      <c r="I3" s="907"/>
      <c r="J3" s="907"/>
      <c r="K3" s="907"/>
      <c r="L3" s="907"/>
      <c r="M3" s="907"/>
      <c r="N3" s="907"/>
      <c r="O3" s="907"/>
      <c r="P3" s="907"/>
      <c r="Q3" s="907"/>
      <c r="R3" s="907"/>
    </row>
    <row r="4" spans="1:29" ht="36">
      <c r="A4" s="2670"/>
      <c r="B4" s="329" t="s">
        <v>2997</v>
      </c>
      <c r="C4" s="3080" t="s">
        <v>3142</v>
      </c>
      <c r="D4" s="2693"/>
      <c r="E4" s="2696"/>
      <c r="F4" s="1559" t="s">
        <v>2998</v>
      </c>
      <c r="G4" s="2697" t="s">
        <v>2999</v>
      </c>
      <c r="H4" s="907"/>
      <c r="I4" s="907"/>
      <c r="J4" s="907"/>
      <c r="K4" s="907"/>
      <c r="L4" s="907"/>
      <c r="M4" s="907"/>
      <c r="N4" s="907"/>
      <c r="O4" s="907"/>
      <c r="P4" s="907"/>
      <c r="Q4" s="907"/>
      <c r="R4" s="907"/>
    </row>
    <row r="5" spans="1:29" ht="24">
      <c r="A5" s="2670"/>
      <c r="B5" s="329" t="s">
        <v>3000</v>
      </c>
      <c r="C5" s="3080" t="s">
        <v>3142</v>
      </c>
      <c r="D5" s="2693"/>
      <c r="E5" s="2696"/>
      <c r="F5" s="329" t="s">
        <v>3001</v>
      </c>
      <c r="G5" s="2697" t="s">
        <v>3002</v>
      </c>
      <c r="H5" s="907"/>
      <c r="I5" s="907"/>
      <c r="J5" s="907"/>
      <c r="K5" s="907"/>
      <c r="L5" s="907"/>
      <c r="M5" s="907"/>
      <c r="N5" s="907"/>
      <c r="O5" s="907"/>
      <c r="P5" s="907"/>
      <c r="Q5" s="907"/>
      <c r="R5" s="907"/>
    </row>
    <row r="6" spans="1:29">
      <c r="A6" s="2670"/>
      <c r="B6" s="329" t="s">
        <v>3003</v>
      </c>
      <c r="C6" s="3081" t="s">
        <v>3143</v>
      </c>
      <c r="D6" s="2693"/>
      <c r="E6" s="2696"/>
      <c r="F6" s="329" t="s">
        <v>3004</v>
      </c>
      <c r="G6" s="2697" t="s">
        <v>3005</v>
      </c>
      <c r="H6" s="907"/>
      <c r="I6" s="907"/>
      <c r="J6" s="907"/>
      <c r="K6" s="907"/>
      <c r="L6" s="907"/>
      <c r="M6" s="907"/>
      <c r="N6" s="907"/>
      <c r="O6" s="907"/>
      <c r="P6" s="907"/>
      <c r="Q6" s="907"/>
      <c r="R6" s="907"/>
    </row>
    <row r="7" spans="1:29" ht="24.75" thickBot="1">
      <c r="A7" s="2670"/>
      <c r="B7" s="329" t="s">
        <v>3001</v>
      </c>
      <c r="C7" s="3081" t="s">
        <v>3144</v>
      </c>
      <c r="D7" s="2698"/>
      <c r="E7" s="2699"/>
      <c r="F7" s="2700" t="s">
        <v>3006</v>
      </c>
      <c r="G7" s="2701" t="s">
        <v>3007</v>
      </c>
      <c r="H7" s="907"/>
      <c r="I7" s="907"/>
      <c r="J7" s="907"/>
      <c r="K7" s="907"/>
      <c r="L7" s="907"/>
      <c r="M7" s="907"/>
      <c r="N7" s="907"/>
      <c r="O7" s="907"/>
      <c r="P7" s="907"/>
      <c r="Q7" s="907"/>
      <c r="R7" s="907"/>
    </row>
    <row r="8" spans="1:29">
      <c r="A8" s="2670"/>
      <c r="B8" s="329" t="s">
        <v>3004</v>
      </c>
      <c r="C8" s="3081" t="s">
        <v>3145</v>
      </c>
      <c r="D8" s="2698"/>
      <c r="E8" s="2698"/>
      <c r="F8" s="2702"/>
      <c r="G8" s="2702"/>
      <c r="H8" s="907"/>
      <c r="I8" s="907"/>
      <c r="J8" s="907"/>
      <c r="K8" s="907"/>
      <c r="L8" s="907"/>
      <c r="M8" s="907"/>
      <c r="N8" s="907"/>
      <c r="O8" s="907"/>
      <c r="P8" s="907"/>
      <c r="Q8" s="907"/>
      <c r="R8" s="907"/>
    </row>
    <row r="9" spans="1:29">
      <c r="A9" s="2670"/>
      <c r="B9" s="329" t="s">
        <v>3008</v>
      </c>
      <c r="C9" s="3080" t="s">
        <v>3142</v>
      </c>
      <c r="D9" s="2693"/>
      <c r="E9" s="2698"/>
      <c r="F9" s="2702"/>
      <c r="G9" s="2702"/>
      <c r="H9" s="907"/>
      <c r="I9" s="907"/>
      <c r="J9" s="907"/>
      <c r="K9" s="907"/>
      <c r="L9" s="907"/>
      <c r="M9" s="907"/>
      <c r="N9" s="907"/>
      <c r="O9" s="907"/>
      <c r="P9" s="907"/>
      <c r="Q9" s="907"/>
      <c r="R9" s="907"/>
    </row>
    <row r="10" spans="1:29" s="2707" customFormat="1" ht="15" thickBot="1">
      <c r="A10" s="2671"/>
      <c r="B10" s="2703" t="s">
        <v>3009</v>
      </c>
      <c r="C10" s="3082" t="s">
        <v>3194</v>
      </c>
      <c r="D10" s="2693"/>
      <c r="E10" s="2693"/>
      <c r="F10" s="2702"/>
      <c r="G10" s="2702"/>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8"/>
      <c r="C11" s="2693"/>
      <c r="D11" s="2693"/>
      <c r="E11" s="2693"/>
      <c r="F11" s="2698"/>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5" customFormat="1" ht="18">
      <c r="A12" s="2708"/>
      <c r="B12" s="2698"/>
      <c r="C12" s="2693"/>
      <c r="D12" s="2710"/>
      <c r="E12" s="2693"/>
      <c r="F12" s="2698"/>
      <c r="G12" s="2709"/>
      <c r="H12" s="2711"/>
      <c r="I12" s="2712"/>
      <c r="J12" s="2711"/>
      <c r="K12" s="2711"/>
      <c r="L12" s="2713"/>
      <c r="M12" s="2711"/>
      <c r="N12" s="2714"/>
      <c r="O12" s="2715"/>
      <c r="P12" s="2714"/>
      <c r="Q12" s="2714"/>
      <c r="R12" s="2683"/>
      <c r="S12" s="2684"/>
      <c r="T12" s="2684"/>
      <c r="U12" s="2684"/>
      <c r="V12" s="2684"/>
      <c r="W12" s="2684"/>
      <c r="X12" s="2684"/>
      <c r="Y12" s="2684"/>
      <c r="Z12" s="2684"/>
      <c r="AA12" s="2684"/>
      <c r="AB12" s="2684"/>
      <c r="AC12" s="2684"/>
    </row>
    <row r="13" spans="1:29" ht="15.75" thickBot="1">
      <c r="A13" s="2716" t="s">
        <v>3027</v>
      </c>
      <c r="B13" s="2710"/>
      <c r="C13" s="2710"/>
      <c r="D13" s="2708"/>
      <c r="E13" s="2710"/>
      <c r="F13" s="2710"/>
      <c r="G13" s="2710"/>
    </row>
    <row r="14" spans="1:29" ht="15" thickBot="1">
      <c r="A14" s="2720"/>
      <c r="B14" s="2720"/>
      <c r="C14" s="2721" t="s">
        <v>3010</v>
      </c>
      <c r="D14" s="2693"/>
      <c r="E14" s="2722"/>
      <c r="F14" s="2722"/>
      <c r="G14" s="2688" t="s">
        <v>3011</v>
      </c>
    </row>
    <row r="15" spans="1:29" ht="51">
      <c r="A15" s="2672" t="s">
        <v>3012</v>
      </c>
      <c r="B15" s="2723" t="s">
        <v>2995</v>
      </c>
      <c r="C15" s="2724" t="str">
        <f>C3</f>
        <v>估价对象周边居住用地比例、居住小区规模和社区发展完善程度，综合评价居住社区成熟度一般</v>
      </c>
      <c r="D15" s="2693"/>
      <c r="E15" s="2673" t="s">
        <v>3013</v>
      </c>
      <c r="F15" s="2723" t="s">
        <v>3014</v>
      </c>
      <c r="G15" s="2725" t="str">
        <f>G3</f>
        <v>估价对象位于XX开发区，园区建设成熟度XX，产业集聚程度XX</v>
      </c>
    </row>
    <row r="16" spans="1:29" ht="38.25">
      <c r="A16" s="2674"/>
      <c r="B16" s="2726" t="s">
        <v>2997</v>
      </c>
      <c r="C16" s="2727" t="str">
        <f>C4</f>
        <v>一般</v>
      </c>
      <c r="D16" s="2693"/>
      <c r="E16" s="2675"/>
      <c r="F16" s="2728" t="s">
        <v>2998</v>
      </c>
      <c r="G16" s="2729" t="str">
        <f>G4</f>
        <v>估价对象周边道路状况、公共交通通达情况、停车便捷程度，综合评价交通便捷度较好</v>
      </c>
    </row>
    <row r="17" spans="1:18">
      <c r="A17" s="2674"/>
      <c r="B17" s="2726" t="s">
        <v>3000</v>
      </c>
      <c r="C17" s="2727" t="str">
        <f>C5</f>
        <v>一般</v>
      </c>
      <c r="D17" s="2698"/>
      <c r="E17" s="2675"/>
      <c r="F17" s="2728" t="s">
        <v>3015</v>
      </c>
      <c r="G17" s="2730"/>
    </row>
    <row r="18" spans="1:18" ht="25.5">
      <c r="A18" s="2674"/>
      <c r="B18" s="2728" t="s">
        <v>3003</v>
      </c>
      <c r="C18" s="2729" t="str">
        <f>C6</f>
        <v>好</v>
      </c>
      <c r="D18" s="2698"/>
      <c r="E18" s="2675"/>
      <c r="F18" s="2728" t="s">
        <v>3006</v>
      </c>
      <c r="G18" s="2729" t="str">
        <f>G7</f>
        <v>该园区内是否有污染型企业，绿化情况，卫生条件，整体环境状况判断</v>
      </c>
    </row>
    <row r="19" spans="1:18" ht="25.5">
      <c r="A19" s="2674"/>
      <c r="B19" s="2728" t="s">
        <v>3016</v>
      </c>
      <c r="C19" s="2730"/>
      <c r="D19" s="2693"/>
      <c r="E19" s="2675"/>
      <c r="F19" s="329" t="s">
        <v>3001</v>
      </c>
      <c r="G19" s="2729" t="str">
        <f>G5</f>
        <v>估价对象所在区域公共配套设施齐备情况</v>
      </c>
    </row>
    <row r="20" spans="1:18">
      <c r="A20" s="2674"/>
      <c r="B20" s="2728" t="s">
        <v>3017</v>
      </c>
      <c r="C20" s="2727" t="str">
        <f>C9</f>
        <v>一般</v>
      </c>
      <c r="D20" s="2698"/>
      <c r="E20" s="2675"/>
      <c r="F20" s="329" t="s">
        <v>3004</v>
      </c>
      <c r="G20" s="2729" t="str">
        <f>G6</f>
        <v>估价对象所在区域基础设施水平</v>
      </c>
    </row>
    <row r="21" spans="1:18">
      <c r="A21" s="2674"/>
      <c r="B21" s="329" t="s">
        <v>3001</v>
      </c>
      <c r="C21" s="2729" t="str">
        <f>C7</f>
        <v>较好</v>
      </c>
      <c r="D21" s="2693"/>
      <c r="E21" s="2675"/>
      <c r="F21" s="2728" t="s">
        <v>3018</v>
      </c>
      <c r="G21" s="2731"/>
    </row>
    <row r="22" spans="1:18" ht="13.5" customHeight="1">
      <c r="A22" s="2674"/>
      <c r="B22" s="329" t="s">
        <v>3004</v>
      </c>
      <c r="C22" s="2729" t="str">
        <f>C8</f>
        <v>七通</v>
      </c>
      <c r="D22" s="2693"/>
      <c r="E22" s="2675"/>
      <c r="F22" s="2728" t="s">
        <v>3009</v>
      </c>
      <c r="G22" s="2730"/>
    </row>
    <row r="23" spans="1:18" s="907" customFormat="1" ht="15" thickBot="1">
      <c r="A23" s="2674"/>
      <c r="B23" s="2728" t="s">
        <v>3018</v>
      </c>
      <c r="C23" s="2731"/>
      <c r="D23" s="1929"/>
      <c r="E23" s="2676"/>
      <c r="F23" s="2732" t="s">
        <v>3019</v>
      </c>
      <c r="G23" s="2733"/>
      <c r="H23" s="2717"/>
      <c r="I23" s="2718"/>
      <c r="J23" s="2717"/>
      <c r="K23" s="2717"/>
      <c r="L23" s="2718"/>
      <c r="M23" s="2717"/>
      <c r="N23" s="2717"/>
      <c r="O23" s="2718"/>
      <c r="P23" s="2717"/>
      <c r="Q23" s="2717"/>
      <c r="R23" s="2719"/>
    </row>
    <row r="24" spans="1:18" s="907" customFormat="1" ht="15" thickBot="1">
      <c r="A24" s="2677"/>
      <c r="B24" s="2732" t="s">
        <v>3020</v>
      </c>
      <c r="C24" s="2734" t="str">
        <f>C10</f>
        <v>次干道</v>
      </c>
      <c r="D24" s="1929"/>
      <c r="E24" s="2667"/>
      <c r="F24" s="2667"/>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1"/>
  <sheetViews>
    <sheetView view="pageBreakPreview" zoomScale="90" zoomScaleNormal="80" zoomScaleSheetLayoutView="90" workbookViewId="0">
      <selection activeCell="C5" sqref="C5"/>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11966.17</v>
      </c>
      <c r="C1" s="2915"/>
      <c r="D1" s="2915"/>
      <c r="E1" s="2915"/>
      <c r="F1" s="2915"/>
      <c r="G1" s="2916"/>
      <c r="H1" s="2917"/>
      <c r="I1" s="2917"/>
      <c r="J1" s="2917"/>
      <c r="K1" s="2917"/>
    </row>
    <row r="2" spans="1:11" ht="16.5">
      <c r="A2" s="2738" t="s">
        <v>1319</v>
      </c>
      <c r="B2" s="2738">
        <f>SUM(C14:C23)</f>
        <v>2411.6099999999997</v>
      </c>
      <c r="C2" s="2915"/>
      <c r="D2" s="2915"/>
      <c r="E2" s="2915"/>
      <c r="F2" s="2915"/>
      <c r="G2" s="2916"/>
      <c r="H2" s="2917"/>
      <c r="I2" s="2917"/>
      <c r="J2" s="2917"/>
      <c r="K2" s="2917"/>
    </row>
    <row r="3" spans="1:11" ht="16.5">
      <c r="A3" s="2738" t="s">
        <v>1328</v>
      </c>
      <c r="B3" s="2740">
        <f>项目基本情况!D3</f>
        <v>44218</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31489</v>
      </c>
      <c r="C5" s="2738">
        <f ca="1">ROUND(B5*10000/$B$1,0)</f>
        <v>26315</v>
      </c>
      <c r="D5" s="2738">
        <f ca="1">ROUND(B5*10000/$B$2,0)</f>
        <v>130573</v>
      </c>
      <c r="E5" s="2915"/>
      <c r="F5" s="2916"/>
      <c r="G5" s="2916"/>
      <c r="H5" s="2917"/>
      <c r="I5" s="2917"/>
      <c r="J5" s="2917"/>
      <c r="K5" s="2917"/>
    </row>
    <row r="6" spans="1:11" ht="16.5">
      <c r="A6" s="2738" t="s">
        <v>1322</v>
      </c>
      <c r="B6" s="2738">
        <f ca="1">SUM(G14:G23)</f>
        <v>31489</v>
      </c>
      <c r="C6" s="2738">
        <f ca="1">ROUND(B6*10000/$B$1,0)</f>
        <v>26315</v>
      </c>
      <c r="D6" s="2738">
        <f ca="1">ROUND(B6*10000/$B$2,0)</f>
        <v>130573</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'结果表（商业）'!B118</f>
        <v>1408.09</v>
      </c>
      <c r="C14" s="2744">
        <f>'结果表（商业）'!C118</f>
        <v>283.77999999999997</v>
      </c>
      <c r="D14" s="2744">
        <f ca="1">'结果表（商业）'!H118</f>
        <v>4714</v>
      </c>
      <c r="E14" s="2744">
        <f ca="1">ROUND(D14*10000/B14,0)</f>
        <v>33478</v>
      </c>
      <c r="F14" s="2744">
        <f ca="1">ROUND(D14*10000/C14,0)</f>
        <v>166115</v>
      </c>
      <c r="G14" s="2744">
        <f ca="1">'结果表（商业）'!D122</f>
        <v>4714</v>
      </c>
      <c r="H14" s="2744" t="str">
        <f>'结果表（商业）'!D124</f>
        <v>——</v>
      </c>
      <c r="I14" s="2744" t="str">
        <f>'结果表（商业）'!D126</f>
        <v>——</v>
      </c>
      <c r="J14" s="2916"/>
      <c r="K14" s="2917"/>
    </row>
    <row r="15" spans="1:11" ht="16.5">
      <c r="A15" s="2743" t="s">
        <v>1315</v>
      </c>
      <c r="B15" s="2745">
        <f>'数据-汇总表'!F19</f>
        <v>10558.08</v>
      </c>
      <c r="C15" s="2745">
        <f>'数据-汇总表'!D3-系统读取表!C14</f>
        <v>2127.83</v>
      </c>
      <c r="D15" s="2745">
        <f ca="1">'结果表 (办公)'!G19</f>
        <v>26775</v>
      </c>
      <c r="E15" s="2744">
        <f t="shared" ref="E15:E23" ca="1" si="0">ROUND(D15*10000/B15,0)</f>
        <v>25360</v>
      </c>
      <c r="F15" s="2744">
        <f t="shared" ref="F15:F23" ca="1" si="1">ROUND(D15*10000/C15,0)</f>
        <v>125832</v>
      </c>
      <c r="G15" s="1502">
        <f ca="1">D15</f>
        <v>26775</v>
      </c>
      <c r="H15" s="1502"/>
      <c r="I15" s="2745"/>
      <c r="J15" s="2916"/>
      <c r="K15" s="2917"/>
    </row>
    <row r="16" spans="1:11" ht="16.5">
      <c r="A16" s="2743" t="s">
        <v>1314</v>
      </c>
      <c r="B16" s="2745"/>
      <c r="C16" s="2745"/>
      <c r="D16" s="2745"/>
      <c r="E16" s="2744" t="e">
        <f t="shared" si="0"/>
        <v>#DIV/0!</v>
      </c>
      <c r="F16" s="2744" t="e">
        <f t="shared" si="1"/>
        <v>#DIV/0!</v>
      </c>
      <c r="G16" s="1502"/>
      <c r="H16" s="1502"/>
      <c r="I16" s="2745"/>
      <c r="J16" s="2917"/>
      <c r="K16" s="2917"/>
    </row>
    <row r="17" spans="1:11" ht="16.5">
      <c r="A17" s="2743" t="s">
        <v>1313</v>
      </c>
      <c r="B17" s="2745"/>
      <c r="C17" s="2745"/>
      <c r="D17" s="2745"/>
      <c r="E17" s="2744" t="e">
        <f t="shared" si="0"/>
        <v>#DIV/0!</v>
      </c>
      <c r="F17" s="2744" t="e">
        <f t="shared" si="1"/>
        <v>#DIV/0!</v>
      </c>
      <c r="G17" s="1502"/>
      <c r="H17" s="1502"/>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row r="31" spans="1:11">
      <c r="F31" s="2739">
        <f>1408.09/11966.17*2411.61</f>
        <v>283.78035118170641</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1343</v>
      </c>
      <c r="D1" s="1935"/>
      <c r="E1" s="1935"/>
      <c r="F1" s="1937" t="s">
        <v>1950</v>
      </c>
      <c r="G1" s="1748" t="s">
        <v>3065</v>
      </c>
      <c r="H1" s="1938" t="str">
        <f>IF(G1="现房","——","估价对象范围")</f>
        <v>——</v>
      </c>
      <c r="I1" s="1939" t="s">
        <v>3195</v>
      </c>
    </row>
    <row r="2" spans="1:12" ht="21.75" customHeight="1" thickBot="1">
      <c r="A2" s="3234" t="str">
        <f>项目基本情况!S2</f>
        <v>北京市房地产</v>
      </c>
      <c r="B2" s="3235"/>
      <c r="C2" s="3235"/>
      <c r="D2" s="3235"/>
      <c r="E2" s="3235"/>
      <c r="F2" s="3235"/>
      <c r="G2" s="3235"/>
      <c r="H2" s="3235"/>
      <c r="I2" s="3236"/>
    </row>
    <row r="3" spans="1:12" ht="12.75">
      <c r="A3" s="3238" t="s">
        <v>1951</v>
      </c>
      <c r="B3" s="3239"/>
      <c r="C3" s="3239"/>
      <c r="D3" s="3239"/>
      <c r="E3" s="3239"/>
      <c r="F3" s="3239"/>
      <c r="G3" s="3239"/>
      <c r="H3" s="3239"/>
      <c r="I3" s="3239"/>
    </row>
    <row r="4" spans="1:12" ht="14.25">
      <c r="A4" s="1942" t="s">
        <v>1952</v>
      </c>
      <c r="B4" s="1943" t="s">
        <v>1953</v>
      </c>
      <c r="C4" s="1944" t="s">
        <v>3149</v>
      </c>
      <c r="D4" s="1944" t="s">
        <v>3157</v>
      </c>
      <c r="E4" s="3240" t="s">
        <v>1954</v>
      </c>
      <c r="F4" s="3241"/>
      <c r="G4" s="3241"/>
      <c r="H4" s="3241"/>
      <c r="I4" s="3242"/>
      <c r="K4" s="151" t="str">
        <f>IF(ISNUMBER(FIND("比较法",'结果表（商业）'!C4)),"比较法",IF(ISNUMBER(FIND("成本法",'结果表（商业）'!C4)),"成本法",IF(ISNUMBER(FIND("假设开发法",'结果表（商业）'!C4)),"假设开发法",IF(ISNUMBER(FIND("收益法",'结果表（商业）'!C4)),"收益法","基准地价系数修正法"))))</f>
        <v>成本法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14" t="s">
        <v>1955</v>
      </c>
      <c r="B5" s="3201">
        <v>25</v>
      </c>
      <c r="C5" s="3217"/>
      <c r="D5" s="3237"/>
      <c r="E5" s="136" t="s">
        <v>1956</v>
      </c>
      <c r="F5" s="1945"/>
      <c r="G5" s="1945"/>
      <c r="H5" s="1945"/>
      <c r="I5" s="1559"/>
    </row>
    <row r="6" spans="1:12" ht="12.75">
      <c r="A6" s="3214"/>
      <c r="B6" s="3201"/>
      <c r="C6" s="3218"/>
      <c r="D6" s="3237"/>
      <c r="E6" s="136" t="s">
        <v>1957</v>
      </c>
      <c r="F6" s="1945"/>
      <c r="G6" s="1945"/>
      <c r="H6" s="1945"/>
      <c r="I6" s="1559"/>
    </row>
    <row r="7" spans="1:12" ht="12.75">
      <c r="A7" s="3214"/>
      <c r="B7" s="3201"/>
      <c r="C7" s="3219"/>
      <c r="D7" s="3237"/>
      <c r="E7" s="136" t="s">
        <v>1958</v>
      </c>
      <c r="F7" s="1945"/>
      <c r="G7" s="1945"/>
      <c r="H7" s="1945"/>
      <c r="I7" s="1559"/>
    </row>
    <row r="8" spans="1:12" ht="12.75">
      <c r="A8" s="3214" t="s">
        <v>1959</v>
      </c>
      <c r="B8" s="3201">
        <v>15</v>
      </c>
      <c r="C8" s="3217"/>
      <c r="D8" s="3237"/>
      <c r="E8" s="136" t="s">
        <v>1960</v>
      </c>
      <c r="F8" s="1945"/>
      <c r="G8" s="1945"/>
      <c r="H8" s="1945"/>
      <c r="I8" s="1559"/>
    </row>
    <row r="9" spans="1:12" ht="12.75">
      <c r="A9" s="3214"/>
      <c r="B9" s="3201"/>
      <c r="C9" s="3219"/>
      <c r="D9" s="3237"/>
      <c r="E9" s="136" t="s">
        <v>1961</v>
      </c>
      <c r="F9" s="1945"/>
      <c r="G9" s="1945"/>
      <c r="H9" s="1945"/>
      <c r="I9" s="1559"/>
    </row>
    <row r="10" spans="1:12" ht="12.75">
      <c r="A10" s="3214" t="s">
        <v>1962</v>
      </c>
      <c r="B10" s="3201">
        <v>15</v>
      </c>
      <c r="C10" s="3217"/>
      <c r="D10" s="3237"/>
      <c r="E10" s="136" t="s">
        <v>1963</v>
      </c>
      <c r="F10" s="1945"/>
      <c r="G10" s="1945"/>
      <c r="H10" s="1945"/>
      <c r="I10" s="1559"/>
    </row>
    <row r="11" spans="1:12" ht="12.75">
      <c r="A11" s="3214"/>
      <c r="B11" s="3201"/>
      <c r="C11" s="3219"/>
      <c r="D11" s="3237"/>
      <c r="E11" s="136" t="s">
        <v>1964</v>
      </c>
      <c r="F11" s="1945"/>
      <c r="G11" s="1945"/>
      <c r="H11" s="1945"/>
      <c r="I11" s="1559"/>
    </row>
    <row r="12" spans="1:12" ht="12.75">
      <c r="A12" s="3214" t="s">
        <v>1965</v>
      </c>
      <c r="B12" s="3201">
        <v>15</v>
      </c>
      <c r="C12" s="3217"/>
      <c r="D12" s="3237"/>
      <c r="E12" s="136" t="s">
        <v>1966</v>
      </c>
      <c r="F12" s="1945"/>
      <c r="G12" s="1945"/>
      <c r="H12" s="1945"/>
      <c r="I12" s="1559"/>
    </row>
    <row r="13" spans="1:12" ht="12.75">
      <c r="A13" s="3214"/>
      <c r="B13" s="3201"/>
      <c r="C13" s="3219"/>
      <c r="D13" s="3237"/>
      <c r="E13" s="136" t="s">
        <v>1967</v>
      </c>
      <c r="F13" s="1945"/>
      <c r="G13" s="1945"/>
      <c r="H13" s="1945"/>
      <c r="I13" s="1559"/>
    </row>
    <row r="14" spans="1:12" ht="12.75">
      <c r="A14" s="3214" t="s">
        <v>1968</v>
      </c>
      <c r="B14" s="3201">
        <v>30</v>
      </c>
      <c r="C14" s="3217">
        <v>5</v>
      </c>
      <c r="D14" s="3237">
        <v>5</v>
      </c>
      <c r="E14" s="136" t="s">
        <v>1969</v>
      </c>
      <c r="F14" s="1945"/>
      <c r="G14" s="1945"/>
      <c r="H14" s="1945"/>
      <c r="I14" s="1559"/>
    </row>
    <row r="15" spans="1:12" ht="12.75">
      <c r="A15" s="3214"/>
      <c r="B15" s="3201"/>
      <c r="C15" s="3218"/>
      <c r="D15" s="3237"/>
      <c r="E15" s="136" t="s">
        <v>1970</v>
      </c>
      <c r="F15" s="1945"/>
      <c r="G15" s="1945"/>
      <c r="H15" s="1945"/>
      <c r="I15" s="1559"/>
    </row>
    <row r="16" spans="1:12" ht="12.75">
      <c r="A16" s="3214"/>
      <c r="B16" s="3201"/>
      <c r="C16" s="3219"/>
      <c r="D16" s="3237"/>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24" t="s">
        <v>2873</v>
      </c>
      <c r="F18" s="3225"/>
      <c r="G18" s="3225"/>
      <c r="H18" s="3225"/>
      <c r="I18" s="3225"/>
      <c r="K18" s="308" t="s">
        <v>1976</v>
      </c>
      <c r="L18" s="308">
        <f>IF(C1="",'数据-汇总表'!E3,SUMIF(项目类型,C1,'数据-汇总表'!E17:E26)+SUMIF(项目类型,C1,'数据-汇总表'!I17:I26))</f>
        <v>1408.09</v>
      </c>
      <c r="M18" s="308">
        <f>IF(C1="",'数据-汇总表'!E3,SUMIF(项目类型,C1,'数据-汇总表'!E17:E26))</f>
        <v>1408.09</v>
      </c>
    </row>
    <row r="19" spans="1:36" ht="15">
      <c r="A19" s="1949" t="s">
        <v>1977</v>
      </c>
      <c r="B19" s="1950" t="s">
        <v>1978</v>
      </c>
      <c r="C19" s="139">
        <f ca="1">SUMIF(INDIRECT("'"&amp;C4&amp;"'"&amp;"!A:A"),'结果表（商业）'!B19,INDIRECT("'"&amp;C4&amp;"'"&amp;"!B:B"))</f>
        <v>5350</v>
      </c>
      <c r="D19" s="140">
        <f ca="1">SUMIF(INDIRECT("'"&amp;D4&amp;"'"&amp;"!A:A"),'结果表（商业）'!B19,INDIRECT("'"&amp;D4&amp;"'"&amp;"!B:B"))</f>
        <v>4078</v>
      </c>
      <c r="E19" s="1949" t="s">
        <v>1979</v>
      </c>
      <c r="F19" s="1950" t="s">
        <v>1978</v>
      </c>
      <c r="G19" s="141">
        <f ca="1">ROUND(C19*$C$18+D19*$D$18,0)</f>
        <v>4714</v>
      </c>
      <c r="H19" s="1951" t="s">
        <v>1980</v>
      </c>
      <c r="I19" s="134"/>
      <c r="K19" s="308" t="s">
        <v>1981</v>
      </c>
      <c r="L19" s="308">
        <f>IF(C1="",'数据-汇总表'!D3,SUMIF(项目类型,C1,'数据-汇总表'!D17:D26)+SUMIF(项目类型,C1,'数据-汇总表'!H17:H27))</f>
        <v>283.77999999999997</v>
      </c>
      <c r="M19" s="308">
        <f>IF(C1="",'数据-汇总表'!D3,SUMIF(项目类型,C1,'数据-汇总表'!D17:D26))</f>
        <v>283.77999999999997</v>
      </c>
    </row>
    <row r="20" spans="1:36" ht="15">
      <c r="A20" s="1952"/>
      <c r="B20" s="1157" t="s">
        <v>1982</v>
      </c>
      <c r="C20" s="142">
        <f ca="1">SUMIF(INDIRECT("'"&amp;C4&amp;"'"&amp;"!A:A"),'结果表（商业）'!B20,INDIRECT("'"&amp;C4&amp;"'"&amp;"!B:B"))</f>
        <v>37995</v>
      </c>
      <c r="D20" s="143">
        <f ca="1">SUMIF(INDIRECT("'"&amp;D4&amp;"'"&amp;"!A:A"),'结果表（商业）'!B20,INDIRECT("'"&amp;D4&amp;"'"&amp;"!B:B"))</f>
        <v>28961</v>
      </c>
      <c r="E20" s="1952"/>
      <c r="F20" s="1157" t="s">
        <v>1982</v>
      </c>
      <c r="G20" s="144">
        <f ca="1">ROUND(C20*$C$18+D20*$D$18,0)</f>
        <v>33478</v>
      </c>
      <c r="H20" s="917" t="s">
        <v>1983</v>
      </c>
      <c r="I20" s="134"/>
    </row>
    <row r="21" spans="1:36" ht="15" customHeight="1" thickBot="1">
      <c r="A21" s="937"/>
      <c r="B21" s="1953" t="s">
        <v>1984</v>
      </c>
      <c r="C21" s="728">
        <f ca="1">ROUND(C19*10000/L19,0)</f>
        <v>188526</v>
      </c>
      <c r="D21" s="729">
        <f ca="1">ROUND(D19*10000/L19,0)</f>
        <v>143703</v>
      </c>
      <c r="E21" s="937"/>
      <c r="F21" s="1953" t="s">
        <v>1984</v>
      </c>
      <c r="G21" s="145">
        <f ca="1">ROUND(G19*10000/L19,0)</f>
        <v>166115</v>
      </c>
      <c r="H21" s="1954" t="s">
        <v>1983</v>
      </c>
      <c r="I21" s="134"/>
    </row>
    <row r="22" spans="1:36" ht="15" thickBot="1">
      <c r="A22" s="1876" t="s">
        <v>1985</v>
      </c>
      <c r="B22" s="1955"/>
      <c r="C22" s="1956"/>
      <c r="D22" s="730">
        <f ca="1">IF(C19&lt;D19,D19/C19-1,C19/D19-1)</f>
        <v>0.31191760666993629</v>
      </c>
      <c r="E22" s="134"/>
      <c r="F22" s="134"/>
      <c r="G22" s="134"/>
      <c r="H22" s="134"/>
      <c r="I22" s="134"/>
    </row>
    <row r="23" spans="1:36" ht="13.5" hidden="1" thickBot="1">
      <c r="A23" s="1935"/>
      <c r="B23" s="1935"/>
      <c r="C23" s="1935"/>
      <c r="D23" s="1935"/>
      <c r="E23" s="134"/>
      <c r="F23" s="134"/>
      <c r="G23" s="134"/>
      <c r="H23" s="134"/>
      <c r="I23" s="134"/>
    </row>
    <row r="24" spans="1:36" ht="14.25" hidden="1">
      <c r="A24" s="3208" t="s">
        <v>1986</v>
      </c>
      <c r="B24" s="1950" t="s">
        <v>1978</v>
      </c>
      <c r="C24" s="141">
        <f>IF(B30=0,0,D30)</f>
        <v>0</v>
      </c>
      <c r="D24" s="1957"/>
      <c r="E24" s="134"/>
      <c r="F24" s="134"/>
      <c r="G24" s="134"/>
      <c r="H24" s="134"/>
      <c r="I24" s="134"/>
    </row>
    <row r="25" spans="1:36" ht="14.25" hidden="1">
      <c r="A25" s="3209"/>
      <c r="B25" s="1157" t="s">
        <v>1982</v>
      </c>
      <c r="C25" s="146">
        <f>IF(B30=0,0,C30)</f>
        <v>0</v>
      </c>
      <c r="D25" s="1958"/>
      <c r="E25" s="134"/>
      <c r="F25" s="134"/>
      <c r="G25" s="134"/>
      <c r="H25" s="134"/>
      <c r="I25" s="134"/>
    </row>
    <row r="26" spans="1:36" ht="13.5" hidden="1" customHeight="1">
      <c r="A26" s="1959" t="s">
        <v>1987</v>
      </c>
      <c r="B26" s="147" t="s">
        <v>1988</v>
      </c>
      <c r="C26" s="147" t="s">
        <v>1989</v>
      </c>
      <c r="D26" s="148" t="s">
        <v>1990</v>
      </c>
      <c r="E26" s="134"/>
      <c r="F26" s="134"/>
      <c r="G26" s="134"/>
      <c r="H26" s="134"/>
      <c r="I26" s="134"/>
    </row>
    <row r="27" spans="1:36" ht="14.25" hidden="1">
      <c r="A27" s="1959"/>
      <c r="B27" s="147">
        <v>0</v>
      </c>
      <c r="C27" s="147">
        <v>0</v>
      </c>
      <c r="D27" s="148">
        <f>ROUND(C27*B27/10000,0)</f>
        <v>0</v>
      </c>
      <c r="E27" s="134"/>
      <c r="F27" s="134"/>
      <c r="G27" s="134"/>
      <c r="H27" s="134"/>
      <c r="I27" s="134"/>
    </row>
    <row r="28" spans="1:36" ht="14.25" hidden="1">
      <c r="A28" s="1959"/>
      <c r="B28" s="147"/>
      <c r="C28" s="147"/>
      <c r="D28" s="148"/>
      <c r="E28" s="134"/>
      <c r="F28" s="134"/>
      <c r="G28" s="134"/>
      <c r="H28" s="134"/>
      <c r="I28" s="134"/>
    </row>
    <row r="29" spans="1:36" ht="14.25" hidden="1">
      <c r="A29" s="1959"/>
      <c r="B29" s="147"/>
      <c r="C29" s="147"/>
      <c r="D29" s="148"/>
      <c r="E29" s="134"/>
      <c r="F29" s="134"/>
      <c r="G29" s="134"/>
      <c r="H29" s="134"/>
      <c r="I29" s="134"/>
    </row>
    <row r="30" spans="1:36" ht="15" hidden="1" thickBot="1">
      <c r="A30" s="147" t="s">
        <v>1991</v>
      </c>
      <c r="B30" s="147"/>
      <c r="C30" s="147"/>
      <c r="D30" s="147"/>
      <c r="E30" s="2523" t="s">
        <v>2874</v>
      </c>
      <c r="F30" s="134"/>
      <c r="G30" s="134"/>
      <c r="H30" s="134"/>
      <c r="I30" s="134"/>
    </row>
    <row r="31" spans="1:36" s="2529" customFormat="1" ht="26.45" hidden="1" customHeight="1" thickTop="1" thickBot="1">
      <c r="A31" s="2524"/>
      <c r="B31" s="2525"/>
      <c r="C31" s="2525"/>
      <c r="D31" s="2525"/>
      <c r="E31" s="2525"/>
      <c r="F31" s="2525"/>
      <c r="G31" s="2525"/>
      <c r="H31" s="2525"/>
      <c r="I31" s="2526" t="s">
        <v>2875</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hidden="1" thickTop="1" thickBot="1">
      <c r="A32" s="1961" t="s">
        <v>1992</v>
      </c>
      <c r="B32" s="1962"/>
      <c r="C32" s="149">
        <f ca="1">IF(D32="总价",G19-C24,G20-C25)</f>
        <v>4714</v>
      </c>
      <c r="D32" s="1963" t="s">
        <v>3147</v>
      </c>
      <c r="E32" s="134"/>
      <c r="F32" s="134"/>
      <c r="G32" s="134"/>
      <c r="H32" s="134"/>
      <c r="I32" s="134"/>
    </row>
    <row r="33" spans="1:15" ht="15" hidden="1">
      <c r="A33" s="894" t="s">
        <v>1993</v>
      </c>
      <c r="B33" s="1964"/>
      <c r="C33" s="1965" t="s">
        <v>3148</v>
      </c>
      <c r="D33" s="1966" t="s">
        <v>3149</v>
      </c>
      <c r="E33" s="1967" t="s">
        <v>1994</v>
      </c>
      <c r="F33" s="1968" t="str">
        <f>IF(D32="楼面单价","取值（单价）","取值（总价）")</f>
        <v>取值（总价）</v>
      </c>
      <c r="G33" s="134"/>
      <c r="H33" s="134"/>
      <c r="I33" s="134"/>
    </row>
    <row r="34" spans="1:15" ht="15" hidden="1">
      <c r="A34" s="1969"/>
      <c r="B34" s="1970" t="s">
        <v>1995</v>
      </c>
      <c r="C34" s="153">
        <f ca="1">IF(C33="自定义",F34,C32-C35)</f>
        <v>4054</v>
      </c>
      <c r="D34" s="970">
        <f ca="1">IF(C33="自定义",ROUND(C34/C32,3),IF(C33="收益比率",SUMIF(INDIRECT("'"&amp;D33&amp;"'"&amp;"!b:b"),"土地收益比率",INDIRECT("'"&amp;D33&amp;"'"&amp;"!c:c")),SUMIF(INDIRECT("'"&amp;D33&amp;"'"&amp;"!b:b"),"土地成本比率",INDIRECT("'"&amp;D33&amp;"'"&amp;"!c:c"))))</f>
        <v>0.86</v>
      </c>
      <c r="E34" s="1971" t="s">
        <v>1996</v>
      </c>
      <c r="F34" s="1500"/>
      <c r="G34" s="134"/>
      <c r="H34" s="134"/>
      <c r="I34" s="134"/>
    </row>
    <row r="35" spans="1:15" ht="15.75" hidden="1" thickBot="1">
      <c r="A35" s="1972"/>
      <c r="B35" s="1973" t="s">
        <v>1997</v>
      </c>
      <c r="C35" s="1332">
        <f ca="1">IF(C33="自定义",F35,ROUND(C32*D35,0))</f>
        <v>660</v>
      </c>
      <c r="D35" s="1333">
        <f ca="1">IF(C33="自定义",ROUND(C35/C32,3),IF(C33="收益比率",SUMIF(INDIRECT("'"&amp;D33&amp;"'"&amp;"!b:b"),"建筑物收益比率",INDIRECT("'"&amp;D33&amp;"'"&amp;"!c:c")),SUMIF(INDIRECT("'"&amp;D33&amp;"'"&amp;"!b:b"),"建筑物成本比率",INDIRECT("'"&amp;D33&amp;"'"&amp;"!c:c"))))</f>
        <v>0.14000000000000001</v>
      </c>
      <c r="E35" s="1974" t="s">
        <v>1998</v>
      </c>
      <c r="F35" s="159"/>
      <c r="G35" s="134"/>
      <c r="H35" s="134"/>
      <c r="I35" s="134"/>
    </row>
    <row r="36" spans="1:15" ht="15.75" hidden="1" thickBot="1">
      <c r="A36" s="3228" t="s">
        <v>1999</v>
      </c>
      <c r="B36" s="1975" t="s">
        <v>2000</v>
      </c>
      <c r="C36" s="150"/>
      <c r="D36" s="1976"/>
      <c r="E36" s="1977"/>
      <c r="F36" s="1978"/>
      <c r="G36" s="134"/>
      <c r="H36" s="134"/>
      <c r="I36" s="134"/>
    </row>
    <row r="37" spans="1:15" ht="15.75" hidden="1" thickBot="1">
      <c r="A37" s="3229"/>
      <c r="B37" s="1862" t="s">
        <v>2001</v>
      </c>
      <c r="C37" s="152"/>
      <c r="D37" s="1301"/>
      <c r="E37" s="1301"/>
      <c r="F37" s="1978"/>
      <c r="G37" s="134"/>
      <c r="H37" s="134"/>
      <c r="I37" s="134"/>
    </row>
    <row r="38" spans="1:15" ht="15.75" hidden="1" thickBot="1">
      <c r="A38" s="3230"/>
      <c r="B38" s="1979" t="s">
        <v>2002</v>
      </c>
      <c r="C38" s="683"/>
      <c r="D38" s="1980" t="s">
        <v>2003</v>
      </c>
      <c r="E38" s="1301"/>
      <c r="F38" s="1978"/>
      <c r="G38" s="134"/>
      <c r="H38" s="134"/>
      <c r="I38" s="134"/>
    </row>
    <row r="39" spans="1:15" ht="15" hidden="1">
      <c r="A39" s="1952" t="s">
        <v>2004</v>
      </c>
      <c r="B39" s="1981" t="s">
        <v>2005</v>
      </c>
      <c r="C39" s="1982" t="s">
        <v>2006</v>
      </c>
      <c r="D39" s="1982" t="s">
        <v>2007</v>
      </c>
      <c r="E39" s="1983" t="s">
        <v>2008</v>
      </c>
      <c r="F39" s="1978"/>
      <c r="G39" s="134"/>
      <c r="H39" s="134"/>
      <c r="I39" s="134"/>
    </row>
    <row r="40" spans="1:15" ht="14.25" hidden="1">
      <c r="A40" s="1984" t="s">
        <v>2009</v>
      </c>
      <c r="B40" s="154"/>
      <c r="C40" s="155"/>
      <c r="D40" s="155"/>
      <c r="E40" s="156"/>
      <c r="F40" s="1978"/>
      <c r="G40" s="134"/>
      <c r="H40" s="134"/>
      <c r="I40" s="134"/>
    </row>
    <row r="41" spans="1:15" ht="14.25" hidden="1">
      <c r="A41" s="1984" t="s">
        <v>2010</v>
      </c>
      <c r="B41" s="154"/>
      <c r="C41" s="155"/>
      <c r="D41" s="155"/>
      <c r="E41" s="156"/>
      <c r="F41" s="1978"/>
      <c r="G41" s="134"/>
      <c r="H41" s="134"/>
      <c r="I41" s="134"/>
    </row>
    <row r="42" spans="1:15" ht="15" hidden="1" thickBot="1">
      <c r="A42" s="1985"/>
      <c r="B42" s="157"/>
      <c r="C42" s="158"/>
      <c r="D42" s="158"/>
      <c r="E42" s="159"/>
      <c r="F42" s="1978"/>
      <c r="G42" s="134"/>
      <c r="H42" s="134"/>
      <c r="I42" s="134"/>
    </row>
    <row r="43" spans="1:15" ht="12.75" hidden="1">
      <c r="A43" s="1764"/>
      <c r="B43" s="1764"/>
      <c r="C43" s="1764"/>
      <c r="D43" s="1764"/>
      <c r="E43" s="1764"/>
      <c r="F43" s="1986"/>
      <c r="G43" s="1986"/>
      <c r="H43" s="1986"/>
      <c r="I43" s="1987"/>
    </row>
    <row r="44" spans="1:15" ht="18.75" hidden="1">
      <c r="A44" s="1988" t="s">
        <v>2011</v>
      </c>
      <c r="B44" s="1989"/>
      <c r="C44" s="1989"/>
      <c r="D44" s="1990"/>
      <c r="E44" s="1990"/>
      <c r="F44" s="1991"/>
      <c r="G44" s="1991"/>
      <c r="H44" s="1991"/>
      <c r="I44" s="1991"/>
      <c r="J44" s="1992" t="s">
        <v>2012</v>
      </c>
      <c r="K44" s="1993"/>
      <c r="L44" s="1993"/>
      <c r="M44" s="1993"/>
      <c r="N44" s="1993"/>
      <c r="O44" s="1993"/>
    </row>
    <row r="45" spans="1:15" ht="14.25" hidden="1" customHeight="1" thickBot="1">
      <c r="A45" s="3205" t="s">
        <v>2013</v>
      </c>
      <c r="B45" s="3206"/>
      <c r="C45" s="3207"/>
      <c r="D45" s="160">
        <f ca="1">ROUND(H101*F45,0)</f>
        <v>4714</v>
      </c>
      <c r="E45" s="161" t="s">
        <v>2014</v>
      </c>
      <c r="F45" s="162">
        <v>1</v>
      </c>
      <c r="G45" s="163" t="s">
        <v>2015</v>
      </c>
      <c r="H45" s="134"/>
      <c r="I45" s="134"/>
      <c r="J45" s="3286" t="s">
        <v>2016</v>
      </c>
      <c r="K45" s="3286"/>
      <c r="L45" s="3286"/>
      <c r="M45" s="3286"/>
      <c r="N45" s="3286"/>
      <c r="O45" s="3286"/>
    </row>
    <row r="46" spans="1:15" ht="14.25" hidden="1" customHeight="1">
      <c r="A46" s="3202" t="s">
        <v>2017</v>
      </c>
      <c r="B46" s="3203"/>
      <c r="C46" s="3203"/>
      <c r="D46" s="3203"/>
      <c r="E46" s="3203"/>
      <c r="F46" s="3203"/>
      <c r="G46" s="3204"/>
      <c r="H46" s="1994"/>
      <c r="I46" s="164"/>
      <c r="J46" s="2749">
        <v>1</v>
      </c>
      <c r="K46" s="3267" t="s">
        <v>2018</v>
      </c>
      <c r="L46" s="3267"/>
      <c r="M46" s="3287"/>
      <c r="N46" s="3287"/>
      <c r="O46" s="3287"/>
    </row>
    <row r="47" spans="1:15" ht="12" hidden="1" customHeight="1">
      <c r="A47" s="165" t="s">
        <v>2019</v>
      </c>
      <c r="B47" s="166"/>
      <c r="C47" s="167"/>
      <c r="D47" s="1247" t="s">
        <v>2020</v>
      </c>
      <c r="E47" s="308" t="s">
        <v>2021</v>
      </c>
      <c r="F47" s="168" t="s">
        <v>2022</v>
      </c>
      <c r="G47" s="2772" t="s">
        <v>2023</v>
      </c>
      <c r="H47" s="2773"/>
      <c r="I47" s="164"/>
      <c r="J47" s="2749">
        <v>2</v>
      </c>
      <c r="K47" s="3267" t="s">
        <v>2024</v>
      </c>
      <c r="L47" s="3267"/>
      <c r="M47" s="3288">
        <f>'数据-取费表'!B2</f>
        <v>44218</v>
      </c>
      <c r="N47" s="3288"/>
      <c r="O47" s="3288"/>
    </row>
    <row r="48" spans="1:15" ht="25.5" hidden="1">
      <c r="A48" s="3233" t="s">
        <v>2025</v>
      </c>
      <c r="B48" s="3216"/>
      <c r="C48" s="3216"/>
      <c r="D48" s="2549" t="b">
        <f>IF(H48="情况1",0,IF(H48="情况2",D52,IF(H48="情况3",D53,IF(H48="情况4",D54))))</f>
        <v>0</v>
      </c>
      <c r="E48" s="2559" t="str">
        <f>IF(H48="情况4","(销售额-原购置价)×税（费）率","销售额×税（费）率")</f>
        <v>销售额×税（费）率</v>
      </c>
      <c r="F48" s="2774">
        <f>IF(H48="情况1","免征",'数据-取费表'!B41)</f>
        <v>5.6000000000000001E-2</v>
      </c>
      <c r="G48" s="2775" t="s">
        <v>2026</v>
      </c>
      <c r="H48" s="2776"/>
      <c r="I48" s="1994"/>
      <c r="J48" s="2749">
        <v>3</v>
      </c>
      <c r="K48" s="3267" t="s">
        <v>2027</v>
      </c>
      <c r="L48" s="3267"/>
      <c r="M48" s="3289">
        <f ca="1">H101</f>
        <v>4714</v>
      </c>
      <c r="N48" s="3289"/>
      <c r="O48" s="3289"/>
    </row>
    <row r="49" spans="1:35" ht="25.5" hidden="1" customHeight="1">
      <c r="A49" s="2558" t="s">
        <v>2028</v>
      </c>
      <c r="B49" s="3200" t="s">
        <v>2029</v>
      </c>
      <c r="C49" s="3200"/>
      <c r="D49" s="1777">
        <v>0</v>
      </c>
      <c r="E49" s="330" t="s">
        <v>2030</v>
      </c>
      <c r="F49" s="2652" t="s">
        <v>34</v>
      </c>
      <c r="G49" s="3273"/>
      <c r="H49" s="2530" t="s">
        <v>2876</v>
      </c>
      <c r="I49" s="2531"/>
      <c r="J49" s="2749">
        <v>4</v>
      </c>
      <c r="K49" s="3267" t="str">
        <f>IF(项目基本情况!E8="房地产抵押价值","房地产抵押价值","抵押担保权已注销时的房地产抵押价值")</f>
        <v>房地产抵押价值</v>
      </c>
      <c r="L49" s="3267"/>
      <c r="M49" s="3289">
        <f ca="1">IF(项目基本情况!E8="房地产抵押价值",H107,H109)</f>
        <v>4714</v>
      </c>
      <c r="N49" s="3289"/>
      <c r="O49" s="3289"/>
    </row>
    <row r="50" spans="1:35" ht="25.5" hidden="1" customHeight="1">
      <c r="A50" s="2777"/>
      <c r="B50" s="3200" t="s">
        <v>2031</v>
      </c>
      <c r="C50" s="3200"/>
      <c r="D50" s="2778"/>
      <c r="E50" s="338"/>
      <c r="F50" s="2652"/>
      <c r="G50" s="3274"/>
      <c r="H50" s="2532" t="s">
        <v>2877</v>
      </c>
      <c r="I50" s="2531"/>
      <c r="J50" s="3286" t="s">
        <v>2032</v>
      </c>
      <c r="K50" s="3286"/>
      <c r="L50" s="3286"/>
      <c r="M50" s="3286"/>
      <c r="N50" s="3286"/>
      <c r="O50" s="3286"/>
    </row>
    <row r="51" spans="1:35" ht="20.45" hidden="1" customHeight="1">
      <c r="A51" s="2779"/>
      <c r="B51" s="3200" t="s">
        <v>2033</v>
      </c>
      <c r="C51" s="3200"/>
      <c r="D51" s="1247"/>
      <c r="E51" s="333"/>
      <c r="F51" s="2652"/>
      <c r="G51" s="3275"/>
      <c r="H51" s="2532" t="s">
        <v>2878</v>
      </c>
      <c r="I51" s="2531"/>
      <c r="J51" s="2750" t="s">
        <v>2034</v>
      </c>
      <c r="K51" s="3267" t="s">
        <v>2035</v>
      </c>
      <c r="L51" s="3267"/>
      <c r="M51" s="2750" t="s">
        <v>2036</v>
      </c>
      <c r="N51" s="2750" t="s">
        <v>2037</v>
      </c>
      <c r="O51" s="2750" t="s">
        <v>2038</v>
      </c>
    </row>
    <row r="52" spans="1:35" ht="24" hidden="1" customHeight="1">
      <c r="A52" s="2560" t="s">
        <v>2039</v>
      </c>
      <c r="B52" s="3200" t="s">
        <v>2040</v>
      </c>
      <c r="C52" s="3200"/>
      <c r="D52" s="1247">
        <f ca="1">ROUND(D45*'数据-取费表'!B41/(1+'数据-取费表'!C42),0)</f>
        <v>251</v>
      </c>
      <c r="E52" s="2559" t="s">
        <v>2041</v>
      </c>
      <c r="F52" s="2780">
        <f>'数据-取费表'!B41</f>
        <v>5.6000000000000001E-2</v>
      </c>
      <c r="G52" s="2781"/>
      <c r="H52" s="2770"/>
      <c r="I52" s="1995"/>
      <c r="J52" s="2749">
        <v>1</v>
      </c>
      <c r="K52" s="3268" t="s">
        <v>2042</v>
      </c>
      <c r="L52" s="3268"/>
      <c r="M52" s="2751" t="b">
        <f>D48</f>
        <v>0</v>
      </c>
      <c r="N52" s="2749" t="str">
        <f>E48</f>
        <v>销售额×税（费）率</v>
      </c>
      <c r="O52" s="2752">
        <f>F48</f>
        <v>5.6000000000000001E-2</v>
      </c>
    </row>
    <row r="53" spans="1:35" ht="12" hidden="1" customHeight="1">
      <c r="A53" s="2560" t="s">
        <v>2043</v>
      </c>
      <c r="B53" s="3226" t="s">
        <v>3031</v>
      </c>
      <c r="C53" s="3227"/>
      <c r="D53" s="1247">
        <f ca="1">ROUND(D45*'数据-取费表'!B41/(1+'数据-取费表'!C42),0)</f>
        <v>251</v>
      </c>
      <c r="E53" s="2559" t="s">
        <v>2041</v>
      </c>
      <c r="F53" s="2780">
        <f>'数据-取费表'!B41</f>
        <v>5.6000000000000001E-2</v>
      </c>
      <c r="G53" s="2781"/>
      <c r="H53" s="2770"/>
      <c r="I53" s="1995"/>
      <c r="J53" s="2749">
        <v>2</v>
      </c>
      <c r="K53" s="3268" t="s">
        <v>2044</v>
      </c>
      <c r="L53" s="3268"/>
      <c r="M53" s="2751">
        <f t="shared" ref="M53:O54" ca="1" si="0">D55</f>
        <v>2</v>
      </c>
      <c r="N53" s="2749" t="str">
        <f t="shared" si="0"/>
        <v>销售额×税（费）率</v>
      </c>
      <c r="O53" s="2752" t="str">
        <f t="shared" si="0"/>
        <v>免征</v>
      </c>
    </row>
    <row r="54" spans="1:35" ht="12" hidden="1" customHeight="1">
      <c r="A54" s="2560" t="s">
        <v>2045</v>
      </c>
      <c r="B54" s="3226" t="s">
        <v>3032</v>
      </c>
      <c r="C54" s="3227"/>
      <c r="D54" s="1247">
        <f ca="1">C68</f>
        <v>251</v>
      </c>
      <c r="E54" s="333" t="s">
        <v>2046</v>
      </c>
      <c r="F54" s="2780">
        <f>'数据-取费表'!B41</f>
        <v>5.6000000000000001E-2</v>
      </c>
      <c r="G54" s="2781"/>
      <c r="H54" s="2782"/>
      <c r="I54" s="1995"/>
      <c r="J54" s="2749">
        <v>3</v>
      </c>
      <c r="K54" s="3268" t="s">
        <v>2047</v>
      </c>
      <c r="L54" s="3268"/>
      <c r="M54" s="2751">
        <f t="shared" ca="1" si="0"/>
        <v>2668</v>
      </c>
      <c r="N54" s="2749" t="str">
        <f t="shared" si="0"/>
        <v>增值额×税（费）率</v>
      </c>
      <c r="O54" s="2753" t="str">
        <f t="shared" si="0"/>
        <v>免征</v>
      </c>
    </row>
    <row r="55" spans="1:35" ht="24" hidden="1" customHeight="1">
      <c r="A55" s="3215" t="s">
        <v>2048</v>
      </c>
      <c r="B55" s="3216"/>
      <c r="C55" s="3216"/>
      <c r="D55" s="2549">
        <f ca="1">IF(H55="个人住宅",0,ROUND(D45*I55,0))</f>
        <v>2</v>
      </c>
      <c r="E55" s="2559" t="s">
        <v>2049</v>
      </c>
      <c r="F55" s="2780" t="str">
        <f>IF(H55="正常",I55,"免征")</f>
        <v>免征</v>
      </c>
      <c r="G55" s="2781"/>
      <c r="H55" s="2776"/>
      <c r="I55" s="170">
        <f>'数据-取费表'!B49</f>
        <v>5.0000000000000001E-4</v>
      </c>
      <c r="J55" s="2749">
        <f>IF(H59="非个人房产","",4)</f>
        <v>4</v>
      </c>
      <c r="K55" s="3268" t="str">
        <f>IF(H59="非个人房产","——","个人所得税")</f>
        <v>个人所得税</v>
      </c>
      <c r="L55" s="3268"/>
      <c r="M55" s="2754">
        <f ca="1">D59</f>
        <v>45</v>
      </c>
      <c r="N55" s="2230" t="str">
        <f>E59</f>
        <v>差额计税</v>
      </c>
      <c r="O55" s="2755">
        <f>F59</f>
        <v>0.01</v>
      </c>
    </row>
    <row r="56" spans="1:35" ht="24.75" hidden="1">
      <c r="A56" s="3215" t="s">
        <v>2050</v>
      </c>
      <c r="B56" s="3216"/>
      <c r="C56" s="3216"/>
      <c r="D56" s="2549">
        <f ca="1">IF(H56="个人住宅",D57,D58)</f>
        <v>2668</v>
      </c>
      <c r="E56" s="2559" t="s">
        <v>2051</v>
      </c>
      <c r="F56" s="2780" t="str">
        <f>IF(H56="正常",F58,"免征")</f>
        <v>免征</v>
      </c>
      <c r="G56" s="2783" t="s">
        <v>2052</v>
      </c>
      <c r="H56" s="2784"/>
      <c r="I56" s="1996"/>
      <c r="J56" s="2749" t="str">
        <f>IF(项目基本情况!K6="上海银行",IF(J55="",4,J55+1),"")</f>
        <v/>
      </c>
      <c r="K56" s="3291" t="str">
        <f>IF(项目基本情况!K6="上海银行","其他处置费用","")</f>
        <v/>
      </c>
      <c r="L56" s="3292"/>
      <c r="M56" s="2751" t="str">
        <f>IF(项目基本情况!K6="上海银行",M69,"")</f>
        <v/>
      </c>
      <c r="N56" s="3291" t="str">
        <f>IF(项目基本情况!K6="上海银行","包含处置中涉及的律师、诉讼、拍卖、评估等费用","")</f>
        <v/>
      </c>
      <c r="O56" s="3294"/>
    </row>
    <row r="57" spans="1:35" ht="12.75" hidden="1">
      <c r="A57" s="2560" t="s">
        <v>2028</v>
      </c>
      <c r="B57" s="3226" t="s">
        <v>2053</v>
      </c>
      <c r="C57" s="3227"/>
      <c r="D57" s="1777">
        <v>0</v>
      </c>
      <c r="E57" s="330" t="s">
        <v>2030</v>
      </c>
      <c r="F57" s="308"/>
      <c r="G57" s="2781"/>
      <c r="H57" s="2785"/>
      <c r="I57" s="1996"/>
      <c r="J57" s="3268">
        <f>IF(AND(J55="",J56=""),4,IF(项目基本情况!K6="上海银行",'结果表（商业）'!J56+1,'结果表（商业）'!J55+1))</f>
        <v>5</v>
      </c>
      <c r="K57" s="3268" t="s">
        <v>2054</v>
      </c>
      <c r="L57" s="2756" t="s">
        <v>2055</v>
      </c>
      <c r="M57" s="2757"/>
      <c r="N57" s="2758">
        <f ca="1">SUMIF(M52:M56,"&lt;9e307")</f>
        <v>2715</v>
      </c>
      <c r="O57" s="2759"/>
      <c r="P57" s="2919">
        <f ca="1">N57/M49</f>
        <v>0.57594399660585494</v>
      </c>
    </row>
    <row r="58" spans="1:35" ht="24.75" hidden="1">
      <c r="A58" s="2560" t="s">
        <v>2039</v>
      </c>
      <c r="B58" s="3226" t="s">
        <v>2056</v>
      </c>
      <c r="C58" s="3200"/>
      <c r="D58" s="2549">
        <f ca="1">IF(H58="转让取得",C81,C97)</f>
        <v>2668</v>
      </c>
      <c r="E58" s="2559" t="s">
        <v>2051</v>
      </c>
      <c r="F58" s="308" t="s">
        <v>34</v>
      </c>
      <c r="G58" s="2781"/>
      <c r="H58" s="2784"/>
      <c r="I58" s="1996"/>
      <c r="J58" s="3268"/>
      <c r="K58" s="3268"/>
      <c r="L58" s="2756" t="s">
        <v>2057</v>
      </c>
      <c r="M58" s="2760"/>
      <c r="N58" s="2761" t="str">
        <f ca="1">NUMBERSTRING(INT(N57*10000),2)&amp;"元整"</f>
        <v>贰仟柒佰壹拾伍万元整</v>
      </c>
      <c r="O58" s="2762"/>
    </row>
    <row r="59" spans="1:35" ht="24.75" hidden="1" thickBot="1">
      <c r="A59" s="3271" t="s">
        <v>2058</v>
      </c>
      <c r="B59" s="3272"/>
      <c r="C59" s="3272"/>
      <c r="D59" s="2786">
        <f ca="1">IF(H59="非个人房产","——",IF(H59="个人住宅（满五唯一有凭证）",0,IF(H59="个人其他（无凭证）",ROUND(D45*F59,0),ROUND(C67*F59,0))))</f>
        <v>45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4"/>
      <c r="I59" s="2533" t="s">
        <v>2879</v>
      </c>
      <c r="J59" s="3269">
        <f>J57+1</f>
        <v>6</v>
      </c>
      <c r="K59" s="3268" t="s">
        <v>2059</v>
      </c>
      <c r="L59" s="2749" t="s">
        <v>2055</v>
      </c>
      <c r="M59" s="2763"/>
      <c r="N59" s="2764">
        <f ca="1">M49-N57</f>
        <v>1999</v>
      </c>
      <c r="O59" s="2765"/>
    </row>
    <row r="60" spans="1:35" ht="12" hidden="1" customHeight="1">
      <c r="A60" s="1997"/>
      <c r="B60" s="1935"/>
      <c r="C60" s="1935"/>
      <c r="D60" s="1935"/>
      <c r="E60" s="1765"/>
      <c r="F60" s="1996"/>
      <c r="G60" s="1996"/>
      <c r="H60" s="1998"/>
      <c r="I60" s="134"/>
      <c r="J60" s="3270"/>
      <c r="K60" s="3268"/>
      <c r="L60" s="2756" t="s">
        <v>2057</v>
      </c>
      <c r="M60" s="2760"/>
      <c r="N60" s="2761" t="str">
        <f ca="1">NUMBERSTRING(INT(N59*10000),2)&amp;"元整"</f>
        <v>壹仟玖佰玖拾玖万元整</v>
      </c>
      <c r="O60" s="2762"/>
    </row>
    <row r="61" spans="1:35" ht="13.5" hidden="1" thickBot="1">
      <c r="A61" s="3213" t="s">
        <v>2060</v>
      </c>
      <c r="B61" s="3213"/>
      <c r="C61" s="3213"/>
      <c r="D61" s="3213"/>
      <c r="E61" s="3213"/>
      <c r="F61" s="1996"/>
      <c r="G61" s="1996"/>
      <c r="H61" s="1998"/>
      <c r="I61" s="134"/>
      <c r="J61" s="2749">
        <f>J59+1</f>
        <v>7</v>
      </c>
      <c r="K61" s="3268" t="s">
        <v>2061</v>
      </c>
      <c r="L61" s="3268"/>
      <c r="M61" s="2766"/>
      <c r="N61" s="2767">
        <f ca="1">ROUND(N59*10000/'数据-汇总表'!E3,0)</f>
        <v>1671</v>
      </c>
      <c r="O61" s="2768"/>
    </row>
    <row r="62" spans="1:35" ht="12.75" hidden="1">
      <c r="A62" s="3231" t="s">
        <v>2062</v>
      </c>
      <c r="B62" s="3232"/>
      <c r="C62" s="2211"/>
      <c r="D62" s="2211" t="s">
        <v>2063</v>
      </c>
      <c r="E62" s="171" t="s">
        <v>2064</v>
      </c>
      <c r="F62" s="1996"/>
      <c r="G62" s="1996"/>
      <c r="H62" s="1998"/>
      <c r="I62" s="134"/>
    </row>
    <row r="63" spans="1:35" ht="12.75" hidden="1">
      <c r="A63" s="178" t="s">
        <v>775</v>
      </c>
      <c r="B63" s="172" t="s">
        <v>2065</v>
      </c>
      <c r="C63" s="2790">
        <f ca="1">ROUND((C64+C65)/(1+'数据-取费表'!C42),0)</f>
        <v>4490</v>
      </c>
      <c r="D63" s="172"/>
      <c r="E63" s="173"/>
      <c r="F63" s="1996"/>
      <c r="G63" s="1996"/>
      <c r="H63" s="1998"/>
      <c r="I63" s="134"/>
      <c r="J63" s="3293" t="s">
        <v>2066</v>
      </c>
      <c r="K63" s="1503" t="s">
        <v>2067</v>
      </c>
      <c r="L63" s="1503">
        <f ca="1">IF(M49&gt;10000,M49*0.5%,IF(AND(M49&gt;1000,M49&lt;=10000),M49*1%,IF(AND(M49&gt;100,M49&lt;=1000),M49*3%,IF(AND(M49&gt;10,M49&lt;=100),M49*5%,M49*8%))))</f>
        <v>47.14</v>
      </c>
      <c r="M63" s="308">
        <f ca="1">ROUND(L63,1)</f>
        <v>47.1</v>
      </c>
      <c r="N63" s="2769"/>
      <c r="Z63" s="1940"/>
      <c r="AI63" s="1941"/>
    </row>
    <row r="64" spans="1:35" ht="14.25" hidden="1" customHeight="1">
      <c r="A64" s="174" t="s">
        <v>770</v>
      </c>
      <c r="B64" s="175" t="s">
        <v>2068</v>
      </c>
      <c r="C64" s="2791">
        <f ca="1">D45</f>
        <v>4714</v>
      </c>
      <c r="D64" s="175" t="s">
        <v>32</v>
      </c>
      <c r="E64" s="177"/>
      <c r="F64" s="1996"/>
      <c r="G64" s="1996"/>
      <c r="H64" s="1998"/>
      <c r="I64" s="134"/>
      <c r="J64" s="3293"/>
      <c r="K64" s="1503" t="s">
        <v>2069</v>
      </c>
      <c r="L64" s="1503">
        <f ca="1">IF(M49&gt;2000,M49*0.5%,IF(AND(M49&gt;1000,M49&lt;=2000),M49*0.6%,IF(AND(M49&gt;500,M49&lt;=1000),M49*0.7%,IF(AND(M49&gt;200,M49&lt;=500),M49*0.8%,IF(AND(M49&gt;100,M49&lt;=200),M49*0.9%,IF(AND(M49&gt;50,M49&lt;=100),M49*1%,IF(AND(M49&gt;20,M49&lt;=50),M49*1.5%,IF(AND(M49&gt;10,M49&lt;=20),M49*2%,IF(AND(M49&gt;1,M49&lt;=10),M49*2.5%)))))))))</f>
        <v>23.57</v>
      </c>
      <c r="M64" s="308">
        <f t="shared" ref="M64:M65" ca="1" si="1">ROUND(L64,1)</f>
        <v>23.6</v>
      </c>
      <c r="N64" s="2770" t="s">
        <v>2070</v>
      </c>
      <c r="Z64" s="1940"/>
      <c r="AI64" s="1941"/>
    </row>
    <row r="65" spans="1:35" ht="14.25" hidden="1" customHeight="1">
      <c r="A65" s="174" t="s">
        <v>771</v>
      </c>
      <c r="B65" s="175" t="s">
        <v>2071</v>
      </c>
      <c r="C65" s="2792"/>
      <c r="D65" s="175"/>
      <c r="E65" s="177"/>
      <c r="F65" s="1996"/>
      <c r="G65" s="1996"/>
      <c r="H65" s="1998"/>
      <c r="I65" s="134"/>
      <c r="J65" s="3293"/>
      <c r="K65" s="1503" t="s">
        <v>2072</v>
      </c>
      <c r="L65" s="1503">
        <f ca="1">IF(M49&gt;1000,M49*0.1%,IF(AND(M49&gt;500,M49&lt;=1000),M49*0.5%,IF(AND(M49&gt;50,M49&lt;=500),M49*1%,IF(AND(M49&gt;1,M49&lt;=50),M49*1.5%))))</f>
        <v>4.7140000000000004</v>
      </c>
      <c r="M65" s="308">
        <f t="shared" ca="1" si="1"/>
        <v>4.7</v>
      </c>
      <c r="N65" s="2770" t="s">
        <v>2070</v>
      </c>
      <c r="Z65" s="1940"/>
      <c r="AI65" s="1941"/>
    </row>
    <row r="66" spans="1:35" ht="14.25" hidden="1" customHeight="1">
      <c r="A66" s="178" t="s">
        <v>772</v>
      </c>
      <c r="B66" s="179" t="s">
        <v>2073</v>
      </c>
      <c r="C66" s="2793"/>
      <c r="D66" s="179" t="s">
        <v>32</v>
      </c>
      <c r="E66" s="1511" t="s">
        <v>1337</v>
      </c>
      <c r="F66" s="1996"/>
      <c r="G66" s="1996"/>
      <c r="H66" s="1998"/>
      <c r="I66" s="134"/>
      <c r="J66" s="3293"/>
      <c r="K66" s="1503" t="s">
        <v>2074</v>
      </c>
      <c r="L66" s="1503">
        <f ca="1">M49*0.5%</f>
        <v>23.57</v>
      </c>
      <c r="M66" s="308">
        <f ca="1">IF(L66&gt;0.5,0.5,ROUND(L66,0))</f>
        <v>0.5</v>
      </c>
      <c r="N66" s="2770" t="s">
        <v>2075</v>
      </c>
      <c r="Z66" s="1940"/>
      <c r="AI66" s="1941"/>
    </row>
    <row r="67" spans="1:35" ht="14.25" hidden="1" customHeight="1">
      <c r="A67" s="178" t="s">
        <v>773</v>
      </c>
      <c r="B67" s="179" t="s">
        <v>2076</v>
      </c>
      <c r="C67" s="2794">
        <f ca="1">C63-C66</f>
        <v>4490</v>
      </c>
      <c r="D67" s="175" t="s">
        <v>32</v>
      </c>
      <c r="E67" s="177"/>
      <c r="F67" s="1996"/>
      <c r="G67" s="1996"/>
      <c r="H67" s="1998"/>
      <c r="I67" s="134"/>
      <c r="J67" s="3293"/>
      <c r="K67" s="1503" t="s">
        <v>2077</v>
      </c>
      <c r="L67" s="150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9"/>
      <c r="Z67" s="1940"/>
      <c r="AI67" s="1941"/>
    </row>
    <row r="68" spans="1:35" ht="14.25" hidden="1" customHeight="1" thickBot="1">
      <c r="A68" s="181" t="s">
        <v>774</v>
      </c>
      <c r="B68" s="182" t="s">
        <v>2078</v>
      </c>
      <c r="C68" s="2795">
        <f ca="1">IF(C67&lt;=0,0,ROUND(C67*D68,0))</f>
        <v>251</v>
      </c>
      <c r="D68" s="2796">
        <f>'数据-取费表'!B41</f>
        <v>5.6000000000000001E-2</v>
      </c>
      <c r="E68" s="184"/>
      <c r="F68" s="1996"/>
      <c r="G68" s="1996"/>
      <c r="H68" s="1998"/>
      <c r="I68" s="134"/>
      <c r="J68" s="3293"/>
      <c r="K68" s="1503" t="s">
        <v>2079</v>
      </c>
      <c r="L68" s="1503">
        <f ca="1">IF(M49&gt;10000,M49*0.5%,IF(AND(M49&gt;5000,M49&lt;=10000),M49*1%,IF(AND(M49&gt;1000,M49&lt;=5000),M49*2%,IF(AND(M49&gt;200,M49&lt;=1000),M49*3%,M49*5%))))</f>
        <v>94.28</v>
      </c>
      <c r="M68" s="308">
        <f ca="1">ROUND(L68,1)</f>
        <v>94.3</v>
      </c>
      <c r="N68" s="2769"/>
      <c r="Z68" s="1940"/>
      <c r="AI68" s="1941"/>
    </row>
    <row r="69" spans="1:35" s="1960" customFormat="1" ht="16.5" hidden="1" customHeight="1">
      <c r="A69" s="1999"/>
      <c r="B69" s="2000"/>
      <c r="C69" s="2001"/>
      <c r="D69" s="2002"/>
      <c r="E69" s="2003"/>
      <c r="F69" s="1765"/>
      <c r="G69" s="1765"/>
      <c r="H69" s="1764"/>
      <c r="I69" s="1935"/>
      <c r="J69" s="3293"/>
      <c r="K69" s="1503" t="s">
        <v>2080</v>
      </c>
      <c r="L69" s="1503"/>
      <c r="M69" s="308">
        <f ca="1">ROUND(SUM(M63:M68),0)</f>
        <v>173</v>
      </c>
      <c r="N69" s="2771">
        <f ca="1">M69/M49</f>
        <v>3.6699193890538821E-2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hidden="1" thickBot="1">
      <c r="A70" s="3252" t="s">
        <v>2081</v>
      </c>
      <c r="B70" s="3253"/>
      <c r="C70" s="3253"/>
      <c r="D70" s="3253"/>
      <c r="E70" s="3253"/>
      <c r="F70" s="3253"/>
      <c r="G70" s="3253"/>
      <c r="H70" s="3253"/>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hidden="1">
      <c r="A71" s="3231" t="s">
        <v>2062</v>
      </c>
      <c r="B71" s="3232"/>
      <c r="C71" s="2211"/>
      <c r="D71" s="2211" t="s">
        <v>2063</v>
      </c>
      <c r="E71" s="185" t="s">
        <v>2064</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hidden="1">
      <c r="A72" s="178" t="s">
        <v>775</v>
      </c>
      <c r="B72" s="179" t="s">
        <v>2082</v>
      </c>
      <c r="C72" s="2794">
        <f ca="1">ROUND(D45/(1+'数据-取费表'!C42),0)</f>
        <v>4490</v>
      </c>
      <c r="D72" s="175" t="s">
        <v>32</v>
      </c>
      <c r="E72" s="2556"/>
      <c r="F72" s="2555"/>
      <c r="G72" s="2555"/>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hidden="1">
      <c r="A73" s="178" t="s">
        <v>772</v>
      </c>
      <c r="B73" s="168" t="s">
        <v>2083</v>
      </c>
      <c r="C73" s="2794">
        <f ca="1">C74+C78</f>
        <v>27</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hidden="1">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hidden="1">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hidden="1" customHeight="1">
      <c r="A76" s="174" t="s">
        <v>777</v>
      </c>
      <c r="B76" s="191" t="s">
        <v>2088</v>
      </c>
      <c r="C76" s="175">
        <f>IF(F75="购房发票",ROUND(C75*H75*D76,0),0)</f>
        <v>0</v>
      </c>
      <c r="D76" s="2800">
        <v>0.05</v>
      </c>
      <c r="E76" s="3226" t="s">
        <v>2089</v>
      </c>
      <c r="F76" s="3200"/>
      <c r="G76" s="3200"/>
      <c r="H76" s="325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hidden="1" customHeight="1">
      <c r="A77" s="174" t="s">
        <v>778</v>
      </c>
      <c r="B77" s="175" t="s">
        <v>2090</v>
      </c>
      <c r="C77" s="175">
        <f>ROUND(IF(G77="个人住宅",0,IF(G77="2016年5月1日前购买",C75*D77,C75*D77/(1+'数据-取费表'!C42))),0)</f>
        <v>0</v>
      </c>
      <c r="D77" s="2801">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hidden="1" customHeight="1">
      <c r="A78" s="174" t="s">
        <v>771</v>
      </c>
      <c r="B78" s="175" t="s">
        <v>2092</v>
      </c>
      <c r="C78" s="2802">
        <f ca="1">ROUND(D45*D78/(1+'数据-取费表'!C42),0)</f>
        <v>27</v>
      </c>
      <c r="D78" s="2803">
        <f>'数据-取费表'!B43</f>
        <v>6.000000000000001E-3</v>
      </c>
      <c r="E78" s="3210" t="s">
        <v>2093</v>
      </c>
      <c r="F78" s="3211"/>
      <c r="G78" s="3211"/>
      <c r="H78" s="3220"/>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hidden="1">
      <c r="A79" s="178" t="s">
        <v>779</v>
      </c>
      <c r="B79" s="179" t="s">
        <v>2094</v>
      </c>
      <c r="C79" s="2794">
        <f ca="1">C72-C73</f>
        <v>4463</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hidden="1">
      <c r="A80" s="178" t="s">
        <v>780</v>
      </c>
      <c r="B80" s="179" t="s">
        <v>2095</v>
      </c>
      <c r="C80" s="2804">
        <f ca="1">IF(C79&lt;=0,0,C79/C73)</f>
        <v>165.2962962962963</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hidden="1" thickBot="1">
      <c r="A81" s="181" t="s">
        <v>781</v>
      </c>
      <c r="B81" s="182" t="s">
        <v>2096</v>
      </c>
      <c r="C81" s="2805">
        <f ca="1">ROUND(IF(C79&lt;=0,0,IF(C80&gt;=200%,C79*60%-C73*35%,IF(C80&gt;=100%,C79*50%-C73*15%,IF(C80&gt;=50%,C79*40%-C73*5%,IF(C80&lt;50%,C79*30%,0))))),0)</f>
        <v>2668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hidden="1"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hidden="1" thickBot="1">
      <c r="A83" s="3252" t="s">
        <v>2097</v>
      </c>
      <c r="B83" s="3253"/>
      <c r="C83" s="3253"/>
      <c r="D83" s="3253"/>
      <c r="E83" s="3253"/>
      <c r="F83" s="3253"/>
      <c r="G83" s="3253"/>
      <c r="H83" s="325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hidden="1">
      <c r="A84" s="3231" t="s">
        <v>2062</v>
      </c>
      <c r="B84" s="3232"/>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hidden="1">
      <c r="A85" s="178" t="s">
        <v>775</v>
      </c>
      <c r="B85" s="179" t="s">
        <v>2082</v>
      </c>
      <c r="C85" s="2794">
        <f ca="1">ROUND(D45/(1+'数据-取费表'!C42),0)</f>
        <v>4490</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hidden="1">
      <c r="A86" s="178" t="s">
        <v>772</v>
      </c>
      <c r="B86" s="168" t="s">
        <v>2083</v>
      </c>
      <c r="C86" s="2794">
        <f ca="1">IF(H88="仅含出让金",C87+C90+C91+C92+C93+C94,C87+C91+C92+C93+C94)</f>
        <v>27</v>
      </c>
      <c r="D86" s="2807"/>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hidden="1">
      <c r="A87" s="174" t="s">
        <v>770</v>
      </c>
      <c r="B87" s="175" t="s">
        <v>2098</v>
      </c>
      <c r="C87" s="2802">
        <f>C88+C89</f>
        <v>0</v>
      </c>
      <c r="D87" s="2803"/>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hidden="1">
      <c r="A88" s="174" t="s">
        <v>776</v>
      </c>
      <c r="B88" s="175" t="s">
        <v>2099</v>
      </c>
      <c r="C88" s="2808"/>
      <c r="D88" s="2803"/>
      <c r="E88" s="199" t="s">
        <v>2100</v>
      </c>
      <c r="F88" s="2552"/>
      <c r="G88" s="200" t="s">
        <v>2101</v>
      </c>
      <c r="H88" s="2012"/>
      <c r="I88" s="2009"/>
      <c r="J88" s="2747" t="s">
        <v>3028</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hidden="1">
      <c r="A89" s="174" t="s">
        <v>777</v>
      </c>
      <c r="B89" s="175" t="s">
        <v>2090</v>
      </c>
      <c r="C89" s="2802">
        <f>ROUND(C88*D89,0)</f>
        <v>0</v>
      </c>
      <c r="D89" s="2803">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hidden="1">
      <c r="A90" s="174" t="s">
        <v>771</v>
      </c>
      <c r="B90" s="175" t="s">
        <v>2103</v>
      </c>
      <c r="C90" s="2808"/>
      <c r="D90" s="2803"/>
      <c r="E90" s="199" t="str">
        <f>IF(H88="-","土地取得成本中已包含该笔费用"," ")</f>
        <v xml:space="preserve"> </v>
      </c>
      <c r="F90" s="2552"/>
      <c r="G90" s="3295" t="s">
        <v>2871</v>
      </c>
      <c r="H90" s="3296"/>
      <c r="I90" s="2009"/>
      <c r="J90" s="2747" t="s">
        <v>3029</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hidden="1" customHeight="1">
      <c r="A91" s="174" t="s">
        <v>2104</v>
      </c>
      <c r="B91" s="175" t="s">
        <v>2105</v>
      </c>
      <c r="C91" s="2802">
        <f>IF(H91="——",成本法!C33,I91)</f>
        <v>0</v>
      </c>
      <c r="D91" s="2803"/>
      <c r="E91" s="3210" t="s">
        <v>2106</v>
      </c>
      <c r="F91" s="3211"/>
      <c r="G91" s="3211"/>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hidden="1" customHeight="1">
      <c r="A92" s="174" t="s">
        <v>2107</v>
      </c>
      <c r="B92" s="175" t="s">
        <v>2108</v>
      </c>
      <c r="C92" s="2802">
        <f>ROUND((C87+C90+C91)*D92,0)</f>
        <v>0</v>
      </c>
      <c r="D92" s="2809"/>
      <c r="E92" s="3210" t="s">
        <v>2109</v>
      </c>
      <c r="F92" s="3211"/>
      <c r="G92" s="3211"/>
      <c r="H92" s="3220"/>
      <c r="I92" s="2009"/>
      <c r="J92" s="2748" t="s">
        <v>3030</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hidden="1" customHeight="1">
      <c r="A93" s="174" t="s">
        <v>2110</v>
      </c>
      <c r="B93" s="175" t="s">
        <v>2092</v>
      </c>
      <c r="C93" s="2802">
        <f ca="1">ROUND(D45*D93/(1+'数据-取费表'!C42),0)</f>
        <v>27</v>
      </c>
      <c r="D93" s="2803">
        <f>'数据-取费表'!B43</f>
        <v>6.000000000000001E-3</v>
      </c>
      <c r="E93" s="3210" t="s">
        <v>2093</v>
      </c>
      <c r="F93" s="3211"/>
      <c r="G93" s="3211"/>
      <c r="H93" s="3220"/>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hidden="1" customHeight="1">
      <c r="A94" s="174" t="s">
        <v>2111</v>
      </c>
      <c r="B94" s="175" t="s">
        <v>2112</v>
      </c>
      <c r="C94" s="2808">
        <f>ROUND((C87+C90+C91)*D94,0)</f>
        <v>0</v>
      </c>
      <c r="D94" s="2803">
        <v>0.2</v>
      </c>
      <c r="E94" s="3221" t="s">
        <v>2113</v>
      </c>
      <c r="F94" s="3222"/>
      <c r="G94" s="3222"/>
      <c r="H94" s="322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hidden="1">
      <c r="A95" s="178" t="s">
        <v>779</v>
      </c>
      <c r="B95" s="179" t="s">
        <v>2094</v>
      </c>
      <c r="C95" s="2794">
        <f ca="1">ROUND(C85-C86,0)</f>
        <v>4463</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hidden="1">
      <c r="A96" s="178" t="s">
        <v>780</v>
      </c>
      <c r="B96" s="179" t="s">
        <v>2095</v>
      </c>
      <c r="C96" s="2804">
        <f ca="1">IF(C95&lt;=0,0,C95/C86)</f>
        <v>165.2962962962963</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hidden="1" thickBot="1">
      <c r="A97" s="181" t="s">
        <v>781</v>
      </c>
      <c r="B97" s="182" t="s">
        <v>2096</v>
      </c>
      <c r="C97" s="2805">
        <f ca="1">ROUND(IF(C95&lt;=0,0,IF(C96&gt;=200%,C95*60%-C86*35%,IF(C96&gt;=100%,C95*50%-C86*15%,IF(C96&gt;=50%,C95*40%-C86*5%,IF(C96&lt;50%,C95*30%,0))))),0)</f>
        <v>2668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hidden="1" customHeight="1">
      <c r="A98" s="1997"/>
      <c r="B98" s="1935"/>
      <c r="C98" s="1935"/>
      <c r="D98" s="1935"/>
      <c r="E98" s="1765"/>
      <c r="F98" s="1765"/>
      <c r="G98" s="1765"/>
      <c r="H98" s="1764"/>
      <c r="I98" s="134"/>
    </row>
    <row r="99" spans="1:35" ht="21.75" hidden="1" customHeight="1" thickBot="1">
      <c r="A99" s="1988" t="s">
        <v>2114</v>
      </c>
      <c r="B99" s="1935"/>
      <c r="C99" s="1935"/>
      <c r="D99" s="1935"/>
      <c r="E99" s="1765"/>
      <c r="F99" s="1765"/>
      <c r="G99" s="1765"/>
      <c r="H99" s="1764"/>
      <c r="I99" s="134"/>
    </row>
    <row r="100" spans="1:35" ht="18.75" hidden="1" customHeight="1">
      <c r="A100" s="3194" t="s">
        <v>2115</v>
      </c>
      <c r="B100" s="3195"/>
      <c r="C100" s="3195"/>
      <c r="D100" s="3212"/>
      <c r="E100" s="3195" t="s">
        <v>2116</v>
      </c>
      <c r="F100" s="3195"/>
      <c r="G100" s="3195"/>
      <c r="H100" s="3212"/>
      <c r="I100" s="134"/>
    </row>
    <row r="101" spans="1:35" ht="18.75" hidden="1" customHeight="1">
      <c r="A101" s="3276" t="s">
        <v>2117</v>
      </c>
      <c r="B101" s="3277"/>
      <c r="C101" s="2811" t="str">
        <f>C4</f>
        <v>成本法</v>
      </c>
      <c r="D101" s="2812" t="str">
        <f>D4</f>
        <v>收益法</v>
      </c>
      <c r="E101" s="3290" t="s">
        <v>2118</v>
      </c>
      <c r="F101" s="3244"/>
      <c r="G101" s="2015" t="s">
        <v>2119</v>
      </c>
      <c r="H101" s="2821">
        <f ca="1">H118</f>
        <v>4714</v>
      </c>
      <c r="I101" s="134"/>
    </row>
    <row r="102" spans="1:35" ht="18.75" hidden="1" customHeight="1">
      <c r="A102" s="3246" t="s">
        <v>2120</v>
      </c>
      <c r="B102" s="2810" t="s">
        <v>2119</v>
      </c>
      <c r="C102" s="2811">
        <f ca="1">C19</f>
        <v>5350</v>
      </c>
      <c r="D102" s="2812">
        <f ca="1">D19</f>
        <v>4078</v>
      </c>
      <c r="E102" s="3290"/>
      <c r="F102" s="3244"/>
      <c r="G102" s="2015" t="s">
        <v>2121</v>
      </c>
      <c r="H102" s="2781">
        <f ca="1">I118</f>
        <v>33478</v>
      </c>
      <c r="I102" s="134"/>
    </row>
    <row r="103" spans="1:35" ht="42.75" hidden="1" customHeight="1">
      <c r="A103" s="3246"/>
      <c r="B103" s="2810" t="s">
        <v>2121</v>
      </c>
      <c r="C103" s="2813">
        <f ca="1">C20</f>
        <v>37995</v>
      </c>
      <c r="D103" s="2814">
        <f ca="1">D20</f>
        <v>28961</v>
      </c>
      <c r="E103" s="3284" t="s">
        <v>2122</v>
      </c>
      <c r="F103" s="3285"/>
      <c r="G103" s="2016" t="s">
        <v>2123</v>
      </c>
      <c r="H103" s="2821">
        <f>IF(D36="正常操作",H104+H105+H106,H105+H106)</f>
        <v>0</v>
      </c>
      <c r="I103" s="134"/>
    </row>
    <row r="104" spans="1:35" ht="18.75" hidden="1" customHeight="1">
      <c r="A104" s="3246" t="s">
        <v>2124</v>
      </c>
      <c r="B104" s="2815" t="s">
        <v>2119</v>
      </c>
      <c r="C104" s="2816">
        <f ca="1">H118</f>
        <v>4714</v>
      </c>
      <c r="D104" s="2817"/>
      <c r="E104" s="1862" t="s">
        <v>2125</v>
      </c>
      <c r="F104" s="1853"/>
      <c r="G104" s="2016" t="s">
        <v>2123</v>
      </c>
      <c r="H104" s="2822">
        <f>IF(D36="同一抵押权人同一抵押物续贷",C36&amp;"（续贷，未扣减，详见特别提示）",C36)</f>
        <v>0</v>
      </c>
      <c r="I104" s="134"/>
    </row>
    <row r="105" spans="1:35" ht="18.75" hidden="1" customHeight="1" thickBot="1">
      <c r="A105" s="3247"/>
      <c r="B105" s="2818" t="s">
        <v>2121</v>
      </c>
      <c r="C105" s="2819">
        <f ca="1">I118</f>
        <v>33478</v>
      </c>
      <c r="D105" s="2820"/>
      <c r="E105" s="1862" t="s">
        <v>2126</v>
      </c>
      <c r="F105" s="1853"/>
      <c r="G105" s="2016" t="s">
        <v>2123</v>
      </c>
      <c r="H105" s="2823">
        <f>C37</f>
        <v>0</v>
      </c>
      <c r="I105" s="134"/>
    </row>
    <row r="106" spans="1:35" ht="18.75" hidden="1" customHeight="1">
      <c r="A106" s="1935" t="s">
        <v>2127</v>
      </c>
      <c r="B106" s="1935"/>
      <c r="C106" s="1935"/>
      <c r="D106" s="1935"/>
      <c r="E106" s="2017" t="s">
        <v>2128</v>
      </c>
      <c r="F106" s="1853"/>
      <c r="G106" s="2016" t="s">
        <v>2123</v>
      </c>
      <c r="H106" s="2823">
        <f>C38</f>
        <v>0</v>
      </c>
      <c r="I106" s="134"/>
    </row>
    <row r="107" spans="1:35" ht="18.75" hidden="1" customHeight="1">
      <c r="A107" s="134"/>
      <c r="B107" s="134"/>
      <c r="C107" s="134"/>
      <c r="D107" s="134"/>
      <c r="E107" s="3243" t="str">
        <f>IF(项目基本情况!E8="已注销","——","3.房地产抵押价值")</f>
        <v>3.房地产抵押价值</v>
      </c>
      <c r="F107" s="3244"/>
      <c r="G107" s="2015" t="s">
        <v>2119</v>
      </c>
      <c r="H107" s="2821">
        <f ca="1">IF(E107="——","——",H101-H103)</f>
        <v>4714</v>
      </c>
      <c r="I107" s="134"/>
    </row>
    <row r="108" spans="1:35" ht="18.75" hidden="1" customHeight="1">
      <c r="A108" s="134"/>
      <c r="B108" s="134"/>
      <c r="C108" s="134"/>
      <c r="D108" s="134"/>
      <c r="E108" s="3243"/>
      <c r="F108" s="3244"/>
      <c r="G108" s="2015" t="s">
        <v>2121</v>
      </c>
      <c r="H108" s="2781">
        <f ca="1">ROUND(H107*10000/'数据-汇总表'!E3,0)</f>
        <v>3939</v>
      </c>
      <c r="I108" s="134"/>
    </row>
    <row r="109" spans="1:35" ht="18.75" hidden="1" customHeight="1">
      <c r="A109" s="134"/>
      <c r="B109" s="134"/>
      <c r="C109" s="134"/>
      <c r="D109" s="134"/>
      <c r="E109" s="3243" t="str">
        <f>IF(项目基本情况!E8="已注销及未注销","4.抵押担保权已注销时的房地产抵押价值",IF(项目基本情况!E8="已注销","3.抵押担保权已注销时的房地产抵押价值","——"))</f>
        <v>——</v>
      </c>
      <c r="F109" s="3244"/>
      <c r="G109" s="2015" t="s">
        <v>2119</v>
      </c>
      <c r="H109" s="2824" t="str">
        <f>IF(E109="——","——",H101-H105-H106)</f>
        <v>——</v>
      </c>
      <c r="I109" s="134"/>
    </row>
    <row r="110" spans="1:35" ht="18.75" hidden="1" customHeight="1">
      <c r="A110" s="134"/>
      <c r="B110" s="134"/>
      <c r="C110" s="134"/>
      <c r="D110" s="134"/>
      <c r="E110" s="3243"/>
      <c r="F110" s="3244"/>
      <c r="G110" s="2015" t="s">
        <v>2121</v>
      </c>
      <c r="H110" s="2781" t="str">
        <f>IF(H109="——","——",ROUND(H109*10000/'数据-汇总表'!E3,0))</f>
        <v>——</v>
      </c>
      <c r="I110" s="134"/>
    </row>
    <row r="111" spans="1:35" ht="18.75" hidden="1" customHeight="1">
      <c r="A111" s="134"/>
      <c r="B111" s="134"/>
      <c r="C111" s="134"/>
      <c r="D111" s="134"/>
      <c r="E111" s="3278" t="str">
        <f>IF(项目基本情况!E9="抵押净值",IF(OR(项目基本情况!E8="已注销",项目基本情况!E8="房地产抵押价值"),"4.抵押净值","5.抵押净值"),"——")</f>
        <v>——</v>
      </c>
      <c r="F111" s="3245"/>
      <c r="G111" s="2015" t="s">
        <v>2119</v>
      </c>
      <c r="H111" s="2821" t="str">
        <f>IF(E111="——","——",N59)</f>
        <v>——</v>
      </c>
      <c r="I111" s="134"/>
    </row>
    <row r="112" spans="1:35" ht="18.75" hidden="1" customHeight="1" thickBot="1">
      <c r="A112" s="134"/>
      <c r="B112" s="134"/>
      <c r="C112" s="134"/>
      <c r="D112" s="134"/>
      <c r="E112" s="3279"/>
      <c r="F112" s="3280"/>
      <c r="G112" s="2018" t="s">
        <v>2121</v>
      </c>
      <c r="H112" s="2825" t="str">
        <f>IF(E111="——","——",N61)</f>
        <v>——</v>
      </c>
      <c r="I112" s="134"/>
    </row>
    <row r="113" spans="1:27" ht="18.75" hidden="1" customHeight="1">
      <c r="A113" s="134"/>
      <c r="B113" s="134"/>
      <c r="C113" s="134"/>
      <c r="D113" s="134"/>
      <c r="E113" s="3248" t="s">
        <v>2127</v>
      </c>
      <c r="F113" s="3248"/>
      <c r="G113" s="3248"/>
      <c r="H113" s="3248"/>
      <c r="I113" s="134"/>
    </row>
    <row r="114" spans="1:27" ht="3.75" customHeight="1">
      <c r="A114" s="1935"/>
      <c r="B114" s="1935"/>
      <c r="C114" s="1935"/>
      <c r="D114" s="1935"/>
      <c r="E114" s="1997"/>
      <c r="F114" s="1997"/>
      <c r="G114" s="1997"/>
      <c r="H114" s="1997"/>
      <c r="I114" s="1935"/>
    </row>
    <row r="115" spans="1:27" ht="18.75" customHeight="1">
      <c r="A115" s="3261" t="s">
        <v>2129</v>
      </c>
      <c r="B115" s="3262"/>
      <c r="C115" s="3262"/>
      <c r="D115" s="3262"/>
      <c r="E115" s="3262"/>
      <c r="F115" s="3262"/>
      <c r="G115" s="3262"/>
      <c r="H115" s="3262"/>
      <c r="I115" s="3263"/>
    </row>
    <row r="116" spans="1:27" ht="27" customHeight="1">
      <c r="A116" s="3214" t="s">
        <v>2130</v>
      </c>
      <c r="B116" s="3249" t="s">
        <v>2131</v>
      </c>
      <c r="C116" s="3249" t="s">
        <v>2132</v>
      </c>
      <c r="D116" s="3265" t="s">
        <v>2133</v>
      </c>
      <c r="E116" s="3266"/>
      <c r="F116" s="3257" t="s">
        <v>3196</v>
      </c>
      <c r="G116" s="3257"/>
      <c r="H116" s="3214" t="s">
        <v>2135</v>
      </c>
      <c r="I116" s="3214"/>
    </row>
    <row r="117" spans="1:27" ht="18.75" customHeight="1">
      <c r="A117" s="3214"/>
      <c r="B117" s="3250"/>
      <c r="C117" s="3250"/>
      <c r="D117" s="2554" t="s">
        <v>2136</v>
      </c>
      <c r="E117" s="2554" t="s">
        <v>2137</v>
      </c>
      <c r="F117" s="2554" t="s">
        <v>2136</v>
      </c>
      <c r="G117" s="2554" t="s">
        <v>2138</v>
      </c>
      <c r="H117" s="2554" t="s">
        <v>2136</v>
      </c>
      <c r="I117" s="2554" t="s">
        <v>2138</v>
      </c>
    </row>
    <row r="118" spans="1:27" ht="24.75" customHeight="1">
      <c r="A118" s="2826" t="str">
        <f>项目基本情况!S2</f>
        <v>北京市房地产</v>
      </c>
      <c r="B118" s="2554">
        <f>M18</f>
        <v>1408.09</v>
      </c>
      <c r="C118" s="2554">
        <f>M19</f>
        <v>283.77999999999997</v>
      </c>
      <c r="D118" s="2554">
        <f ca="1">ROUND(IF(D32="总价",C34,E118*B118/10000),0)</f>
        <v>4054</v>
      </c>
      <c r="E118" s="2554">
        <f ca="1">ROUND(IF(C33="自定义",IF(D32="楼面单价",C34,D118*10000/B118),I118-G118),0)</f>
        <v>28791</v>
      </c>
      <c r="F118" s="2554">
        <f ca="1">ROUND(IF(D32="总价",C35,G118*B118/10000),0)</f>
        <v>660</v>
      </c>
      <c r="G118" s="2554">
        <f ca="1">ROUND(IF(D32="楼面单价",C35,F118*10000/B118),0)</f>
        <v>4687</v>
      </c>
      <c r="H118" s="2554">
        <f ca="1">ROUND(IF(D32="总价",C32,I118*B118/10000),0)</f>
        <v>4714</v>
      </c>
      <c r="I118" s="2554">
        <f ca="1">ROUND(IF(D32="楼面单价",C32,H118*10000/B118),0)</f>
        <v>33478</v>
      </c>
    </row>
    <row r="119" spans="1:27" ht="18.75" customHeight="1">
      <c r="A119" s="3214" t="s">
        <v>2139</v>
      </c>
      <c r="B119" s="3214"/>
      <c r="C119" s="3214"/>
      <c r="D119" s="3254" t="str">
        <f ca="1">NUMBERSTRING(INT(D118*10000),2)&amp;"元整"</f>
        <v>肆仟零伍拾肆万元整</v>
      </c>
      <c r="E119" s="3256"/>
      <c r="F119" s="3254" t="str">
        <f ca="1">NUMBERSTRING(INT(F118*10000),2)&amp;"元整"</f>
        <v>陆佰陆拾万元整</v>
      </c>
      <c r="G119" s="3256"/>
      <c r="H119" s="3254" t="str">
        <f ca="1">NUMBERSTRING(INT(H118*10000),2)&amp;"元整"</f>
        <v>肆仟柒佰壹拾肆万元整</v>
      </c>
      <c r="I119" s="3256"/>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58" t="s">
        <v>2139</v>
      </c>
      <c r="B121" s="3259"/>
      <c r="C121" s="3260"/>
      <c r="D121" s="3254" t="str">
        <f>IF(D120=0,"零元整",NUMBERSTRING(INT(D120*10000),2)&amp;"元整")</f>
        <v>零元整</v>
      </c>
      <c r="E121" s="3255"/>
      <c r="F121" s="3255"/>
      <c r="G121" s="3255"/>
      <c r="H121" s="3255"/>
      <c r="I121" s="3256"/>
      <c r="AA121" s="734"/>
    </row>
    <row r="122" spans="1:27" ht="18.75" customHeight="1">
      <c r="A122" s="3245" t="str">
        <f>IF(项目基本情况!B9="房地产市场价值","",MID(E107,3,LEN(E107)-2))</f>
        <v>房地产抵押价值</v>
      </c>
      <c r="B122" s="3245"/>
      <c r="C122" s="3245"/>
      <c r="D122" s="3281">
        <f ca="1">H107</f>
        <v>4714</v>
      </c>
      <c r="E122" s="3282"/>
      <c r="F122" s="3282"/>
      <c r="G122" s="3282"/>
      <c r="H122" s="3282"/>
      <c r="I122" s="3283"/>
      <c r="AA122" s="734"/>
    </row>
    <row r="123" spans="1:27" ht="18.75" customHeight="1">
      <c r="A123" s="3214" t="s">
        <v>2139</v>
      </c>
      <c r="B123" s="3214"/>
      <c r="C123" s="3214"/>
      <c r="D123" s="3254" t="str">
        <f ca="1">NUMBERSTRING(INT(D122*10000),2)&amp;"元整"</f>
        <v>肆仟柒佰壹拾肆万元整</v>
      </c>
      <c r="E123" s="3255"/>
      <c r="F123" s="3255"/>
      <c r="G123" s="3255"/>
      <c r="H123" s="3255"/>
      <c r="I123" s="3256"/>
      <c r="AA123" s="734"/>
    </row>
    <row r="124" spans="1:27" ht="18.75" customHeight="1">
      <c r="A124" s="3245" t="str">
        <f>IF(项目基本情况!B9="房地产市场价值","",MID(E109,3,LEN(E109)-2))</f>
        <v/>
      </c>
      <c r="B124" s="3245"/>
      <c r="C124" s="3245"/>
      <c r="D124" s="3281" t="str">
        <f>H109</f>
        <v>——</v>
      </c>
      <c r="E124" s="3282"/>
      <c r="F124" s="3282"/>
      <c r="G124" s="3282"/>
      <c r="H124" s="3282"/>
      <c r="I124" s="3283"/>
      <c r="AA124" s="734"/>
    </row>
    <row r="125" spans="1:27" ht="18.75" customHeight="1">
      <c r="A125" s="3214" t="s">
        <v>2139</v>
      </c>
      <c r="B125" s="3214"/>
      <c r="C125" s="3214"/>
      <c r="D125" s="3254" t="e">
        <f>NUMBERSTRING(INT(D124*10000),2)&amp;"元整"</f>
        <v>#VALUE!</v>
      </c>
      <c r="E125" s="3255"/>
      <c r="F125" s="3255"/>
      <c r="G125" s="3255"/>
      <c r="H125" s="3255"/>
      <c r="I125" s="3256"/>
      <c r="AA125" s="734"/>
    </row>
    <row r="126" spans="1:27" ht="18.75" customHeight="1">
      <c r="A126" s="3245" t="str">
        <f>IF(项目基本情况!B9="房地产市场价值","",MID(E111,3,LEN(E111)-2))</f>
        <v/>
      </c>
      <c r="B126" s="3245"/>
      <c r="C126" s="3245"/>
      <c r="D126" s="3281" t="str">
        <f>H111</f>
        <v>——</v>
      </c>
      <c r="E126" s="3282"/>
      <c r="F126" s="3282"/>
      <c r="G126" s="3282"/>
      <c r="H126" s="3282"/>
      <c r="I126" s="3283"/>
      <c r="AA126" s="734"/>
    </row>
    <row r="127" spans="1:27" ht="18.75" customHeight="1">
      <c r="A127" s="3214" t="s">
        <v>2139</v>
      </c>
      <c r="B127" s="3214"/>
      <c r="C127" s="3214"/>
      <c r="D127" s="3254" t="e">
        <f>NUMBERSTRING(INT(D126*10000),2)&amp;"元整"</f>
        <v>#VALUE!</v>
      </c>
      <c r="E127" s="3255"/>
      <c r="F127" s="3255"/>
      <c r="G127" s="3255"/>
      <c r="H127" s="3255"/>
      <c r="I127" s="3256"/>
      <c r="AA127" s="734"/>
    </row>
    <row r="128" spans="1:27" ht="21.75" customHeight="1">
      <c r="A128" s="3264" t="s">
        <v>2140</v>
      </c>
      <c r="B128" s="3264"/>
      <c r="C128" s="3264"/>
      <c r="D128" s="3264"/>
      <c r="E128" s="3264"/>
      <c r="F128" s="3264"/>
      <c r="G128" s="3264"/>
      <c r="H128" s="3264"/>
      <c r="I128" s="3264"/>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6" t="str">
        <f>项目基本情况!B1</f>
        <v>北京市房地产抵押价值预评估</v>
      </c>
      <c r="C37" s="3106"/>
      <c r="D37" s="3106"/>
      <c r="E37" s="3106"/>
      <c r="F37" s="3106"/>
      <c r="G37" s="3106"/>
      <c r="H37" s="3106"/>
      <c r="I37" s="3106"/>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B10" zoomScale="115" zoomScaleNormal="70" zoomScaleSheetLayoutView="115" workbookViewId="0">
      <selection activeCell="C48" sqref="C4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1343</v>
      </c>
      <c r="C1" s="204"/>
      <c r="D1" s="204"/>
      <c r="E1" s="204"/>
      <c r="F1" s="204"/>
      <c r="G1" s="1288">
        <f>MATCH(B1,'数据-取费表'!A6:A16,0)+5</f>
        <v>7</v>
      </c>
    </row>
    <row r="2" spans="1:9" s="206" customFormat="1" ht="18" customHeight="1">
      <c r="A2" s="207" t="s">
        <v>2149</v>
      </c>
      <c r="B2" s="208">
        <f ca="1">IF(D2="——",C52,C52-E2)</f>
        <v>5350</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37995</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3206</v>
      </c>
      <c r="D5" s="217" t="s">
        <v>2156</v>
      </c>
      <c r="E5" s="218" t="s">
        <v>2157</v>
      </c>
      <c r="F5" s="218" t="s">
        <v>2158</v>
      </c>
      <c r="G5" s="219"/>
    </row>
    <row r="6" spans="1:9" s="220" customFormat="1" ht="13.5" customHeight="1">
      <c r="A6" s="886" t="s">
        <v>2159</v>
      </c>
      <c r="B6" s="221" t="s">
        <v>2160</v>
      </c>
      <c r="C6" s="222">
        <f ca="1">基准地价修正!V2+基准地价修正!V3</f>
        <v>3084</v>
      </c>
      <c r="D6" s="223"/>
      <c r="E6" s="224"/>
      <c r="F6" s="224"/>
      <c r="G6" s="225"/>
    </row>
    <row r="7" spans="1:9" s="220" customFormat="1" ht="13.5" customHeight="1">
      <c r="A7" s="886" t="s">
        <v>2161</v>
      </c>
      <c r="B7" s="221" t="s">
        <v>2162</v>
      </c>
      <c r="C7" s="226">
        <f ca="1">ROUND(C6*F7,0)</f>
        <v>94</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28</v>
      </c>
      <c r="D8" s="228"/>
      <c r="E8" s="226"/>
      <c r="F8" s="227"/>
      <c r="G8" s="2044" t="s">
        <v>3158</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t="s">
        <v>3159</v>
      </c>
      <c r="H9" s="1299"/>
      <c r="I9" s="2046" t="s">
        <v>2166</v>
      </c>
    </row>
    <row r="10" spans="1:9" s="220" customFormat="1" ht="13.5" customHeight="1">
      <c r="A10" s="887" t="s">
        <v>801</v>
      </c>
      <c r="B10" s="230" t="s">
        <v>2167</v>
      </c>
      <c r="C10" s="231">
        <f ca="1">ROUND(D10*E10/10000,0)</f>
        <v>28</v>
      </c>
      <c r="D10" s="954">
        <f ca="1">IF(B1="",'数据-汇总表'!E6,IF(INDIRECT("'数据-取费表'!c"&amp;$G$1)="住宅",INDIRECT("'数据-取费表'!s"&amp;$G$1),INDIRECT("'数据-取费表'!k"&amp;$G$1)+INDIRECT("'数据-取费表'!s"&amp;$G$1)))</f>
        <v>1408.09</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1408.09</v>
      </c>
      <c r="E19" s="217">
        <f>'数据-取费表'!B31</f>
        <v>200</v>
      </c>
      <c r="F19" s="237"/>
      <c r="G19" s="2044" t="s">
        <v>3160</v>
      </c>
    </row>
    <row r="20" spans="1:7" s="220" customFormat="1" ht="13.5" customHeight="1">
      <c r="A20" s="261" t="s">
        <v>2180</v>
      </c>
      <c r="B20" s="216" t="s">
        <v>2181</v>
      </c>
      <c r="C20" s="238">
        <f ca="1">ROUND((C5+C19)*F20,0)</f>
        <v>64</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315</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312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3</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654</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ROUND((C5+C19+C20)*F27*'数据-取费表'!B21/'数据-取费表'!B20,0)</f>
        <v>654</v>
      </c>
      <c r="D28" s="241"/>
      <c r="E28" s="242"/>
      <c r="F28" s="252"/>
      <c r="G28" s="253"/>
    </row>
    <row r="29" spans="1:7" s="220" customFormat="1" ht="13.5" customHeight="1">
      <c r="A29" s="888" t="s">
        <v>792</v>
      </c>
      <c r="B29" s="254" t="s">
        <v>2204</v>
      </c>
      <c r="C29" s="244">
        <f ca="1">ROUND(C21*F27*'数据-取费表'!B21/'数据-取费表'!B20,4)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4599</v>
      </c>
      <c r="D31" s="236"/>
      <c r="E31" s="217"/>
      <c r="F31" s="256"/>
      <c r="G31" s="240" t="s">
        <v>2209</v>
      </c>
    </row>
    <row r="32" spans="1:7" s="214" customFormat="1" ht="15.75">
      <c r="A32" s="258" t="s">
        <v>2210</v>
      </c>
      <c r="B32" s="259"/>
      <c r="C32" s="259"/>
      <c r="D32" s="259"/>
      <c r="E32" s="259"/>
      <c r="F32" s="259"/>
      <c r="G32" s="260"/>
    </row>
    <row r="33" spans="1:8" s="220" customFormat="1" ht="13.5" customHeight="1">
      <c r="A33" s="261" t="s">
        <v>782</v>
      </c>
      <c r="B33" s="216" t="s">
        <v>2211</v>
      </c>
      <c r="C33" s="262">
        <f ca="1">SUM(C34:C38)</f>
        <v>543</v>
      </c>
      <c r="D33" s="238"/>
      <c r="E33" s="218"/>
      <c r="F33" s="247"/>
      <c r="G33" s="240"/>
    </row>
    <row r="34" spans="1:8"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493</v>
      </c>
      <c r="D34" s="223"/>
      <c r="E34" s="226"/>
      <c r="F34" s="263">
        <f ca="1">IF('数据-取费表'!B24=0,1,IF(B1="",'数据-取费表'!N16,INDIRECT("'数据-取费表'!n"&amp;$G$1)))</f>
        <v>1</v>
      </c>
      <c r="G34" s="225" t="s">
        <v>2213</v>
      </c>
      <c r="H34" s="264">
        <f>3500*1408.09/10000</f>
        <v>492.83150000000001</v>
      </c>
    </row>
    <row r="35" spans="1:8" ht="13.5" customHeight="1">
      <c r="A35" s="888" t="s">
        <v>796</v>
      </c>
      <c r="B35" s="221" t="s">
        <v>2214</v>
      </c>
      <c r="C35" s="226">
        <f ca="1">ROUND(C34*F35,0)</f>
        <v>15</v>
      </c>
      <c r="D35" s="226"/>
      <c r="E35" s="226"/>
      <c r="F35" s="265">
        <f>'数据-取费表'!B33</f>
        <v>0.03</v>
      </c>
      <c r="G35" s="225" t="s">
        <v>2215</v>
      </c>
    </row>
    <row r="36" spans="1:8"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8" s="264" customFormat="1" ht="13.5" customHeight="1">
      <c r="A37" s="888" t="s">
        <v>798</v>
      </c>
      <c r="B37" s="221" t="s">
        <v>2218</v>
      </c>
      <c r="C37" s="255">
        <f ca="1">ROUND(E37*D37*F34/10000,0)</f>
        <v>28</v>
      </c>
      <c r="D37" s="223">
        <f ca="1">D19</f>
        <v>1408.09</v>
      </c>
      <c r="E37" s="255">
        <f>'数据-取费表'!B35</f>
        <v>200</v>
      </c>
      <c r="F37" s="265"/>
      <c r="G37" s="267" t="s">
        <v>2219</v>
      </c>
    </row>
    <row r="38" spans="1:8" ht="13.5" customHeight="1">
      <c r="A38" s="888" t="s">
        <v>799</v>
      </c>
      <c r="B38" s="221" t="s">
        <v>2220</v>
      </c>
      <c r="C38" s="226">
        <f ca="1">ROUND(C34*F38,0)</f>
        <v>7</v>
      </c>
      <c r="D38" s="226"/>
      <c r="E38" s="226"/>
      <c r="F38" s="265">
        <f>'数据-取费表'!B36</f>
        <v>1.4999999999999999E-2</v>
      </c>
      <c r="G38" s="225" t="s">
        <v>2215</v>
      </c>
    </row>
    <row r="39" spans="1:8" s="220" customFormat="1" ht="13.5" customHeight="1">
      <c r="A39" s="261" t="s">
        <v>2221</v>
      </c>
      <c r="B39" s="216" t="s">
        <v>2222</v>
      </c>
      <c r="C39" s="238">
        <f ca="1">ROUND(C33*F20,0)</f>
        <v>11</v>
      </c>
      <c r="D39" s="238"/>
      <c r="E39" s="238"/>
      <c r="F39" s="2537">
        <f>F20</f>
        <v>0.02</v>
      </c>
      <c r="G39" s="240" t="s">
        <v>2223</v>
      </c>
    </row>
    <row r="40" spans="1:8" s="220" customFormat="1" ht="13.5" customHeight="1">
      <c r="A40" s="261" t="s">
        <v>2224</v>
      </c>
      <c r="B40" s="216" t="s">
        <v>2225</v>
      </c>
      <c r="C40" s="1497">
        <f>F21</f>
        <v>0.02</v>
      </c>
      <c r="D40" s="242" t="s">
        <v>2226</v>
      </c>
      <c r="E40" s="238"/>
      <c r="F40" s="2537">
        <f>F21</f>
        <v>0.02</v>
      </c>
      <c r="G40" s="240" t="s">
        <v>2227</v>
      </c>
    </row>
    <row r="41" spans="1:8" s="220" customFormat="1" ht="13.5" customHeight="1">
      <c r="A41" s="261" t="s">
        <v>2228</v>
      </c>
      <c r="B41" s="216" t="s">
        <v>2229</v>
      </c>
      <c r="C41" s="238">
        <f ca="1">ROUND(SUM(C42:C43),0)</f>
        <v>27</v>
      </c>
      <c r="D41" s="241">
        <f ca="1">C44</f>
        <v>1E-3</v>
      </c>
      <c r="E41" s="242" t="s">
        <v>2226</v>
      </c>
      <c r="F41" s="2538">
        <f ca="1">F22</f>
        <v>4.7500000000000001E-2</v>
      </c>
      <c r="G41" s="240" t="str">
        <f>IF('数据-取费表'!B22&lt;=1,"单利计息","复利计息")</f>
        <v>复利计息</v>
      </c>
    </row>
    <row r="42" spans="1:8" ht="13.5" customHeight="1">
      <c r="A42" s="888" t="s">
        <v>791</v>
      </c>
      <c r="B42" s="221" t="s">
        <v>2230</v>
      </c>
      <c r="C42" s="244">
        <f ca="1">ROUND(IF('数据-取费表'!B22&lt;=1,C33*F22*'数据-取费表'!B21/2,C33*(POWER((1+F22),'数据-取费表'!B21/2)-1)),0)</f>
        <v>26</v>
      </c>
      <c r="D42" s="244"/>
      <c r="E42" s="244"/>
      <c r="F42" s="245"/>
      <c r="G42" s="3297" t="s">
        <v>2231</v>
      </c>
    </row>
    <row r="43" spans="1:8" ht="13.5" customHeight="1">
      <c r="A43" s="888" t="s">
        <v>792</v>
      </c>
      <c r="B43" s="221" t="s">
        <v>2232</v>
      </c>
      <c r="C43" s="244">
        <f ca="1">ROUND(IF('数据-取费表'!B22&lt;=1,C39*F22*'数据-取费表'!B21/2,C39*(POWER((1+F22),'数据-取费表'!B21/2)-1)),0)</f>
        <v>1</v>
      </c>
      <c r="D43" s="244"/>
      <c r="E43" s="244"/>
      <c r="F43" s="245"/>
      <c r="G43" s="3298"/>
    </row>
    <row r="44" spans="1:8" ht="13.5" customHeight="1">
      <c r="A44" s="888" t="s">
        <v>793</v>
      </c>
      <c r="B44" s="221" t="s">
        <v>2233</v>
      </c>
      <c r="C44" s="244">
        <f ca="1">ROUND(IF('数据-取费表'!B22&lt;=1,C40*F22*'数据-取费表'!B21/2,C40*(POWER((1+F22),'数据-取费表'!B21/2)-1)),4)</f>
        <v>1E-3</v>
      </c>
      <c r="D44" s="244"/>
      <c r="E44" s="244"/>
      <c r="F44" s="245"/>
      <c r="G44" s="3299"/>
    </row>
    <row r="45" spans="1:8" s="220" customFormat="1" ht="13.5" customHeight="1">
      <c r="A45" s="261" t="s">
        <v>2234</v>
      </c>
      <c r="B45" s="250" t="s">
        <v>2200</v>
      </c>
      <c r="C45" s="251">
        <f ca="1">C46</f>
        <v>111</v>
      </c>
      <c r="D45" s="241">
        <f ca="1">C47</f>
        <v>4.0000000000000001E-3</v>
      </c>
      <c r="E45" s="242" t="s">
        <v>2226</v>
      </c>
      <c r="F45" s="2539">
        <f ca="1">F27</f>
        <v>0.2</v>
      </c>
      <c r="G45" s="253" t="s">
        <v>2235</v>
      </c>
    </row>
    <row r="46" spans="1:8" s="220" customFormat="1" ht="13.5" customHeight="1">
      <c r="A46" s="888" t="s">
        <v>791</v>
      </c>
      <c r="B46" s="254" t="s">
        <v>2236</v>
      </c>
      <c r="C46" s="255">
        <f ca="1">ROUND((C33+C39)*F27,0)</f>
        <v>111</v>
      </c>
      <c r="D46" s="269"/>
      <c r="E46" s="242"/>
      <c r="F46" s="252"/>
      <c r="G46" s="253"/>
    </row>
    <row r="47" spans="1:8" s="220" customFormat="1" ht="13.5" customHeight="1">
      <c r="A47" s="888" t="s">
        <v>792</v>
      </c>
      <c r="B47" s="254" t="s">
        <v>2237</v>
      </c>
      <c r="C47" s="244">
        <f ca="1">ROUND(C40*F27,4)</f>
        <v>4.0000000000000001E-3</v>
      </c>
      <c r="D47" s="269"/>
      <c r="E47" s="242"/>
      <c r="F47" s="252"/>
      <c r="G47" s="253"/>
    </row>
    <row r="48" spans="1:8" s="220" customFormat="1" ht="13.5" customHeight="1">
      <c r="A48" s="261" t="s">
        <v>2199</v>
      </c>
      <c r="B48" s="216" t="s">
        <v>2238</v>
      </c>
      <c r="C48" s="1497">
        <f>ROUND(F30/(1+'数据-取费表'!C42),4)</f>
        <v>5.33E-2</v>
      </c>
      <c r="D48" s="242" t="s">
        <v>2226</v>
      </c>
      <c r="E48" s="238"/>
      <c r="F48" s="2538">
        <f>F30</f>
        <v>5.6000000000000001E-2</v>
      </c>
      <c r="G48" s="240" t="s">
        <v>2239</v>
      </c>
    </row>
    <row r="49" spans="1:8" ht="16.5" customHeight="1">
      <c r="A49" s="261" t="s">
        <v>2205</v>
      </c>
      <c r="B49" s="216" t="s">
        <v>2240</v>
      </c>
      <c r="C49" s="238">
        <f ca="1">ROUND((C33+C39+C41+C45)/(1-C40-D41-D45-C48),0)</f>
        <v>751</v>
      </c>
      <c r="D49" s="238"/>
      <c r="E49" s="238"/>
      <c r="F49" s="270"/>
      <c r="G49" s="240" t="s">
        <v>2241</v>
      </c>
      <c r="H49" s="257">
        <f>493+15+0+28+7</f>
        <v>543</v>
      </c>
    </row>
    <row r="50" spans="1:8" s="264" customFormat="1" ht="24">
      <c r="A50" s="261" t="s">
        <v>2242</v>
      </c>
      <c r="B50" s="216" t="s">
        <v>2243</v>
      </c>
      <c r="C50" s="238"/>
      <c r="D50" s="238"/>
      <c r="E50" s="238"/>
      <c r="F50" s="270">
        <f>IF('数据-取费表'!B24=0,'数据-取费表'!N16,1)</f>
        <v>1</v>
      </c>
      <c r="G50" s="253" t="s">
        <v>2244</v>
      </c>
    </row>
    <row r="51" spans="1:8" ht="16.5" customHeight="1">
      <c r="A51" s="261" t="s">
        <v>2245</v>
      </c>
      <c r="B51" s="216" t="s">
        <v>2246</v>
      </c>
      <c r="C51" s="238">
        <f ca="1">ROUND(C49*F50,0)</f>
        <v>751</v>
      </c>
      <c r="D51" s="238"/>
      <c r="E51" s="238"/>
      <c r="F51" s="270"/>
      <c r="G51" s="240" t="s">
        <v>2247</v>
      </c>
    </row>
    <row r="52" spans="1:8" s="214" customFormat="1" ht="16.5" thickBot="1">
      <c r="A52" s="271" t="s">
        <v>2248</v>
      </c>
      <c r="B52" s="272"/>
      <c r="C52" s="273">
        <f ca="1">C31+C51</f>
        <v>5350</v>
      </c>
      <c r="D52" s="272"/>
      <c r="E52" s="272"/>
      <c r="F52" s="272"/>
      <c r="G52" s="274"/>
    </row>
    <row r="55" spans="1:8" ht="15">
      <c r="B55" s="276" t="s">
        <v>2249</v>
      </c>
      <c r="C55" s="277"/>
    </row>
    <row r="56" spans="1:8">
      <c r="B56" s="279" t="s">
        <v>1478</v>
      </c>
      <c r="C56" s="281">
        <f ca="1">1-C57</f>
        <v>0.86</v>
      </c>
    </row>
    <row r="57" spans="1:8">
      <c r="B57" s="279" t="s">
        <v>1479</v>
      </c>
      <c r="C57" s="280">
        <f ca="1">ROUND(C51/C52,3)</f>
        <v>0.14000000000000001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6091</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5090</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2393234</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2393234</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2393234</v>
      </c>
      <c r="D10" s="954">
        <f ca="1">IF(B1="",'数据-汇总表'!E6,IF(INDIRECT("'数据-取费表'!c"&amp;$G$1)="住宅",INDIRECT("'数据-取费表'!s"&amp;$G$1),INDIRECT("'数据-取费表'!k"&amp;$G$1)+INDIRECT("'数据-取费表'!s"&amp;$G$1)))</f>
        <v>11966.17</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2393234</v>
      </c>
      <c r="D19" s="958">
        <f ca="1">D9+D10</f>
        <v>11966.17</v>
      </c>
      <c r="E19" s="217">
        <f>'数据-取费表'!B31</f>
        <v>200</v>
      </c>
      <c r="F19" s="237"/>
      <c r="G19" s="2044"/>
    </row>
    <row r="20" spans="1:7" s="220" customFormat="1" ht="13.5" customHeight="1">
      <c r="A20" s="261" t="s">
        <v>2261</v>
      </c>
      <c r="B20" s="216" t="s">
        <v>2262</v>
      </c>
      <c r="C20" s="238">
        <f ca="1">ROUND((C5+C19)*F20,0)</f>
        <v>95729</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470061</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232757</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232757</v>
      </c>
      <c r="D24" s="244"/>
      <c r="E24" s="244"/>
      <c r="F24" s="245"/>
      <c r="G24" s="246" t="s">
        <v>2273</v>
      </c>
    </row>
    <row r="25" spans="1:7" s="220" customFormat="1" ht="24">
      <c r="A25" s="888" t="s">
        <v>2163</v>
      </c>
      <c r="B25" s="221" t="s">
        <v>2274</v>
      </c>
      <c r="C25" s="1290">
        <f ca="1">ROUND(IF('数据-取费表'!B22&lt;=1,C20*F22*'数据-取费表'!B22/2,C20*(POWER((1+F22),'数据-取费表'!B22/2)-1)),0)</f>
        <v>4547</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781152</v>
      </c>
      <c r="D27" s="241">
        <f ca="1">C29</f>
        <v>3.2000000000000002E-3</v>
      </c>
      <c r="E27" s="242" t="s">
        <v>2201</v>
      </c>
      <c r="F27" s="252">
        <f ca="1">IF(B1="",'数据-取费表'!Q16,INDIRECT("'数据-取费表'!q"&amp;$G$1))</f>
        <v>0.16</v>
      </c>
      <c r="G27" s="253" t="s">
        <v>2202</v>
      </c>
    </row>
    <row r="28" spans="1:7" s="220" customFormat="1" ht="13.5" customHeight="1">
      <c r="A28" s="888" t="s">
        <v>791</v>
      </c>
      <c r="B28" s="254" t="s">
        <v>2203</v>
      </c>
      <c r="C28" s="255">
        <f ca="1">ROUND((C5+C19+C20)*F27,0)</f>
        <v>781152</v>
      </c>
      <c r="D28" s="241"/>
      <c r="E28" s="242"/>
      <c r="F28" s="252"/>
      <c r="G28" s="253"/>
    </row>
    <row r="29" spans="1:7" s="220" customFormat="1" ht="13.5" customHeight="1">
      <c r="A29" s="888" t="s">
        <v>792</v>
      </c>
      <c r="B29" s="254" t="s">
        <v>2204</v>
      </c>
      <c r="C29" s="244">
        <f ca="1">ROUND(C21*F27,4)</f>
        <v>3.2000000000000002E-3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6648683</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40642904</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36602555</v>
      </c>
      <c r="D34" s="223"/>
      <c r="E34" s="226"/>
      <c r="F34" s="263"/>
      <c r="G34" s="225"/>
    </row>
    <row r="35" spans="1:7" ht="13.5" customHeight="1">
      <c r="A35" s="888" t="s">
        <v>796</v>
      </c>
      <c r="B35" s="221" t="s">
        <v>2214</v>
      </c>
      <c r="C35" s="226">
        <f ca="1">ROUND(C34*F35,0)</f>
        <v>1098077</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2393234</v>
      </c>
      <c r="D37" s="223">
        <f ca="1">D19</f>
        <v>11966.17</v>
      </c>
      <c r="E37" s="255">
        <f>'数据-取费表'!B35</f>
        <v>200</v>
      </c>
      <c r="F37" s="265"/>
      <c r="G37" s="267"/>
    </row>
    <row r="38" spans="1:7" ht="13.5" customHeight="1">
      <c r="A38" s="888" t="s">
        <v>799</v>
      </c>
      <c r="B38" s="221" t="s">
        <v>2220</v>
      </c>
      <c r="C38" s="226">
        <f ca="1">ROUND(C34*F38,0)</f>
        <v>549038</v>
      </c>
      <c r="D38" s="226"/>
      <c r="E38" s="226"/>
      <c r="F38" s="265">
        <f>'数据-取费表'!B36</f>
        <v>1.4999999999999999E-2</v>
      </c>
      <c r="G38" s="225" t="s">
        <v>2215</v>
      </c>
    </row>
    <row r="39" spans="1:7" s="220" customFormat="1" ht="13.5" customHeight="1">
      <c r="A39" s="261" t="s">
        <v>2221</v>
      </c>
      <c r="B39" s="216" t="s">
        <v>2222</v>
      </c>
      <c r="C39" s="238">
        <f ca="1">ROUND(C33*F20,0)</f>
        <v>812858</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1969149</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1930538</v>
      </c>
      <c r="D42" s="244"/>
      <c r="E42" s="244"/>
      <c r="F42" s="245"/>
      <c r="G42" s="3297" t="s">
        <v>2278</v>
      </c>
    </row>
    <row r="43" spans="1:7" ht="13.5" customHeight="1">
      <c r="A43" s="888" t="s">
        <v>792</v>
      </c>
      <c r="B43" s="221" t="s">
        <v>2232</v>
      </c>
      <c r="C43" s="244">
        <f ca="1">ROUND(IF('数据-取费表'!B22&lt;=1,C39*F22*'数据-取费表'!B20/2,C39*(POWER((1+F22),'数据-取费表'!B20/2)-1)),0)</f>
        <v>38611</v>
      </c>
      <c r="D43" s="244"/>
      <c r="E43" s="244"/>
      <c r="F43" s="245"/>
      <c r="G43" s="3298"/>
    </row>
    <row r="44" spans="1:7" ht="13.5" customHeight="1">
      <c r="A44" s="888" t="s">
        <v>793</v>
      </c>
      <c r="B44" s="221" t="s">
        <v>2233</v>
      </c>
      <c r="C44" s="244">
        <f ca="1">ROUND(IF('数据-取费表'!B22&lt;=1,C40*F22*'数据-取费表'!B20/2,C40*(POWER((1+F22),'数据-取费表'!B20/2)-1)),4)</f>
        <v>1E-3</v>
      </c>
      <c r="D44" s="244"/>
      <c r="E44" s="244"/>
      <c r="F44" s="245"/>
      <c r="G44" s="3299"/>
    </row>
    <row r="45" spans="1:7" s="220" customFormat="1" ht="13.5" customHeight="1">
      <c r="A45" s="261" t="s">
        <v>2234</v>
      </c>
      <c r="B45" s="250" t="s">
        <v>2200</v>
      </c>
      <c r="C45" s="251">
        <f ca="1">C46</f>
        <v>6632922</v>
      </c>
      <c r="D45" s="241">
        <f ca="1">C47</f>
        <v>3.2000000000000002E-3</v>
      </c>
      <c r="E45" s="242" t="s">
        <v>2226</v>
      </c>
      <c r="F45" s="2539">
        <f ca="1">F27</f>
        <v>0.16</v>
      </c>
      <c r="G45" s="253" t="s">
        <v>2235</v>
      </c>
    </row>
    <row r="46" spans="1:7" s="220" customFormat="1" ht="13.5" customHeight="1">
      <c r="A46" s="888" t="s">
        <v>791</v>
      </c>
      <c r="B46" s="254" t="s">
        <v>2236</v>
      </c>
      <c r="C46" s="255">
        <f ca="1">ROUND((C33+C39)*F27,0)</f>
        <v>6632922</v>
      </c>
      <c r="D46" s="269"/>
      <c r="E46" s="242"/>
      <c r="F46" s="252"/>
      <c r="G46" s="253"/>
    </row>
    <row r="47" spans="1:7" s="220" customFormat="1" ht="13.5" customHeight="1">
      <c r="A47" s="888" t="s">
        <v>792</v>
      </c>
      <c r="B47" s="254" t="s">
        <v>2237</v>
      </c>
      <c r="C47" s="244">
        <f ca="1">ROUND(C40*F27,4)</f>
        <v>3.2000000000000002E-3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54263234</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54263234</v>
      </c>
      <c r="D51" s="238"/>
      <c r="E51" s="238"/>
      <c r="F51" s="270"/>
      <c r="G51" s="240" t="s">
        <v>2247</v>
      </c>
    </row>
    <row r="52" spans="1:7" s="214" customFormat="1" ht="16.5" thickBot="1">
      <c r="A52" s="271" t="s">
        <v>2248</v>
      </c>
      <c r="B52" s="272"/>
      <c r="C52" s="273">
        <f ca="1">C31+C51</f>
        <v>60911917</v>
      </c>
      <c r="D52" s="272"/>
      <c r="E52" s="272"/>
      <c r="F52" s="272"/>
      <c r="G52" s="274"/>
    </row>
    <row r="55" spans="1:7" ht="15">
      <c r="B55" s="276" t="s">
        <v>2249</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7"/>
      <c r="F1" s="3037"/>
      <c r="G1" s="2900"/>
      <c r="H1" s="3037"/>
      <c r="I1" s="3037"/>
      <c r="J1" s="3037"/>
      <c r="K1" s="3038">
        <f>MATCH(C1,'数据-取费表'!A6:A16,0)+5</f>
        <v>8</v>
      </c>
    </row>
    <row r="2" spans="1:33" ht="18" customHeight="1">
      <c r="A2" s="207" t="s">
        <v>2149</v>
      </c>
      <c r="B2" s="210">
        <f ca="1">C32</f>
        <v>0</v>
      </c>
      <c r="C2" s="282" t="s">
        <v>2282</v>
      </c>
      <c r="D2" s="282"/>
      <c r="E2" s="3037"/>
      <c r="F2" s="3037"/>
      <c r="G2" s="3037"/>
      <c r="H2" s="3037"/>
      <c r="I2" s="3037"/>
      <c r="J2" s="3037"/>
      <c r="K2" s="3037"/>
    </row>
    <row r="3" spans="1:33" ht="18" customHeight="1" thickBot="1">
      <c r="A3" s="209" t="s">
        <v>2151</v>
      </c>
      <c r="B3" s="210">
        <f ca="1">ROUND(B2*10000/IF(C1="",'数据-汇总表'!E3,INDIRECT("'数据-取费表'!K"&amp;$K$1)),0)</f>
        <v>0</v>
      </c>
      <c r="C3" s="282" t="s">
        <v>2283</v>
      </c>
      <c r="D3" s="282"/>
      <c r="E3" s="3037"/>
      <c r="F3" s="3037"/>
      <c r="G3" s="3037"/>
      <c r="H3" s="3037"/>
      <c r="I3" s="3037"/>
      <c r="J3" s="3037"/>
      <c r="K3" s="3037"/>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11966.17</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11966.17</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239</v>
      </c>
      <c r="D20" s="955">
        <f ca="1">IF(C1="",'数据-汇总表'!E6,IF(INDIRECT("'数据-取费表'!c"&amp;$K$1)="住宅",INDIRECT("'数据-取费表'!s"&amp;$K$1),INDIRECT("'数据-取费表'!k"&amp;$K$1)+INDIRECT("'数据-取费表'!s"&amp;$K$1)))</f>
        <v>11966.17</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0.16</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c r="A3" s="1576" t="s">
        <v>1558</v>
      </c>
      <c r="B3" s="1577">
        <f ca="1">IF(ISERROR(D2/F43),0,ROUND(D2/F43,0))</f>
        <v>0</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300" t="s">
        <v>1368</v>
      </c>
      <c r="C6" s="1206">
        <f ca="1">ROUND(F6*F8*F7*(1-F9),0)</f>
        <v>0</v>
      </c>
      <c r="D6" s="160" t="s">
        <v>2847</v>
      </c>
      <c r="E6" s="308" t="s">
        <v>1370</v>
      </c>
      <c r="F6" s="309">
        <f ca="1">INDIRECT("'数据-取费表'!u"&amp;$G$1)</f>
        <v>0</v>
      </c>
      <c r="G6" s="1570"/>
      <c r="H6" s="1201" t="s">
        <v>1003</v>
      </c>
      <c r="I6" s="3300" t="s">
        <v>1368</v>
      </c>
      <c r="J6" s="307">
        <f ca="1">ROUND(M6*M8*M7*(1-M9),0)</f>
        <v>0</v>
      </c>
      <c r="K6" s="1562" t="s">
        <v>2848</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0</v>
      </c>
      <c r="G7" s="1570"/>
      <c r="H7" s="310"/>
      <c r="I7" s="3301"/>
      <c r="J7" s="312"/>
      <c r="K7" s="313"/>
      <c r="L7" s="308" t="s">
        <v>1371</v>
      </c>
      <c r="M7" s="309">
        <f ca="1">F7</f>
        <v>0</v>
      </c>
    </row>
    <row r="8" spans="1:37" ht="18" customHeight="1">
      <c r="A8" s="310"/>
      <c r="B8" s="3301"/>
      <c r="C8" s="312"/>
      <c r="D8" s="313"/>
      <c r="E8" s="308" t="s">
        <v>1372</v>
      </c>
      <c r="F8" s="309">
        <f ca="1">INDIRECT("'数据-取费表'!ai"&amp;$G$1)</f>
        <v>0</v>
      </c>
      <c r="G8" s="1570"/>
      <c r="H8" s="310"/>
      <c r="I8" s="3301"/>
      <c r="J8" s="312"/>
      <c r="K8" s="313"/>
      <c r="L8" s="308" t="s">
        <v>1372</v>
      </c>
      <c r="M8" s="309">
        <f ca="1">INDIRECT("'数据-取费表'!ai"&amp;$G$1)</f>
        <v>0</v>
      </c>
    </row>
    <row r="9" spans="1:37" ht="18" customHeight="1">
      <c r="A9" s="310"/>
      <c r="B9" s="3302"/>
      <c r="C9" s="312"/>
      <c r="D9" s="313"/>
      <c r="E9" s="308" t="s">
        <v>1373</v>
      </c>
      <c r="F9" s="318">
        <f ca="1">INDIRECT("'数据-取费表'!w"&amp;$G$1)</f>
        <v>0</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2"/>
      <c r="L30" s="2927"/>
      <c r="M30" s="2928"/>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9" t="s">
        <v>3052</v>
      </c>
      <c r="I31" s="1584"/>
      <c r="J31" s="1585"/>
      <c r="K31" s="2702"/>
      <c r="L31" s="2927"/>
      <c r="M31" s="2928"/>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2"/>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303" t="s">
        <v>1513</v>
      </c>
      <c r="L53" s="3304"/>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21" t="s">
        <v>1044</v>
      </c>
      <c r="B1" s="3322"/>
      <c r="C1" s="3323"/>
      <c r="D1" s="3324">
        <f>SUM(I10,I15,I20,I21,I23)</f>
        <v>0</v>
      </c>
      <c r="E1" s="3324"/>
      <c r="F1" s="3324"/>
      <c r="G1" s="3324"/>
      <c r="H1" s="3324"/>
      <c r="I1" s="3325"/>
    </row>
    <row r="2" spans="1:9">
      <c r="A2" s="3311" t="s">
        <v>1045</v>
      </c>
      <c r="B2" s="3312" t="s">
        <v>1046</v>
      </c>
      <c r="C2" s="3312"/>
      <c r="D2" s="1211" t="s">
        <v>1047</v>
      </c>
      <c r="E2" s="1211" t="s">
        <v>1048</v>
      </c>
      <c r="F2" s="1211" t="s">
        <v>1049</v>
      </c>
      <c r="G2" s="1211" t="s">
        <v>1050</v>
      </c>
      <c r="H2" s="1211" t="s">
        <v>1051</v>
      </c>
      <c r="I2" s="1212" t="s">
        <v>1052</v>
      </c>
    </row>
    <row r="3" spans="1:9">
      <c r="A3" s="3311"/>
      <c r="B3" s="3312" t="s">
        <v>1053</v>
      </c>
      <c r="C3" s="3312"/>
      <c r="D3" s="1213"/>
      <c r="E3" s="1211"/>
      <c r="F3" s="1214"/>
      <c r="G3" s="1214"/>
      <c r="H3" s="1215"/>
      <c r="I3" s="1216">
        <f>ROUND(D3*E3*F3*G3*H3/10000,0)</f>
        <v>0</v>
      </c>
    </row>
    <row r="4" spans="1:9">
      <c r="A4" s="3311"/>
      <c r="B4" s="3312" t="s">
        <v>1054</v>
      </c>
      <c r="C4" s="3312"/>
      <c r="D4" s="1213"/>
      <c r="E4" s="1211"/>
      <c r="F4" s="1214"/>
      <c r="G4" s="1214"/>
      <c r="H4" s="1215"/>
      <c r="I4" s="1216">
        <f t="shared" ref="I4:I9" si="0">ROUND(D4*E4*F4*G4*H4/10000,0)</f>
        <v>0</v>
      </c>
    </row>
    <row r="5" spans="1:9">
      <c r="A5" s="3311"/>
      <c r="B5" s="3312" t="s">
        <v>1055</v>
      </c>
      <c r="C5" s="3312"/>
      <c r="D5" s="1213"/>
      <c r="E5" s="1211"/>
      <c r="F5" s="1214"/>
      <c r="G5" s="1214"/>
      <c r="H5" s="1215"/>
      <c r="I5" s="1216">
        <f t="shared" si="0"/>
        <v>0</v>
      </c>
    </row>
    <row r="6" spans="1:9">
      <c r="A6" s="3311"/>
      <c r="B6" s="3312" t="s">
        <v>1056</v>
      </c>
      <c r="C6" s="3312"/>
      <c r="D6" s="1213"/>
      <c r="E6" s="1211"/>
      <c r="F6" s="1214"/>
      <c r="G6" s="1214"/>
      <c r="H6" s="1215"/>
      <c r="I6" s="1216">
        <f t="shared" si="0"/>
        <v>0</v>
      </c>
    </row>
    <row r="7" spans="1:9">
      <c r="A7" s="3311"/>
      <c r="B7" s="3312" t="s">
        <v>1057</v>
      </c>
      <c r="C7" s="3312"/>
      <c r="D7" s="1213"/>
      <c r="E7" s="1211"/>
      <c r="F7" s="1214"/>
      <c r="G7" s="1214"/>
      <c r="H7" s="1215"/>
      <c r="I7" s="1216">
        <f t="shared" si="0"/>
        <v>0</v>
      </c>
    </row>
    <row r="8" spans="1:9">
      <c r="A8" s="3311"/>
      <c r="B8" s="3312" t="s">
        <v>1058</v>
      </c>
      <c r="C8" s="3312"/>
      <c r="D8" s="1213"/>
      <c r="E8" s="1211"/>
      <c r="F8" s="1214"/>
      <c r="G8" s="1214"/>
      <c r="H8" s="1215"/>
      <c r="I8" s="1216">
        <f t="shared" si="0"/>
        <v>0</v>
      </c>
    </row>
    <row r="9" spans="1:9">
      <c r="A9" s="3311"/>
      <c r="B9" s="3312" t="s">
        <v>1059</v>
      </c>
      <c r="C9" s="3312"/>
      <c r="D9" s="1213"/>
      <c r="E9" s="1211"/>
      <c r="F9" s="1214"/>
      <c r="G9" s="1214"/>
      <c r="H9" s="1215"/>
      <c r="I9" s="1216">
        <f t="shared" si="0"/>
        <v>0</v>
      </c>
    </row>
    <row r="10" spans="1:9">
      <c r="A10" s="3311"/>
      <c r="B10" s="3313" t="s">
        <v>1060</v>
      </c>
      <c r="C10" s="3313"/>
      <c r="D10" s="1217"/>
      <c r="E10" s="1217" t="e">
        <f>ROUND(D1*10000/D10/H9,0)</f>
        <v>#DIV/0!</v>
      </c>
      <c r="F10" s="1218"/>
      <c r="G10" s="1218"/>
      <c r="H10" s="1219"/>
      <c r="I10" s="1220">
        <f>SUM(I3:I9)</f>
        <v>0</v>
      </c>
    </row>
    <row r="11" spans="1:9" ht="14.25">
      <c r="A11" s="3311" t="s">
        <v>1061</v>
      </c>
      <c r="B11" s="3312" t="s">
        <v>1062</v>
      </c>
      <c r="C11" s="3312"/>
      <c r="D11" s="1213" t="s">
        <v>1063</v>
      </c>
      <c r="E11" s="1213" t="s">
        <v>1064</v>
      </c>
      <c r="F11" s="1214" t="s">
        <v>1065</v>
      </c>
      <c r="G11" s="1214" t="s">
        <v>1051</v>
      </c>
      <c r="H11" s="1221" t="s">
        <v>1066</v>
      </c>
      <c r="I11" s="1212" t="s">
        <v>1052</v>
      </c>
    </row>
    <row r="12" spans="1:9">
      <c r="A12" s="3311"/>
      <c r="B12" s="3312" t="s">
        <v>1067</v>
      </c>
      <c r="C12" s="3312"/>
      <c r="D12" s="1213"/>
      <c r="E12" s="1213"/>
      <c r="F12" s="1214"/>
      <c r="G12" s="1215"/>
      <c r="H12" s="1222"/>
      <c r="I12" s="1212">
        <f>ROUND(D12*E12*F12*G12/10000,0)</f>
        <v>0</v>
      </c>
    </row>
    <row r="13" spans="1:9">
      <c r="A13" s="3311"/>
      <c r="B13" s="3312" t="s">
        <v>1068</v>
      </c>
      <c r="C13" s="3312"/>
      <c r="D13" s="1213"/>
      <c r="E13" s="1213"/>
      <c r="F13" s="1214"/>
      <c r="G13" s="1215"/>
      <c r="H13" s="1222"/>
      <c r="I13" s="1212">
        <f>ROUND(D13*E13*F13*G13/10000,0)</f>
        <v>0</v>
      </c>
    </row>
    <row r="14" spans="1:9">
      <c r="A14" s="3311"/>
      <c r="B14" s="3312" t="s">
        <v>1069</v>
      </c>
      <c r="C14" s="3312"/>
      <c r="D14" s="1213"/>
      <c r="E14" s="1213"/>
      <c r="F14" s="1214"/>
      <c r="G14" s="1215"/>
      <c r="H14" s="1222"/>
      <c r="I14" s="1212">
        <f>ROUND(D14*E14*F14*G14/10000,0)</f>
        <v>0</v>
      </c>
    </row>
    <row r="15" spans="1:9">
      <c r="A15" s="3311"/>
      <c r="B15" s="3313" t="s">
        <v>1060</v>
      </c>
      <c r="C15" s="3313"/>
      <c r="D15" s="1217"/>
      <c r="E15" s="1217">
        <f>SUM(E12:E14)</f>
        <v>0</v>
      </c>
      <c r="F15" s="1218"/>
      <c r="G15" s="1215"/>
      <c r="H15" s="1222"/>
      <c r="I15" s="1223">
        <f>SUM(I12:I14)</f>
        <v>0</v>
      </c>
    </row>
    <row r="16" spans="1:9" ht="24">
      <c r="A16" s="3311" t="s">
        <v>1070</v>
      </c>
      <c r="B16" s="3312" t="s">
        <v>1071</v>
      </c>
      <c r="C16" s="3312"/>
      <c r="D16" s="1213" t="s">
        <v>1047</v>
      </c>
      <c r="E16" s="1224" t="s">
        <v>1072</v>
      </c>
      <c r="F16" s="1214" t="s">
        <v>1073</v>
      </c>
      <c r="G16" s="1215" t="s">
        <v>1051</v>
      </c>
      <c r="H16" s="1221" t="s">
        <v>1066</v>
      </c>
      <c r="I16" s="1212" t="s">
        <v>1052</v>
      </c>
    </row>
    <row r="17" spans="1:9" ht="14.25">
      <c r="A17" s="3311"/>
      <c r="B17" s="3312" t="s">
        <v>1074</v>
      </c>
      <c r="C17" s="3312"/>
      <c r="D17" s="1213"/>
      <c r="E17" s="1213"/>
      <c r="F17" s="1214"/>
      <c r="G17" s="1215"/>
      <c r="H17" s="1225"/>
      <c r="I17" s="1226">
        <f>ROUND(D17*E17*F17*G17/10000,0)</f>
        <v>0</v>
      </c>
    </row>
    <row r="18" spans="1:9" ht="14.25">
      <c r="A18" s="3311"/>
      <c r="B18" s="3312" t="s">
        <v>1075</v>
      </c>
      <c r="C18" s="3312"/>
      <c r="D18" s="1213"/>
      <c r="E18" s="1213"/>
      <c r="F18" s="1214"/>
      <c r="G18" s="1215"/>
      <c r="H18" s="1225"/>
      <c r="I18" s="1226">
        <f>ROUND(D18*E18*F18*G18/10000,0)</f>
        <v>0</v>
      </c>
    </row>
    <row r="19" spans="1:9" ht="14.25">
      <c r="A19" s="3311"/>
      <c r="B19" s="3312" t="s">
        <v>1076</v>
      </c>
      <c r="C19" s="3312"/>
      <c r="D19" s="1213"/>
      <c r="E19" s="1213"/>
      <c r="F19" s="1214"/>
      <c r="G19" s="1215"/>
      <c r="H19" s="1225"/>
      <c r="I19" s="1226">
        <f>ROUND(D19*E19*F19*G19/10000,0)</f>
        <v>0</v>
      </c>
    </row>
    <row r="20" spans="1:9">
      <c r="A20" s="3311"/>
      <c r="B20" s="3313" t="s">
        <v>1060</v>
      </c>
      <c r="C20" s="3313"/>
      <c r="D20" s="1217">
        <f>SUM(D17:D19)</f>
        <v>0</v>
      </c>
      <c r="E20" s="1217"/>
      <c r="F20" s="1218"/>
      <c r="G20" s="1215"/>
      <c r="H20" s="1222"/>
      <c r="I20" s="1223">
        <f>SUM(I17:I19)</f>
        <v>0</v>
      </c>
    </row>
    <row r="21" spans="1:9">
      <c r="A21" s="3311" t="s">
        <v>1077</v>
      </c>
      <c r="B21" s="3314"/>
      <c r="C21" s="3314"/>
      <c r="D21" s="3314"/>
      <c r="E21" s="3314"/>
      <c r="F21" s="3314"/>
      <c r="G21" s="3314"/>
      <c r="H21" s="1504">
        <v>0.1</v>
      </c>
      <c r="I21" s="1220">
        <f>ROUND(I10*H21,0)</f>
        <v>0</v>
      </c>
    </row>
    <row r="22" spans="1:9" ht="14.25">
      <c r="A22" s="3315" t="s">
        <v>1078</v>
      </c>
      <c r="B22" s="3316"/>
      <c r="C22" s="3317"/>
      <c r="D22" s="1227" t="s">
        <v>1079</v>
      </c>
      <c r="E22" s="1227" t="s">
        <v>1080</v>
      </c>
      <c r="F22" s="1228" t="s">
        <v>1081</v>
      </c>
      <c r="G22" s="1228" t="s">
        <v>1082</v>
      </c>
      <c r="H22" s="1221" t="s">
        <v>1083</v>
      </c>
      <c r="I22" s="1212" t="s">
        <v>1084</v>
      </c>
    </row>
    <row r="23" spans="1:9" ht="14.25" thickBot="1">
      <c r="A23" s="3318"/>
      <c r="B23" s="3319"/>
      <c r="C23" s="3320"/>
      <c r="D23" s="1229"/>
      <c r="E23" s="1229"/>
      <c r="F23" s="1229"/>
      <c r="G23" s="1230"/>
      <c r="H23" s="1231"/>
      <c r="I23" s="1232">
        <f>ROUND(E23*D23*F23*(1-G23)/10000,0)</f>
        <v>0</v>
      </c>
    </row>
    <row r="26" spans="1:9">
      <c r="A26" s="1233" t="s">
        <v>1085</v>
      </c>
      <c r="B26" s="1233"/>
      <c r="C26" s="1233"/>
      <c r="D26" s="1233"/>
      <c r="E26" s="3308">
        <f>C27-C30-C31-C32</f>
        <v>0</v>
      </c>
      <c r="F26" s="3308"/>
      <c r="G26" s="3308"/>
      <c r="H26" s="1501" t="s">
        <v>1306</v>
      </c>
    </row>
    <row r="27" spans="1:9">
      <c r="A27" s="1234">
        <v>1</v>
      </c>
      <c r="B27" s="1235" t="s">
        <v>1086</v>
      </c>
      <c r="C27" s="1235">
        <f>C28+C29</f>
        <v>0</v>
      </c>
      <c r="D27" s="1235"/>
      <c r="E27" s="3309"/>
      <c r="F27" s="3309"/>
      <c r="G27" s="3309"/>
    </row>
    <row r="28" spans="1:9">
      <c r="A28" s="1236" t="s">
        <v>1087</v>
      </c>
      <c r="B28" s="1235" t="s">
        <v>1088</v>
      </c>
      <c r="C28" s="1235"/>
      <c r="D28" s="1235"/>
      <c r="E28" s="3309"/>
      <c r="F28" s="3309"/>
      <c r="G28" s="330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0"/>
      <c r="F32" s="3310"/>
      <c r="G32" s="3310"/>
    </row>
    <row r="33" spans="1:7" hidden="1">
      <c r="A33" s="3305" t="s">
        <v>1097</v>
      </c>
      <c r="B33" s="3306"/>
      <c r="C33" s="3306"/>
      <c r="D33" s="3307"/>
      <c r="E33" s="3308"/>
      <c r="F33" s="3308"/>
      <c r="G33" s="3308"/>
    </row>
    <row r="34" spans="1:7" hidden="1">
      <c r="A34" s="1238">
        <v>1</v>
      </c>
      <c r="B34" s="1235" t="s">
        <v>1098</v>
      </c>
      <c r="C34" s="1235"/>
      <c r="D34" s="1235"/>
      <c r="E34" s="3309"/>
      <c r="F34" s="3309"/>
      <c r="G34" s="3309"/>
    </row>
    <row r="35" spans="1:7" hidden="1">
      <c r="A35" s="1238">
        <v>2</v>
      </c>
      <c r="B35" s="1235" t="s">
        <v>1099</v>
      </c>
      <c r="C35" s="1235"/>
      <c r="D35" s="1235"/>
      <c r="E35" s="3309"/>
      <c r="F35" s="3309"/>
      <c r="G35" s="3309"/>
    </row>
    <row r="36" spans="1:7" hidden="1">
      <c r="A36" s="1238">
        <v>3</v>
      </c>
      <c r="B36" s="1235" t="s">
        <v>1100</v>
      </c>
      <c r="C36" s="1235"/>
      <c r="D36" s="1235"/>
      <c r="E36" s="3309"/>
      <c r="F36" s="3309"/>
      <c r="G36" s="3309"/>
    </row>
    <row r="37" spans="1:7" hidden="1">
      <c r="A37" s="1238">
        <v>4</v>
      </c>
      <c r="B37" s="1235" t="s">
        <v>1101</v>
      </c>
      <c r="C37" s="1235"/>
      <c r="D37" s="1235"/>
      <c r="E37" s="3309"/>
      <c r="F37" s="3309"/>
      <c r="G37" s="3309"/>
    </row>
    <row r="38" spans="1:7" hidden="1">
      <c r="A38" s="3305" t="s">
        <v>1102</v>
      </c>
      <c r="B38" s="3306"/>
      <c r="C38" s="3306"/>
      <c r="D38" s="3307"/>
      <c r="E38" s="3308"/>
      <c r="F38" s="3308"/>
      <c r="G38" s="33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11966.17</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5">
      <c r="A4" s="361" t="s">
        <v>2357</v>
      </c>
      <c r="B4" s="362"/>
      <c r="C4" s="3344" t="s">
        <v>2358</v>
      </c>
      <c r="D4" s="3345"/>
      <c r="E4" s="3346" t="s">
        <v>2359</v>
      </c>
      <c r="F4" s="3347"/>
      <c r="G4" s="3344" t="s">
        <v>2360</v>
      </c>
      <c r="H4" s="3345"/>
      <c r="I4" s="3344" t="s">
        <v>2361</v>
      </c>
      <c r="J4" s="3345"/>
      <c r="K4" s="2077" t="s">
        <v>2362</v>
      </c>
      <c r="L4" s="2944"/>
      <c r="M4" s="2945"/>
      <c r="N4" s="2945"/>
      <c r="O4" s="2945"/>
      <c r="P4" s="3348" t="s">
        <v>2363</v>
      </c>
      <c r="Q4" s="3349"/>
      <c r="R4" s="3354" t="s">
        <v>2359</v>
      </c>
      <c r="S4" s="3355"/>
      <c r="T4" s="3354" t="s">
        <v>2360</v>
      </c>
      <c r="U4" s="3355"/>
      <c r="V4" s="3360" t="s">
        <v>2361</v>
      </c>
      <c r="W4" s="3360"/>
      <c r="X4" s="1541"/>
      <c r="Y4" s="3354" t="s">
        <v>2363</v>
      </c>
      <c r="Z4" s="3355"/>
      <c r="AA4" s="3341" t="s">
        <v>2359</v>
      </c>
      <c r="AB4" s="3341" t="s">
        <v>2360</v>
      </c>
      <c r="AC4" s="3341" t="s">
        <v>2361</v>
      </c>
    </row>
    <row r="5" spans="1:29" ht="15">
      <c r="A5" s="364"/>
      <c r="B5" s="365"/>
      <c r="C5" s="3363" t="s">
        <v>2364</v>
      </c>
      <c r="D5" s="3364"/>
      <c r="E5" s="3370" t="s">
        <v>2365</v>
      </c>
      <c r="F5" s="3371"/>
      <c r="G5" s="3363" t="s">
        <v>2366</v>
      </c>
      <c r="H5" s="3364"/>
      <c r="I5" s="3363" t="s">
        <v>2367</v>
      </c>
      <c r="J5" s="3364"/>
      <c r="K5" s="2078"/>
      <c r="L5" s="2944"/>
      <c r="M5" s="2945"/>
      <c r="N5" s="2945"/>
      <c r="O5" s="2945"/>
      <c r="P5" s="3350"/>
      <c r="Q5" s="3351"/>
      <c r="R5" s="3356"/>
      <c r="S5" s="3357"/>
      <c r="T5" s="3356"/>
      <c r="U5" s="3357"/>
      <c r="V5" s="3360"/>
      <c r="W5" s="3360"/>
      <c r="X5" s="1541"/>
      <c r="Y5" s="3356"/>
      <c r="Z5" s="3357"/>
      <c r="AA5" s="3342"/>
      <c r="AB5" s="3342"/>
      <c r="AC5" s="3342"/>
    </row>
    <row r="6" spans="1:29" ht="15.75" thickBot="1">
      <c r="A6" s="366"/>
      <c r="B6" s="367"/>
      <c r="C6" s="3361" t="s">
        <v>2368</v>
      </c>
      <c r="D6" s="3362"/>
      <c r="E6" s="3368" t="s">
        <v>2368</v>
      </c>
      <c r="F6" s="3369"/>
      <c r="G6" s="3361" t="s">
        <v>2368</v>
      </c>
      <c r="H6" s="3362"/>
      <c r="I6" s="3361" t="s">
        <v>2368</v>
      </c>
      <c r="J6" s="3362"/>
      <c r="K6" s="2078" t="s">
        <v>2369</v>
      </c>
      <c r="L6" s="2944"/>
      <c r="M6" s="2945"/>
      <c r="N6" s="2945"/>
      <c r="O6" s="2945"/>
      <c r="P6" s="3352"/>
      <c r="Q6" s="3353"/>
      <c r="R6" s="3356"/>
      <c r="S6" s="3357"/>
      <c r="T6" s="3358"/>
      <c r="U6" s="3359"/>
      <c r="V6" s="3360"/>
      <c r="W6" s="3360"/>
      <c r="X6" s="1541"/>
      <c r="Y6" s="3358"/>
      <c r="Z6" s="3359"/>
      <c r="AA6" s="3343"/>
      <c r="AB6" s="3343"/>
      <c r="AC6" s="3343"/>
    </row>
    <row r="7" spans="1:29" s="113" customFormat="1" ht="15.75" thickBot="1">
      <c r="A7" s="368" t="s">
        <v>2370</v>
      </c>
      <c r="B7" s="369"/>
      <c r="C7" s="370">
        <f>'数据-取费表'!B2</f>
        <v>44218</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365" t="s">
        <v>2371</v>
      </c>
      <c r="Q7" s="3367"/>
      <c r="R7" s="710" t="s">
        <v>23</v>
      </c>
      <c r="S7" s="711">
        <f t="shared" ref="S7:S15" si="0">F7</f>
        <v>0</v>
      </c>
      <c r="T7" s="710" t="s">
        <v>23</v>
      </c>
      <c r="U7" s="711">
        <f t="shared" ref="U7:U15" si="1">H7</f>
        <v>0</v>
      </c>
      <c r="V7" s="710" t="s">
        <v>23</v>
      </c>
      <c r="W7" s="711">
        <f t="shared" ref="W7:W15" si="2">J7</f>
        <v>0</v>
      </c>
      <c r="X7" s="712"/>
      <c r="Y7" s="3365" t="s">
        <v>2371</v>
      </c>
      <c r="Z7" s="3366"/>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365" t="s">
        <v>2374</v>
      </c>
      <c r="Q8" s="3366"/>
      <c r="R8" s="710" t="s">
        <v>23</v>
      </c>
      <c r="S8" s="711">
        <f t="shared" si="0"/>
        <v>0</v>
      </c>
      <c r="T8" s="710" t="s">
        <v>23</v>
      </c>
      <c r="U8" s="711">
        <f t="shared" si="1"/>
        <v>0</v>
      </c>
      <c r="V8" s="710" t="s">
        <v>23</v>
      </c>
      <c r="W8" s="711">
        <f t="shared" si="2"/>
        <v>0</v>
      </c>
      <c r="X8" s="712"/>
      <c r="Y8" s="3365" t="s">
        <v>2374</v>
      </c>
      <c r="Z8" s="3366"/>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340" t="s">
        <v>2377</v>
      </c>
      <c r="Q9" s="1529" t="str">
        <f t="shared" ref="Q9:Q15" si="6">B9</f>
        <v>用途</v>
      </c>
      <c r="R9" s="710" t="s">
        <v>17</v>
      </c>
      <c r="S9" s="711">
        <f t="shared" si="0"/>
        <v>100</v>
      </c>
      <c r="T9" s="710" t="s">
        <v>17</v>
      </c>
      <c r="U9" s="711">
        <f t="shared" si="1"/>
        <v>100</v>
      </c>
      <c r="V9" s="710" t="s">
        <v>17</v>
      </c>
      <c r="W9" s="711">
        <f t="shared" si="2"/>
        <v>100</v>
      </c>
      <c r="X9" s="712"/>
      <c r="Y9" s="320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40"/>
      <c r="Q10" s="1529" t="str">
        <f t="shared" si="6"/>
        <v>土地使用年限（年）</v>
      </c>
      <c r="R10" s="710" t="s">
        <v>17</v>
      </c>
      <c r="S10" s="711">
        <f t="shared" si="0"/>
        <v>100</v>
      </c>
      <c r="T10" s="710" t="s">
        <v>17</v>
      </c>
      <c r="U10" s="711">
        <f t="shared" si="1"/>
        <v>100</v>
      </c>
      <c r="V10" s="710" t="s">
        <v>17</v>
      </c>
      <c r="W10" s="711">
        <f t="shared" si="2"/>
        <v>100</v>
      </c>
      <c r="X10" s="712"/>
      <c r="Y10" s="320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40"/>
      <c r="Q11" s="1529" t="str">
        <f t="shared" si="6"/>
        <v>容积率</v>
      </c>
      <c r="R11" s="710" t="s">
        <v>21</v>
      </c>
      <c r="S11" s="711" t="e">
        <f t="shared" si="0"/>
        <v>#N/A</v>
      </c>
      <c r="T11" s="710" t="s">
        <v>21</v>
      </c>
      <c r="U11" s="711" t="e">
        <f t="shared" si="1"/>
        <v>#N/A</v>
      </c>
      <c r="V11" s="710" t="s">
        <v>21</v>
      </c>
      <c r="W11" s="711" t="e">
        <f t="shared" si="2"/>
        <v>#N/A</v>
      </c>
      <c r="X11" s="712"/>
      <c r="Y11" s="3201"/>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340"/>
      <c r="Q12" s="1529">
        <f t="shared" si="6"/>
        <v>111</v>
      </c>
      <c r="R12" s="710" t="s">
        <v>21</v>
      </c>
      <c r="S12" s="711">
        <f t="shared" si="0"/>
        <v>100</v>
      </c>
      <c r="T12" s="710" t="s">
        <v>21</v>
      </c>
      <c r="U12" s="711">
        <f t="shared" si="1"/>
        <v>100</v>
      </c>
      <c r="V12" s="710" t="s">
        <v>21</v>
      </c>
      <c r="W12" s="711">
        <f t="shared" si="2"/>
        <v>100</v>
      </c>
      <c r="X12" s="712"/>
      <c r="Y12" s="320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340"/>
      <c r="Q13" s="1529">
        <f t="shared" si="6"/>
        <v>111</v>
      </c>
      <c r="R13" s="710" t="s">
        <v>21</v>
      </c>
      <c r="S13" s="711">
        <f t="shared" si="0"/>
        <v>100</v>
      </c>
      <c r="T13" s="710" t="s">
        <v>21</v>
      </c>
      <c r="U13" s="711">
        <f t="shared" si="1"/>
        <v>100</v>
      </c>
      <c r="V13" s="710" t="s">
        <v>21</v>
      </c>
      <c r="W13" s="711">
        <f t="shared" si="2"/>
        <v>100</v>
      </c>
      <c r="X13" s="712"/>
      <c r="Y13" s="3201"/>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340"/>
      <c r="Q14" s="1529">
        <f t="shared" si="6"/>
        <v>111</v>
      </c>
      <c r="R14" s="710" t="s">
        <v>21</v>
      </c>
      <c r="S14" s="711">
        <f t="shared" si="0"/>
        <v>100</v>
      </c>
      <c r="T14" s="710" t="s">
        <v>21</v>
      </c>
      <c r="U14" s="711">
        <f t="shared" si="1"/>
        <v>100</v>
      </c>
      <c r="V14" s="710" t="s">
        <v>21</v>
      </c>
      <c r="W14" s="711">
        <f t="shared" si="2"/>
        <v>100</v>
      </c>
      <c r="X14" s="712"/>
      <c r="Y14" s="3201"/>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38" t="s">
        <v>2382</v>
      </c>
      <c r="Q15" s="1538" t="str">
        <f t="shared" si="6"/>
        <v>居住社区成熟度</v>
      </c>
      <c r="R15" s="714" t="s">
        <v>21</v>
      </c>
      <c r="S15" s="715">
        <f t="shared" si="0"/>
        <v>100</v>
      </c>
      <c r="T15" s="714" t="s">
        <v>21</v>
      </c>
      <c r="U15" s="715">
        <f t="shared" si="1"/>
        <v>100</v>
      </c>
      <c r="V15" s="714" t="s">
        <v>21</v>
      </c>
      <c r="W15" s="715">
        <f t="shared" si="2"/>
        <v>100</v>
      </c>
      <c r="X15" s="1541"/>
      <c r="Y15" s="3331"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339"/>
      <c r="Q16" s="1538"/>
      <c r="R16" s="714"/>
      <c r="S16" s="715"/>
      <c r="T16" s="714"/>
      <c r="U16" s="715"/>
      <c r="V16" s="714"/>
      <c r="W16" s="715"/>
      <c r="X16" s="1541"/>
      <c r="Y16" s="3332"/>
      <c r="Z16" s="1542"/>
      <c r="AA16" s="1539">
        <v>1</v>
      </c>
      <c r="AB16" s="1539">
        <v>1</v>
      </c>
      <c r="AC16" s="1539">
        <v>1</v>
      </c>
    </row>
    <row r="17" spans="1:29" ht="15">
      <c r="A17" s="387"/>
      <c r="B17" s="410" t="s">
        <v>1946</v>
      </c>
      <c r="C17" s="2088"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39"/>
      <c r="Q17" s="1538" t="str">
        <f>B17</f>
        <v>交通便捷度</v>
      </c>
      <c r="R17" s="714" t="s">
        <v>21</v>
      </c>
      <c r="S17" s="715">
        <f>F17</f>
        <v>100</v>
      </c>
      <c r="T17" s="714" t="s">
        <v>21</v>
      </c>
      <c r="U17" s="715">
        <f>H17</f>
        <v>100</v>
      </c>
      <c r="V17" s="714" t="s">
        <v>21</v>
      </c>
      <c r="W17" s="715">
        <f>J17</f>
        <v>100</v>
      </c>
      <c r="X17" s="1541"/>
      <c r="Y17" s="3332"/>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339"/>
      <c r="Q18" s="1538"/>
      <c r="R18" s="714"/>
      <c r="S18" s="715"/>
      <c r="T18" s="714"/>
      <c r="U18" s="715"/>
      <c r="V18" s="714"/>
      <c r="W18" s="715"/>
      <c r="X18" s="1541"/>
      <c r="Y18" s="3332"/>
      <c r="Z18" s="1542"/>
      <c r="AA18" s="1539">
        <v>1</v>
      </c>
      <c r="AB18" s="1539">
        <v>1</v>
      </c>
      <c r="AC18" s="1539">
        <v>1</v>
      </c>
    </row>
    <row r="19" spans="1:29" ht="15">
      <c r="A19" s="387"/>
      <c r="B19" s="410" t="s">
        <v>1945</v>
      </c>
      <c r="C19" s="208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39"/>
      <c r="Q19" s="1538" t="str">
        <f>B19</f>
        <v>公共配套设施</v>
      </c>
      <c r="R19" s="714" t="s">
        <v>21</v>
      </c>
      <c r="S19" s="715">
        <f>F19</f>
        <v>100</v>
      </c>
      <c r="T19" s="714" t="s">
        <v>21</v>
      </c>
      <c r="U19" s="715">
        <f>H19</f>
        <v>100</v>
      </c>
      <c r="V19" s="714" t="s">
        <v>21</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339"/>
      <c r="Q20" s="1538"/>
      <c r="R20" s="714"/>
      <c r="S20" s="715"/>
      <c r="T20" s="714"/>
      <c r="U20" s="715"/>
      <c r="V20" s="714"/>
      <c r="W20" s="715"/>
      <c r="X20" s="1541"/>
      <c r="Y20" s="3332"/>
      <c r="Z20" s="1542"/>
      <c r="AA20" s="1539">
        <v>1</v>
      </c>
      <c r="AB20" s="1539">
        <v>1</v>
      </c>
      <c r="AC20" s="1539">
        <v>1</v>
      </c>
    </row>
    <row r="21" spans="1:29" ht="15">
      <c r="A21" s="387"/>
      <c r="B21" s="1293" t="s">
        <v>1947</v>
      </c>
      <c r="C21" s="208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339"/>
      <c r="Q22" s="1538"/>
      <c r="R22" s="714"/>
      <c r="S22" s="715"/>
      <c r="T22" s="714"/>
      <c r="U22" s="715"/>
      <c r="V22" s="714"/>
      <c r="W22" s="715"/>
      <c r="X22" s="1541"/>
      <c r="Y22" s="3332"/>
      <c r="Z22" s="1542"/>
      <c r="AA22" s="1539">
        <v>1</v>
      </c>
      <c r="AB22" s="1539">
        <v>1</v>
      </c>
      <c r="AC22" s="1539">
        <v>1</v>
      </c>
    </row>
    <row r="23" spans="1:29" ht="15">
      <c r="A23" s="387"/>
      <c r="B23" s="410" t="s">
        <v>1948</v>
      </c>
      <c r="C23" s="2088"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39"/>
      <c r="Q23" s="1538" t="str">
        <f>B23</f>
        <v>自然及人文环境</v>
      </c>
      <c r="R23" s="714" t="s">
        <v>21</v>
      </c>
      <c r="S23" s="715">
        <f>F23</f>
        <v>100</v>
      </c>
      <c r="T23" s="714" t="s">
        <v>21</v>
      </c>
      <c r="U23" s="715">
        <f>H23</f>
        <v>100</v>
      </c>
      <c r="V23" s="714" t="s">
        <v>21</v>
      </c>
      <c r="W23" s="715">
        <f>J23</f>
        <v>100</v>
      </c>
      <c r="X23" s="1541"/>
      <c r="Y23" s="3332"/>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339"/>
      <c r="Q24" s="1538"/>
      <c r="R24" s="714"/>
      <c r="S24" s="715"/>
      <c r="T24" s="714"/>
      <c r="U24" s="715"/>
      <c r="V24" s="714"/>
      <c r="W24" s="715"/>
      <c r="X24" s="1541"/>
      <c r="Y24" s="3332"/>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339"/>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2"/>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339"/>
      <c r="Q26" s="1538" t="str">
        <f t="shared" si="11"/>
        <v>朝向</v>
      </c>
      <c r="R26" s="714" t="s">
        <v>21</v>
      </c>
      <c r="S26" s="715">
        <f t="shared" si="12"/>
        <v>100</v>
      </c>
      <c r="T26" s="714" t="s">
        <v>21</v>
      </c>
      <c r="U26" s="715">
        <f t="shared" si="13"/>
        <v>100</v>
      </c>
      <c r="V26" s="714" t="s">
        <v>21</v>
      </c>
      <c r="W26" s="715">
        <f t="shared" si="14"/>
        <v>100</v>
      </c>
      <c r="X26" s="1541"/>
      <c r="Y26" s="3332"/>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339"/>
      <c r="Q27" s="1529">
        <f t="shared" si="11"/>
        <v>111</v>
      </c>
      <c r="R27" s="710" t="s">
        <v>21</v>
      </c>
      <c r="S27" s="711">
        <f t="shared" si="12"/>
        <v>100</v>
      </c>
      <c r="T27" s="710" t="s">
        <v>21</v>
      </c>
      <c r="U27" s="711">
        <f t="shared" si="13"/>
        <v>100</v>
      </c>
      <c r="V27" s="710" t="s">
        <v>21</v>
      </c>
      <c r="W27" s="711">
        <f t="shared" si="14"/>
        <v>100</v>
      </c>
      <c r="X27" s="712"/>
      <c r="Y27" s="3332"/>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339"/>
      <c r="Q28" s="1538">
        <f t="shared" si="11"/>
        <v>111</v>
      </c>
      <c r="R28" s="714" t="s">
        <v>21</v>
      </c>
      <c r="S28" s="715">
        <f t="shared" si="12"/>
        <v>100</v>
      </c>
      <c r="T28" s="714" t="s">
        <v>21</v>
      </c>
      <c r="U28" s="715">
        <f t="shared" si="13"/>
        <v>100</v>
      </c>
      <c r="V28" s="714" t="s">
        <v>21</v>
      </c>
      <c r="W28" s="715">
        <f t="shared" si="14"/>
        <v>100</v>
      </c>
      <c r="X28" s="1541"/>
      <c r="Y28" s="3332"/>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339"/>
      <c r="Q29" s="1538">
        <f t="shared" si="11"/>
        <v>111</v>
      </c>
      <c r="R29" s="714" t="s">
        <v>21</v>
      </c>
      <c r="S29" s="715">
        <f t="shared" si="12"/>
        <v>100</v>
      </c>
      <c r="T29" s="714" t="s">
        <v>21</v>
      </c>
      <c r="U29" s="715">
        <f t="shared" si="13"/>
        <v>100</v>
      </c>
      <c r="V29" s="714" t="s">
        <v>21</v>
      </c>
      <c r="W29" s="715">
        <f t="shared" si="14"/>
        <v>100</v>
      </c>
      <c r="X29" s="1541"/>
      <c r="Y29" s="3332"/>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339"/>
      <c r="Q30" s="1538">
        <f t="shared" si="11"/>
        <v>111</v>
      </c>
      <c r="R30" s="714" t="s">
        <v>21</v>
      </c>
      <c r="S30" s="715">
        <f t="shared" si="12"/>
        <v>100</v>
      </c>
      <c r="T30" s="714" t="s">
        <v>21</v>
      </c>
      <c r="U30" s="715">
        <f t="shared" si="13"/>
        <v>100</v>
      </c>
      <c r="V30" s="714" t="s">
        <v>21</v>
      </c>
      <c r="W30" s="715">
        <f t="shared" si="14"/>
        <v>100</v>
      </c>
      <c r="X30" s="1541"/>
      <c r="Y30" s="3332"/>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339"/>
      <c r="Q31" s="1538">
        <f t="shared" si="11"/>
        <v>111</v>
      </c>
      <c r="R31" s="714" t="s">
        <v>21</v>
      </c>
      <c r="S31" s="715">
        <f t="shared" si="12"/>
        <v>100</v>
      </c>
      <c r="T31" s="714" t="s">
        <v>21</v>
      </c>
      <c r="U31" s="715">
        <f t="shared" si="13"/>
        <v>100</v>
      </c>
      <c r="V31" s="714" t="s">
        <v>21</v>
      </c>
      <c r="W31" s="715">
        <f t="shared" si="14"/>
        <v>100</v>
      </c>
      <c r="X31" s="1541"/>
      <c r="Y31" s="3332"/>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333" t="s">
        <v>2387</v>
      </c>
      <c r="Q32" s="1538" t="str">
        <f t="shared" si="11"/>
        <v>建筑类型</v>
      </c>
      <c r="R32" s="714" t="s">
        <v>21</v>
      </c>
      <c r="S32" s="715">
        <f t="shared" si="12"/>
        <v>100</v>
      </c>
      <c r="T32" s="714" t="s">
        <v>21</v>
      </c>
      <c r="U32" s="715">
        <f t="shared" si="13"/>
        <v>100</v>
      </c>
      <c r="V32" s="714" t="s">
        <v>21</v>
      </c>
      <c r="W32" s="715">
        <f t="shared" si="14"/>
        <v>100</v>
      </c>
      <c r="X32" s="1541"/>
      <c r="Y32" s="3336"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334"/>
      <c r="Q33" s="716" t="str">
        <f t="shared" si="11"/>
        <v>项目建筑规模</v>
      </c>
      <c r="R33" s="717" t="s">
        <v>21</v>
      </c>
      <c r="S33" s="718" t="e">
        <f t="shared" si="12"/>
        <v>#N/A</v>
      </c>
      <c r="T33" s="717" t="s">
        <v>21</v>
      </c>
      <c r="U33" s="718" t="e">
        <f t="shared" si="13"/>
        <v>#N/A</v>
      </c>
      <c r="V33" s="717" t="s">
        <v>21</v>
      </c>
      <c r="W33" s="718" t="e">
        <f t="shared" si="14"/>
        <v>#N/A</v>
      </c>
      <c r="X33" s="719"/>
      <c r="Y33" s="3336"/>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334"/>
      <c r="Q34" s="1538" t="str">
        <f t="shared" si="11"/>
        <v>建筑结构</v>
      </c>
      <c r="R34" s="714" t="s">
        <v>21</v>
      </c>
      <c r="S34" s="715">
        <f t="shared" si="12"/>
        <v>100</v>
      </c>
      <c r="T34" s="714" t="s">
        <v>21</v>
      </c>
      <c r="U34" s="715">
        <f t="shared" si="13"/>
        <v>100</v>
      </c>
      <c r="V34" s="714" t="s">
        <v>21</v>
      </c>
      <c r="W34" s="715">
        <f t="shared" si="14"/>
        <v>100</v>
      </c>
      <c r="X34" s="1541"/>
      <c r="Y34" s="3336"/>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334"/>
      <c r="Q35" s="1538" t="str">
        <f t="shared" si="11"/>
        <v>建筑品质</v>
      </c>
      <c r="R35" s="714" t="s">
        <v>21</v>
      </c>
      <c r="S35" s="715">
        <f t="shared" si="12"/>
        <v>100</v>
      </c>
      <c r="T35" s="714" t="s">
        <v>21</v>
      </c>
      <c r="U35" s="715">
        <f t="shared" si="13"/>
        <v>100</v>
      </c>
      <c r="V35" s="714" t="s">
        <v>21</v>
      </c>
      <c r="W35" s="715">
        <f t="shared" si="14"/>
        <v>100</v>
      </c>
      <c r="X35" s="1541"/>
      <c r="Y35" s="3336"/>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334"/>
      <c r="Q36" s="1538" t="str">
        <f t="shared" si="11"/>
        <v>公共部分装修</v>
      </c>
      <c r="R36" s="714" t="s">
        <v>21</v>
      </c>
      <c r="S36" s="715">
        <f t="shared" si="12"/>
        <v>100</v>
      </c>
      <c r="T36" s="714" t="s">
        <v>21</v>
      </c>
      <c r="U36" s="715">
        <f t="shared" si="13"/>
        <v>100</v>
      </c>
      <c r="V36" s="714" t="s">
        <v>21</v>
      </c>
      <c r="W36" s="715">
        <f t="shared" si="14"/>
        <v>100</v>
      </c>
      <c r="X36" s="1541"/>
      <c r="Y36" s="3336"/>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4"/>
      <c r="Q37" s="1529" t="str">
        <f t="shared" si="11"/>
        <v>成新度</v>
      </c>
      <c r="R37" s="710" t="s">
        <v>21</v>
      </c>
      <c r="S37" s="711" t="e">
        <f t="shared" si="12"/>
        <v>#N/A</v>
      </c>
      <c r="T37" s="710" t="s">
        <v>21</v>
      </c>
      <c r="U37" s="711" t="e">
        <f t="shared" si="13"/>
        <v>#N/A</v>
      </c>
      <c r="V37" s="710" t="s">
        <v>21</v>
      </c>
      <c r="W37" s="711" t="e">
        <f t="shared" si="14"/>
        <v>#N/A</v>
      </c>
      <c r="X37" s="712"/>
      <c r="Y37" s="3336"/>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334" t="s">
        <v>2387</v>
      </c>
      <c r="Q38" s="1538" t="str">
        <f t="shared" si="11"/>
        <v>物业管理</v>
      </c>
      <c r="R38" s="714" t="s">
        <v>21</v>
      </c>
      <c r="S38" s="715">
        <f t="shared" si="12"/>
        <v>100</v>
      </c>
      <c r="T38" s="714" t="s">
        <v>21</v>
      </c>
      <c r="U38" s="715">
        <f t="shared" si="13"/>
        <v>100</v>
      </c>
      <c r="V38" s="714" t="s">
        <v>21</v>
      </c>
      <c r="W38" s="715">
        <f t="shared" si="14"/>
        <v>100</v>
      </c>
      <c r="X38" s="1541"/>
      <c r="Y38" s="3336"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334"/>
      <c r="Q39" s="1538" t="str">
        <f t="shared" si="11"/>
        <v>市政基础设施</v>
      </c>
      <c r="R39" s="714" t="s">
        <v>21</v>
      </c>
      <c r="S39" s="715">
        <f t="shared" si="12"/>
        <v>100</v>
      </c>
      <c r="T39" s="714" t="s">
        <v>21</v>
      </c>
      <c r="U39" s="715">
        <f t="shared" si="13"/>
        <v>100</v>
      </c>
      <c r="V39" s="714" t="s">
        <v>21</v>
      </c>
      <c r="W39" s="715">
        <f t="shared" si="14"/>
        <v>100</v>
      </c>
      <c r="X39" s="1541"/>
      <c r="Y39" s="3336"/>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334"/>
      <c r="Q40" s="1538" t="str">
        <f t="shared" si="11"/>
        <v>房型</v>
      </c>
      <c r="R40" s="714" t="s">
        <v>21</v>
      </c>
      <c r="S40" s="715">
        <f t="shared" si="12"/>
        <v>100</v>
      </c>
      <c r="T40" s="714" t="s">
        <v>21</v>
      </c>
      <c r="U40" s="715">
        <f t="shared" si="13"/>
        <v>100</v>
      </c>
      <c r="V40" s="714" t="s">
        <v>21</v>
      </c>
      <c r="W40" s="715">
        <f t="shared" si="14"/>
        <v>100</v>
      </c>
      <c r="X40" s="1541"/>
      <c r="Y40" s="3336"/>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334"/>
      <c r="Q41" s="716" t="str">
        <f t="shared" si="11"/>
        <v>单套/主力户型建筑面积</v>
      </c>
      <c r="R41" s="717" t="s">
        <v>21</v>
      </c>
      <c r="S41" s="718">
        <f t="shared" si="12"/>
        <v>100</v>
      </c>
      <c r="T41" s="717" t="s">
        <v>21</v>
      </c>
      <c r="U41" s="718">
        <f t="shared" si="13"/>
        <v>100</v>
      </c>
      <c r="V41" s="717" t="s">
        <v>21</v>
      </c>
      <c r="W41" s="718">
        <f t="shared" si="14"/>
        <v>100</v>
      </c>
      <c r="X41" s="719"/>
      <c r="Y41" s="3336"/>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334"/>
      <c r="Q42" s="1538" t="str">
        <f t="shared" si="11"/>
        <v>内部装修</v>
      </c>
      <c r="R42" s="714" t="s">
        <v>21</v>
      </c>
      <c r="S42" s="715">
        <f t="shared" si="12"/>
        <v>100</v>
      </c>
      <c r="T42" s="714" t="s">
        <v>21</v>
      </c>
      <c r="U42" s="715">
        <f t="shared" si="13"/>
        <v>100</v>
      </c>
      <c r="V42" s="714" t="s">
        <v>21</v>
      </c>
      <c r="W42" s="715">
        <f t="shared" si="14"/>
        <v>100</v>
      </c>
      <c r="X42" s="1541"/>
      <c r="Y42" s="3336"/>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334"/>
      <c r="Q43" s="1538" t="str">
        <f t="shared" si="11"/>
        <v>内部装修维护情况</v>
      </c>
      <c r="R43" s="714" t="s">
        <v>21</v>
      </c>
      <c r="S43" s="715">
        <f t="shared" si="12"/>
        <v>100</v>
      </c>
      <c r="T43" s="714" t="s">
        <v>21</v>
      </c>
      <c r="U43" s="715">
        <f t="shared" si="13"/>
        <v>100</v>
      </c>
      <c r="V43" s="714" t="s">
        <v>21</v>
      </c>
      <c r="W43" s="715">
        <f t="shared" si="14"/>
        <v>100</v>
      </c>
      <c r="X43" s="1541"/>
      <c r="Y43" s="3336"/>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334"/>
      <c r="Q44" s="1529">
        <f t="shared" si="11"/>
        <v>111</v>
      </c>
      <c r="R44" s="710" t="s">
        <v>21</v>
      </c>
      <c r="S44" s="711">
        <f t="shared" si="12"/>
        <v>100</v>
      </c>
      <c r="T44" s="710" t="s">
        <v>21</v>
      </c>
      <c r="U44" s="711">
        <f t="shared" si="13"/>
        <v>100</v>
      </c>
      <c r="V44" s="710" t="s">
        <v>21</v>
      </c>
      <c r="W44" s="711">
        <f t="shared" si="14"/>
        <v>100</v>
      </c>
      <c r="X44" s="712"/>
      <c r="Y44" s="333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334"/>
      <c r="Q45" s="1538">
        <f t="shared" si="11"/>
        <v>111</v>
      </c>
      <c r="R45" s="714" t="s">
        <v>21</v>
      </c>
      <c r="S45" s="715">
        <f t="shared" si="12"/>
        <v>100</v>
      </c>
      <c r="T45" s="714" t="s">
        <v>21</v>
      </c>
      <c r="U45" s="715">
        <f t="shared" si="13"/>
        <v>100</v>
      </c>
      <c r="V45" s="714" t="s">
        <v>21</v>
      </c>
      <c r="W45" s="715">
        <f t="shared" si="14"/>
        <v>100</v>
      </c>
      <c r="X45" s="1541"/>
      <c r="Y45" s="3336"/>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335"/>
      <c r="Q46" s="1538">
        <f t="shared" si="11"/>
        <v>111</v>
      </c>
      <c r="R46" s="714" t="s">
        <v>20</v>
      </c>
      <c r="S46" s="715">
        <f t="shared" si="12"/>
        <v>100</v>
      </c>
      <c r="T46" s="714" t="s">
        <v>20</v>
      </c>
      <c r="U46" s="715">
        <f t="shared" si="13"/>
        <v>100</v>
      </c>
      <c r="V46" s="714" t="s">
        <v>20</v>
      </c>
      <c r="W46" s="715">
        <f t="shared" si="14"/>
        <v>100</v>
      </c>
      <c r="X46" s="1541"/>
      <c r="Y46" s="3337"/>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3"/>
      <c r="M47" s="2954"/>
      <c r="N47" s="2945"/>
      <c r="O47" s="2954"/>
      <c r="P47" s="3329" t="str">
        <f>A47</f>
        <v>成交单价（元/平方米）</v>
      </c>
      <c r="Q47" s="3329"/>
      <c r="R47" s="3330">
        <f>E47</f>
        <v>0</v>
      </c>
      <c r="S47" s="3330"/>
      <c r="T47" s="3330">
        <f>G47</f>
        <v>0</v>
      </c>
      <c r="U47" s="3330"/>
      <c r="V47" s="3330">
        <f>I47</f>
        <v>0</v>
      </c>
      <c r="W47" s="3330"/>
      <c r="X47" s="699"/>
      <c r="Y47" s="721"/>
      <c r="Z47" s="699"/>
      <c r="AA47" s="699"/>
      <c r="AB47" s="699"/>
      <c r="AC47" s="699"/>
    </row>
    <row r="48" spans="1:29" ht="15.75" thickBot="1">
      <c r="A48" s="445" t="s">
        <v>2400</v>
      </c>
      <c r="B48" s="446"/>
      <c r="C48" s="1322" t="e">
        <f>R49</f>
        <v>#DIV/0!</v>
      </c>
      <c r="D48" s="2540" t="s">
        <v>2880</v>
      </c>
      <c r="E48" s="1323" t="e">
        <f>R48</f>
        <v>#DIV/0!</v>
      </c>
      <c r="F48" s="2541"/>
      <c r="G48" s="1322" t="e">
        <f>T48</f>
        <v>#DIV/0!</v>
      </c>
      <c r="H48" s="2541"/>
      <c r="I48" s="1323" t="e">
        <f>V48</f>
        <v>#DIV/0!</v>
      </c>
      <c r="J48" s="2541"/>
      <c r="K48" s="2542">
        <f>F48+H48+J48</f>
        <v>0</v>
      </c>
      <c r="L48" s="2953"/>
      <c r="M48" s="2954"/>
      <c r="N48" s="2954"/>
      <c r="O48" s="2954"/>
      <c r="P48" s="3329" t="str">
        <f>A48</f>
        <v>比较价值（元/平方米）</v>
      </c>
      <c r="Q48" s="3329"/>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3"/>
      <c r="M49" s="2954"/>
      <c r="N49" s="2954"/>
      <c r="O49" s="2954"/>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11966.17</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5">
      <c r="A4" s="361" t="s">
        <v>2467</v>
      </c>
      <c r="B4" s="362"/>
      <c r="C4" s="3344" t="s">
        <v>2468</v>
      </c>
      <c r="D4" s="3345"/>
      <c r="E4" s="3346" t="s">
        <v>2469</v>
      </c>
      <c r="F4" s="3347"/>
      <c r="G4" s="3344" t="s">
        <v>2470</v>
      </c>
      <c r="H4" s="3345"/>
      <c r="I4" s="3344" t="s">
        <v>2471</v>
      </c>
      <c r="J4" s="3345"/>
      <c r="K4" s="567" t="s">
        <v>2472</v>
      </c>
      <c r="L4" s="2944"/>
      <c r="M4" s="2945"/>
      <c r="N4" s="2945"/>
      <c r="O4" s="2945"/>
      <c r="P4" s="3348" t="s">
        <v>2473</v>
      </c>
      <c r="Q4" s="3349"/>
      <c r="R4" s="3354" t="s">
        <v>2469</v>
      </c>
      <c r="S4" s="3355"/>
      <c r="T4" s="3354" t="s">
        <v>2470</v>
      </c>
      <c r="U4" s="3355"/>
      <c r="V4" s="3360" t="s">
        <v>2471</v>
      </c>
      <c r="W4" s="3360"/>
      <c r="X4" s="1541"/>
      <c r="Y4" s="3354" t="s">
        <v>2473</v>
      </c>
      <c r="Z4" s="3355"/>
      <c r="AA4" s="3341" t="s">
        <v>2469</v>
      </c>
      <c r="AB4" s="3360" t="s">
        <v>2470</v>
      </c>
      <c r="AC4" s="3341" t="s">
        <v>2471</v>
      </c>
    </row>
    <row r="5" spans="1:29" ht="15">
      <c r="A5" s="364"/>
      <c r="B5" s="365"/>
      <c r="C5" s="3363" t="s">
        <v>2364</v>
      </c>
      <c r="D5" s="3364"/>
      <c r="E5" s="3370" t="s">
        <v>2365</v>
      </c>
      <c r="F5" s="3371"/>
      <c r="G5" s="3363" t="s">
        <v>2366</v>
      </c>
      <c r="H5" s="3364"/>
      <c r="I5" s="3363" t="s">
        <v>2367</v>
      </c>
      <c r="J5" s="3364"/>
      <c r="K5" s="567"/>
      <c r="L5" s="2944"/>
      <c r="M5" s="2945"/>
      <c r="N5" s="2945"/>
      <c r="O5" s="2945"/>
      <c r="P5" s="3350"/>
      <c r="Q5" s="3351"/>
      <c r="R5" s="3356"/>
      <c r="S5" s="3357"/>
      <c r="T5" s="3356"/>
      <c r="U5" s="3357"/>
      <c r="V5" s="3360"/>
      <c r="W5" s="3360"/>
      <c r="X5" s="1541"/>
      <c r="Y5" s="3356"/>
      <c r="Z5" s="3357"/>
      <c r="AA5" s="3342"/>
      <c r="AB5" s="3360"/>
      <c r="AC5" s="3342"/>
    </row>
    <row r="6" spans="1:29" ht="15.75" thickBot="1">
      <c r="A6" s="366"/>
      <c r="B6" s="367"/>
      <c r="C6" s="3361" t="s">
        <v>2368</v>
      </c>
      <c r="D6" s="3362"/>
      <c r="E6" s="3368" t="s">
        <v>2368</v>
      </c>
      <c r="F6" s="3369"/>
      <c r="G6" s="3361" t="s">
        <v>2368</v>
      </c>
      <c r="H6" s="3362"/>
      <c r="I6" s="3361" t="s">
        <v>2368</v>
      </c>
      <c r="J6" s="3362"/>
      <c r="K6" s="567" t="s">
        <v>2369</v>
      </c>
      <c r="L6" s="2944"/>
      <c r="M6" s="2945"/>
      <c r="N6" s="2945"/>
      <c r="O6" s="2945"/>
      <c r="P6" s="3352"/>
      <c r="Q6" s="3353"/>
      <c r="R6" s="3356"/>
      <c r="S6" s="3357"/>
      <c r="T6" s="3358"/>
      <c r="U6" s="3359"/>
      <c r="V6" s="3360"/>
      <c r="W6" s="3360"/>
      <c r="X6" s="1541"/>
      <c r="Y6" s="3358"/>
      <c r="Z6" s="3359"/>
      <c r="AA6" s="3343"/>
      <c r="AB6" s="3360"/>
      <c r="AC6" s="3343"/>
    </row>
    <row r="7" spans="1:29" s="113" customFormat="1" ht="15.75" thickBot="1">
      <c r="A7" s="368" t="s">
        <v>2370</v>
      </c>
      <c r="B7" s="369"/>
      <c r="C7" s="370">
        <f>'数据-取费表'!B2</f>
        <v>44218</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65" t="s">
        <v>2371</v>
      </c>
      <c r="Q7" s="3367"/>
      <c r="R7" s="710" t="s">
        <v>17</v>
      </c>
      <c r="S7" s="711">
        <f t="shared" ref="S7:S15" si="0">F7</f>
        <v>0</v>
      </c>
      <c r="T7" s="710" t="s">
        <v>17</v>
      </c>
      <c r="U7" s="711">
        <f t="shared" ref="U7:U15" si="1">H7</f>
        <v>0</v>
      </c>
      <c r="V7" s="710" t="s">
        <v>17</v>
      </c>
      <c r="W7" s="711">
        <f t="shared" ref="W7:W15" si="2">J7</f>
        <v>0</v>
      </c>
      <c r="X7" s="712"/>
      <c r="Y7" s="3365" t="s">
        <v>2371</v>
      </c>
      <c r="Z7" s="3366"/>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65" t="s">
        <v>2374</v>
      </c>
      <c r="Q8" s="3366"/>
      <c r="R8" s="710" t="s">
        <v>17</v>
      </c>
      <c r="S8" s="711">
        <f t="shared" si="0"/>
        <v>0</v>
      </c>
      <c r="T8" s="710" t="s">
        <v>17</v>
      </c>
      <c r="U8" s="711">
        <f t="shared" si="1"/>
        <v>0</v>
      </c>
      <c r="V8" s="710" t="s">
        <v>17</v>
      </c>
      <c r="W8" s="711">
        <f t="shared" si="2"/>
        <v>0</v>
      </c>
      <c r="X8" s="712"/>
      <c r="Y8" s="3365" t="s">
        <v>2374</v>
      </c>
      <c r="Z8" s="3366"/>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40" t="s">
        <v>2377</v>
      </c>
      <c r="Q9" s="1529" t="str">
        <f t="shared" ref="Q9:Q15" si="6">B9</f>
        <v>用途</v>
      </c>
      <c r="R9" s="710" t="s">
        <v>17</v>
      </c>
      <c r="S9" s="711">
        <f t="shared" si="0"/>
        <v>100</v>
      </c>
      <c r="T9" s="710" t="s">
        <v>17</v>
      </c>
      <c r="U9" s="711">
        <f t="shared" si="1"/>
        <v>100</v>
      </c>
      <c r="V9" s="710" t="s">
        <v>17</v>
      </c>
      <c r="W9" s="711">
        <f t="shared" si="2"/>
        <v>100</v>
      </c>
      <c r="X9" s="712"/>
      <c r="Y9" s="320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40"/>
      <c r="Q10" s="1529" t="str">
        <f t="shared" si="6"/>
        <v>土地使用年限（年）</v>
      </c>
      <c r="R10" s="710" t="s">
        <v>17</v>
      </c>
      <c r="S10" s="711">
        <f t="shared" si="0"/>
        <v>100</v>
      </c>
      <c r="T10" s="710" t="s">
        <v>17</v>
      </c>
      <c r="U10" s="711">
        <f t="shared" si="1"/>
        <v>100</v>
      </c>
      <c r="V10" s="710" t="s">
        <v>17</v>
      </c>
      <c r="W10" s="711">
        <f t="shared" si="2"/>
        <v>100</v>
      </c>
      <c r="X10" s="712"/>
      <c r="Y10" s="320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40"/>
      <c r="Q11" s="1529" t="str">
        <f t="shared" si="6"/>
        <v>容积率</v>
      </c>
      <c r="R11" s="710" t="s">
        <v>17</v>
      </c>
      <c r="S11" s="711" t="e">
        <f t="shared" si="0"/>
        <v>#N/A</v>
      </c>
      <c r="T11" s="710" t="s">
        <v>17</v>
      </c>
      <c r="U11" s="711" t="e">
        <f t="shared" si="1"/>
        <v>#N/A</v>
      </c>
      <c r="V11" s="710" t="s">
        <v>17</v>
      </c>
      <c r="W11" s="711" t="e">
        <f t="shared" si="2"/>
        <v>#N/A</v>
      </c>
      <c r="X11" s="712"/>
      <c r="Y11" s="320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40"/>
      <c r="Q12" s="1529">
        <f t="shared" si="6"/>
        <v>111</v>
      </c>
      <c r="R12" s="710" t="s">
        <v>17</v>
      </c>
      <c r="S12" s="711">
        <f t="shared" si="0"/>
        <v>100</v>
      </c>
      <c r="T12" s="710" t="s">
        <v>17</v>
      </c>
      <c r="U12" s="711">
        <f t="shared" si="1"/>
        <v>100</v>
      </c>
      <c r="V12" s="710" t="s">
        <v>17</v>
      </c>
      <c r="W12" s="711">
        <f t="shared" si="2"/>
        <v>100</v>
      </c>
      <c r="X12" s="712"/>
      <c r="Y12" s="320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40"/>
      <c r="Q13" s="1529">
        <f t="shared" si="6"/>
        <v>111</v>
      </c>
      <c r="R13" s="710" t="s">
        <v>17</v>
      </c>
      <c r="S13" s="711">
        <f t="shared" si="0"/>
        <v>100</v>
      </c>
      <c r="T13" s="710" t="s">
        <v>17</v>
      </c>
      <c r="U13" s="711">
        <f t="shared" si="1"/>
        <v>100</v>
      </c>
      <c r="V13" s="710" t="s">
        <v>17</v>
      </c>
      <c r="W13" s="711">
        <f t="shared" si="2"/>
        <v>100</v>
      </c>
      <c r="X13" s="712"/>
      <c r="Y13" s="3201"/>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40"/>
      <c r="Q14" s="1529">
        <f t="shared" si="6"/>
        <v>111</v>
      </c>
      <c r="R14" s="710" t="s">
        <v>17</v>
      </c>
      <c r="S14" s="711">
        <f t="shared" si="0"/>
        <v>100</v>
      </c>
      <c r="T14" s="710" t="s">
        <v>17</v>
      </c>
      <c r="U14" s="711">
        <f t="shared" si="1"/>
        <v>100</v>
      </c>
      <c r="V14" s="710" t="s">
        <v>17</v>
      </c>
      <c r="W14" s="711">
        <f t="shared" si="2"/>
        <v>100</v>
      </c>
      <c r="X14" s="712"/>
      <c r="Y14" s="3201"/>
      <c r="Z14" s="55">
        <f t="shared" si="7"/>
        <v>111</v>
      </c>
      <c r="AA14" s="713">
        <f t="shared" si="3"/>
        <v>1</v>
      </c>
      <c r="AB14" s="713">
        <f t="shared" si="4"/>
        <v>1</v>
      </c>
      <c r="AC14" s="713">
        <f t="shared" si="5"/>
        <v>1</v>
      </c>
    </row>
    <row r="15" spans="1:29" ht="15">
      <c r="A15" s="399" t="s">
        <v>2381</v>
      </c>
      <c r="B15" s="65" t="s">
        <v>2475</v>
      </c>
      <c r="C15" s="2084"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38" t="s">
        <v>2382</v>
      </c>
      <c r="Q15" s="1538" t="str">
        <f t="shared" si="6"/>
        <v>商业繁华度</v>
      </c>
      <c r="R15" s="714" t="s">
        <v>17</v>
      </c>
      <c r="S15" s="715">
        <f t="shared" si="0"/>
        <v>100</v>
      </c>
      <c r="T15" s="714" t="s">
        <v>17</v>
      </c>
      <c r="U15" s="715">
        <f t="shared" si="1"/>
        <v>100</v>
      </c>
      <c r="V15" s="714" t="s">
        <v>17</v>
      </c>
      <c r="W15" s="715">
        <f t="shared" si="2"/>
        <v>100</v>
      </c>
      <c r="X15" s="1541"/>
      <c r="Y15" s="3331"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1"/>
      <c r="M16" s="2945"/>
      <c r="N16" s="2945"/>
      <c r="O16" s="2945"/>
      <c r="P16" s="3339"/>
      <c r="Q16" s="1538"/>
      <c r="R16" s="714"/>
      <c r="S16" s="715"/>
      <c r="T16" s="714"/>
      <c r="U16" s="715"/>
      <c r="V16" s="714"/>
      <c r="W16" s="715"/>
      <c r="X16" s="1541"/>
      <c r="Y16" s="3332"/>
      <c r="Z16" s="1542"/>
      <c r="AA16" s="1539">
        <v>1</v>
      </c>
      <c r="AB16" s="1539">
        <v>1</v>
      </c>
      <c r="AC16" s="1539">
        <v>1</v>
      </c>
    </row>
    <row r="17" spans="1:29" ht="15">
      <c r="A17" s="387"/>
      <c r="B17" s="410" t="s">
        <v>1946</v>
      </c>
      <c r="C17" s="2088"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39"/>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1"/>
      <c r="M18" s="2945"/>
      <c r="N18" s="2945"/>
      <c r="O18" s="2945"/>
      <c r="P18" s="3339"/>
      <c r="Q18" s="1538"/>
      <c r="R18" s="714"/>
      <c r="S18" s="715"/>
      <c r="T18" s="714"/>
      <c r="U18" s="715"/>
      <c r="V18" s="714"/>
      <c r="W18" s="715"/>
      <c r="X18" s="1541"/>
      <c r="Y18" s="3332"/>
      <c r="Z18" s="1542"/>
      <c r="AA18" s="1539">
        <v>1</v>
      </c>
      <c r="AB18" s="1539">
        <v>1</v>
      </c>
      <c r="AC18" s="1539">
        <v>1</v>
      </c>
    </row>
    <row r="19" spans="1:29" ht="15">
      <c r="A19" s="387"/>
      <c r="B19" s="410" t="s">
        <v>2476</v>
      </c>
      <c r="C19" s="208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39"/>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1"/>
      <c r="M20" s="2945"/>
      <c r="N20" s="2945"/>
      <c r="O20" s="2945"/>
      <c r="P20" s="3339"/>
      <c r="Q20" s="1538"/>
      <c r="R20" s="714"/>
      <c r="S20" s="715"/>
      <c r="T20" s="714"/>
      <c r="U20" s="715"/>
      <c r="V20" s="714"/>
      <c r="W20" s="715"/>
      <c r="X20" s="1541"/>
      <c r="Y20" s="3332"/>
      <c r="Z20" s="1542"/>
      <c r="AA20" s="1539">
        <v>1</v>
      </c>
      <c r="AB20" s="1539">
        <v>1</v>
      </c>
      <c r="AC20" s="1539">
        <v>1</v>
      </c>
    </row>
    <row r="21" spans="1:29" ht="15">
      <c r="A21" s="387"/>
      <c r="B21" s="1293" t="s">
        <v>2477</v>
      </c>
      <c r="C21" s="208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1"/>
      <c r="M22" s="2945"/>
      <c r="N22" s="2945"/>
      <c r="O22" s="2945"/>
      <c r="P22" s="3339"/>
      <c r="Q22" s="1538"/>
      <c r="R22" s="714"/>
      <c r="S22" s="715"/>
      <c r="T22" s="714"/>
      <c r="U22" s="715"/>
      <c r="V22" s="714"/>
      <c r="W22" s="715"/>
      <c r="X22" s="1541"/>
      <c r="Y22" s="3332"/>
      <c r="Z22" s="1542"/>
      <c r="AA22" s="1539">
        <v>1</v>
      </c>
      <c r="AB22" s="1539">
        <v>1</v>
      </c>
      <c r="AC22" s="1539">
        <v>1</v>
      </c>
    </row>
    <row r="23" spans="1:29" ht="15">
      <c r="A23" s="387"/>
      <c r="B23" s="410" t="s">
        <v>1948</v>
      </c>
      <c r="C23" s="2143"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39"/>
      <c r="Q23" s="1538" t="str">
        <f>B23</f>
        <v>自然及人文环境</v>
      </c>
      <c r="R23" s="714" t="s">
        <v>17</v>
      </c>
      <c r="S23" s="715">
        <f>F23</f>
        <v>100</v>
      </c>
      <c r="T23" s="714" t="s">
        <v>17</v>
      </c>
      <c r="U23" s="715">
        <f>H23</f>
        <v>100</v>
      </c>
      <c r="V23" s="714" t="s">
        <v>17</v>
      </c>
      <c r="W23" s="715">
        <f>J23</f>
        <v>100</v>
      </c>
      <c r="X23" s="1541"/>
      <c r="Y23" s="3332"/>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1"/>
      <c r="M24" s="2945"/>
      <c r="N24" s="2945"/>
      <c r="O24" s="2945"/>
      <c r="P24" s="3339"/>
      <c r="Q24" s="1538"/>
      <c r="R24" s="714"/>
      <c r="S24" s="715"/>
      <c r="T24" s="714"/>
      <c r="U24" s="715"/>
      <c r="V24" s="714"/>
      <c r="W24" s="715"/>
      <c r="X24" s="1541"/>
      <c r="Y24" s="3332"/>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39"/>
      <c r="Q25" s="1538" t="str">
        <f t="shared" ref="Q25:Q46" si="11">B25</f>
        <v>临街状况</v>
      </c>
      <c r="R25" s="714" t="s">
        <v>17</v>
      </c>
      <c r="S25" s="715">
        <f>F25</f>
        <v>100</v>
      </c>
      <c r="T25" s="714" t="s">
        <v>17</v>
      </c>
      <c r="U25" s="715">
        <f>H25</f>
        <v>100</v>
      </c>
      <c r="V25" s="714" t="s">
        <v>17</v>
      </c>
      <c r="W25" s="715">
        <f>J25</f>
        <v>100</v>
      </c>
      <c r="X25" s="1541"/>
      <c r="Y25" s="3332"/>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39"/>
      <c r="Q26" s="1538" t="str">
        <f t="shared" si="11"/>
        <v>平面位置/可视性</v>
      </c>
      <c r="R26" s="714" t="s">
        <v>17</v>
      </c>
      <c r="S26" s="715">
        <f>F26</f>
        <v>100</v>
      </c>
      <c r="T26" s="714" t="s">
        <v>17</v>
      </c>
      <c r="U26" s="715">
        <f>H26</f>
        <v>100</v>
      </c>
      <c r="V26" s="714" t="s">
        <v>17</v>
      </c>
      <c r="W26" s="715">
        <f>J26</f>
        <v>100</v>
      </c>
      <c r="X26" s="1541"/>
      <c r="Y26" s="3332"/>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6"/>
      <c r="M27" s="2947"/>
      <c r="N27" s="2947"/>
      <c r="O27" s="2947"/>
      <c r="P27" s="3339"/>
      <c r="Q27" s="1529" t="str">
        <f t="shared" si="11"/>
        <v>人流量</v>
      </c>
      <c r="R27" s="710" t="s">
        <v>17</v>
      </c>
      <c r="S27" s="711">
        <f>F27</f>
        <v>100</v>
      </c>
      <c r="T27" s="710" t="s">
        <v>17</v>
      </c>
      <c r="U27" s="711">
        <f>H27</f>
        <v>100</v>
      </c>
      <c r="V27" s="710" t="s">
        <v>17</v>
      </c>
      <c r="W27" s="711">
        <f>J27</f>
        <v>100</v>
      </c>
      <c r="X27" s="712"/>
      <c r="Y27" s="3332"/>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39"/>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2"/>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39"/>
      <c r="Q29" s="1538">
        <f t="shared" si="11"/>
        <v>111</v>
      </c>
      <c r="R29" s="714" t="s">
        <v>17</v>
      </c>
      <c r="S29" s="715">
        <f t="shared" si="12"/>
        <v>100</v>
      </c>
      <c r="T29" s="714" t="s">
        <v>17</v>
      </c>
      <c r="U29" s="715">
        <f t="shared" si="13"/>
        <v>100</v>
      </c>
      <c r="V29" s="714" t="s">
        <v>17</v>
      </c>
      <c r="W29" s="715">
        <f t="shared" si="14"/>
        <v>100</v>
      </c>
      <c r="X29" s="1541"/>
      <c r="Y29" s="3332"/>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39"/>
      <c r="Q30" s="1538">
        <f t="shared" si="11"/>
        <v>111</v>
      </c>
      <c r="R30" s="714" t="s">
        <v>17</v>
      </c>
      <c r="S30" s="715">
        <f t="shared" si="12"/>
        <v>100</v>
      </c>
      <c r="T30" s="714" t="s">
        <v>17</v>
      </c>
      <c r="U30" s="715">
        <f t="shared" si="13"/>
        <v>100</v>
      </c>
      <c r="V30" s="714" t="s">
        <v>17</v>
      </c>
      <c r="W30" s="715">
        <f t="shared" si="14"/>
        <v>100</v>
      </c>
      <c r="X30" s="1541"/>
      <c r="Y30" s="3332"/>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39"/>
      <c r="Q31" s="1538">
        <f t="shared" si="11"/>
        <v>111</v>
      </c>
      <c r="R31" s="714" t="s">
        <v>17</v>
      </c>
      <c r="S31" s="715">
        <f t="shared" si="12"/>
        <v>100</v>
      </c>
      <c r="T31" s="714" t="s">
        <v>17</v>
      </c>
      <c r="U31" s="715">
        <f t="shared" si="13"/>
        <v>100</v>
      </c>
      <c r="V31" s="714" t="s">
        <v>17</v>
      </c>
      <c r="W31" s="715">
        <f t="shared" si="14"/>
        <v>100</v>
      </c>
      <c r="X31" s="1541"/>
      <c r="Y31" s="3332"/>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1"/>
      <c r="M32" s="2945"/>
      <c r="N32" s="2945"/>
      <c r="O32" s="2945"/>
      <c r="P32" s="3333" t="s">
        <v>2387</v>
      </c>
      <c r="Q32" s="1538" t="str">
        <f t="shared" si="11"/>
        <v>商业类型</v>
      </c>
      <c r="R32" s="714" t="s">
        <v>17</v>
      </c>
      <c r="S32" s="715">
        <f t="shared" si="12"/>
        <v>100</v>
      </c>
      <c r="T32" s="714" t="s">
        <v>17</v>
      </c>
      <c r="U32" s="715">
        <f t="shared" si="13"/>
        <v>100</v>
      </c>
      <c r="V32" s="714" t="s">
        <v>17</v>
      </c>
      <c r="W32" s="715">
        <f t="shared" si="14"/>
        <v>100</v>
      </c>
      <c r="X32" s="1541"/>
      <c r="Y32" s="3336"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4"/>
      <c r="Q33" s="716" t="str">
        <f t="shared" si="11"/>
        <v>项目建筑规模</v>
      </c>
      <c r="R33" s="717" t="s">
        <v>17</v>
      </c>
      <c r="S33" s="718" t="e">
        <f t="shared" si="12"/>
        <v>#N/A</v>
      </c>
      <c r="T33" s="717" t="s">
        <v>17</v>
      </c>
      <c r="U33" s="718" t="e">
        <f t="shared" si="13"/>
        <v>#N/A</v>
      </c>
      <c r="V33" s="717" t="s">
        <v>17</v>
      </c>
      <c r="W33" s="718" t="e">
        <f t="shared" si="14"/>
        <v>#N/A</v>
      </c>
      <c r="X33" s="719"/>
      <c r="Y33" s="3336"/>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1"/>
      <c r="M34" s="2945"/>
      <c r="N34" s="2945"/>
      <c r="O34" s="2945"/>
      <c r="P34" s="3334"/>
      <c r="Q34" s="1538" t="str">
        <f t="shared" si="11"/>
        <v>建筑结构</v>
      </c>
      <c r="R34" s="714" t="s">
        <v>17</v>
      </c>
      <c r="S34" s="715">
        <f t="shared" si="12"/>
        <v>100</v>
      </c>
      <c r="T34" s="714" t="s">
        <v>17</v>
      </c>
      <c r="U34" s="715">
        <f t="shared" si="13"/>
        <v>100</v>
      </c>
      <c r="V34" s="714" t="s">
        <v>17</v>
      </c>
      <c r="W34" s="715">
        <f t="shared" si="14"/>
        <v>100</v>
      </c>
      <c r="X34" s="1541"/>
      <c r="Y34" s="3336"/>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1"/>
      <c r="M35" s="2945"/>
      <c r="N35" s="2945"/>
      <c r="O35" s="2945"/>
      <c r="P35" s="3334"/>
      <c r="Q35" s="1538" t="str">
        <f t="shared" si="11"/>
        <v>公共部分装修</v>
      </c>
      <c r="R35" s="714" t="s">
        <v>17</v>
      </c>
      <c r="S35" s="715">
        <f t="shared" si="12"/>
        <v>100</v>
      </c>
      <c r="T35" s="714" t="s">
        <v>17</v>
      </c>
      <c r="U35" s="715">
        <f t="shared" si="13"/>
        <v>100</v>
      </c>
      <c r="V35" s="714" t="s">
        <v>17</v>
      </c>
      <c r="W35" s="715">
        <f t="shared" si="14"/>
        <v>100</v>
      </c>
      <c r="X35" s="1541"/>
      <c r="Y35" s="3336"/>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4"/>
      <c r="Q36" s="1538" t="str">
        <f t="shared" si="11"/>
        <v>成新度</v>
      </c>
      <c r="R36" s="714" t="s">
        <v>17</v>
      </c>
      <c r="S36" s="715" t="e">
        <f t="shared" si="12"/>
        <v>#N/A</v>
      </c>
      <c r="T36" s="714" t="s">
        <v>17</v>
      </c>
      <c r="U36" s="715" t="e">
        <f t="shared" si="13"/>
        <v>#N/A</v>
      </c>
      <c r="V36" s="714" t="s">
        <v>17</v>
      </c>
      <c r="W36" s="715" t="e">
        <f t="shared" si="14"/>
        <v>#N/A</v>
      </c>
      <c r="X36" s="1541"/>
      <c r="Y36" s="3336"/>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6"/>
      <c r="M37" s="2947"/>
      <c r="N37" s="2947"/>
      <c r="O37" s="2947"/>
      <c r="P37" s="3334"/>
      <c r="Q37" s="1529" t="str">
        <f t="shared" si="11"/>
        <v>市政基础设施</v>
      </c>
      <c r="R37" s="710" t="s">
        <v>17</v>
      </c>
      <c r="S37" s="711">
        <f t="shared" si="12"/>
        <v>100</v>
      </c>
      <c r="T37" s="710" t="s">
        <v>17</v>
      </c>
      <c r="U37" s="711">
        <f t="shared" si="13"/>
        <v>100</v>
      </c>
      <c r="V37" s="710" t="s">
        <v>17</v>
      </c>
      <c r="W37" s="711">
        <f t="shared" si="14"/>
        <v>100</v>
      </c>
      <c r="X37" s="712"/>
      <c r="Y37" s="3336"/>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334" t="s">
        <v>2387</v>
      </c>
      <c r="Q38" s="1538" t="str">
        <f t="shared" si="11"/>
        <v>业态</v>
      </c>
      <c r="R38" s="714" t="s">
        <v>17</v>
      </c>
      <c r="S38" s="715">
        <f t="shared" si="12"/>
        <v>100</v>
      </c>
      <c r="T38" s="714" t="s">
        <v>17</v>
      </c>
      <c r="U38" s="715">
        <f t="shared" si="13"/>
        <v>100</v>
      </c>
      <c r="V38" s="714" t="s">
        <v>17</v>
      </c>
      <c r="W38" s="715">
        <f t="shared" si="14"/>
        <v>100</v>
      </c>
      <c r="X38" s="1541"/>
      <c r="Y38" s="3336"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1"/>
      <c r="M39" s="2945"/>
      <c r="N39" s="2945"/>
      <c r="O39" s="2945"/>
      <c r="P39" s="3334"/>
      <c r="Q39" s="1538" t="str">
        <f t="shared" si="11"/>
        <v>层高</v>
      </c>
      <c r="R39" s="714" t="s">
        <v>17</v>
      </c>
      <c r="S39" s="715">
        <f t="shared" si="12"/>
        <v>100</v>
      </c>
      <c r="T39" s="714" t="s">
        <v>17</v>
      </c>
      <c r="U39" s="715">
        <f t="shared" si="13"/>
        <v>100</v>
      </c>
      <c r="V39" s="714" t="s">
        <v>17</v>
      </c>
      <c r="W39" s="715">
        <f t="shared" si="14"/>
        <v>100</v>
      </c>
      <c r="X39" s="1541"/>
      <c r="Y39" s="3336"/>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4"/>
      <c r="Q40" s="1538" t="str">
        <f t="shared" si="11"/>
        <v>单套建筑面积</v>
      </c>
      <c r="R40" s="714" t="s">
        <v>17</v>
      </c>
      <c r="S40" s="715">
        <f t="shared" si="12"/>
        <v>100</v>
      </c>
      <c r="T40" s="714" t="s">
        <v>17</v>
      </c>
      <c r="U40" s="715">
        <f t="shared" si="13"/>
        <v>100</v>
      </c>
      <c r="V40" s="714" t="s">
        <v>17</v>
      </c>
      <c r="W40" s="715">
        <f t="shared" si="14"/>
        <v>100</v>
      </c>
      <c r="X40" s="1541"/>
      <c r="Y40" s="3336"/>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4"/>
      <c r="Q41" s="716" t="str">
        <f t="shared" si="11"/>
        <v>进深比</v>
      </c>
      <c r="R41" s="717" t="s">
        <v>17</v>
      </c>
      <c r="S41" s="718">
        <f t="shared" si="12"/>
        <v>100</v>
      </c>
      <c r="T41" s="717" t="s">
        <v>17</v>
      </c>
      <c r="U41" s="718">
        <f t="shared" si="13"/>
        <v>100</v>
      </c>
      <c r="V41" s="717" t="s">
        <v>17</v>
      </c>
      <c r="W41" s="718">
        <f t="shared" si="14"/>
        <v>100</v>
      </c>
      <c r="X41" s="719"/>
      <c r="Y41" s="3336"/>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1"/>
      <c r="M42" s="2945"/>
      <c r="N42" s="2945"/>
      <c r="O42" s="2945"/>
      <c r="P42" s="3334"/>
      <c r="Q42" s="1538" t="str">
        <f t="shared" si="11"/>
        <v>内部装修</v>
      </c>
      <c r="R42" s="714" t="s">
        <v>17</v>
      </c>
      <c r="S42" s="715">
        <f t="shared" si="12"/>
        <v>100</v>
      </c>
      <c r="T42" s="714" t="s">
        <v>17</v>
      </c>
      <c r="U42" s="715">
        <f t="shared" si="13"/>
        <v>100</v>
      </c>
      <c r="V42" s="714" t="s">
        <v>17</v>
      </c>
      <c r="W42" s="715">
        <f t="shared" si="14"/>
        <v>100</v>
      </c>
      <c r="X42" s="1541"/>
      <c r="Y42" s="3336"/>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1"/>
      <c r="M43" s="2945"/>
      <c r="N43" s="2945"/>
      <c r="O43" s="2945"/>
      <c r="P43" s="3334"/>
      <c r="Q43" s="1538" t="str">
        <f t="shared" si="11"/>
        <v>内部装修维护情况</v>
      </c>
      <c r="R43" s="714" t="s">
        <v>17</v>
      </c>
      <c r="S43" s="715">
        <f t="shared" si="12"/>
        <v>100</v>
      </c>
      <c r="T43" s="714" t="s">
        <v>17</v>
      </c>
      <c r="U43" s="715">
        <f t="shared" si="13"/>
        <v>100</v>
      </c>
      <c r="V43" s="714" t="s">
        <v>17</v>
      </c>
      <c r="W43" s="715">
        <f t="shared" si="14"/>
        <v>100</v>
      </c>
      <c r="X43" s="1541"/>
      <c r="Y43" s="3336"/>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4"/>
      <c r="Q44" s="1529">
        <f t="shared" si="11"/>
        <v>111</v>
      </c>
      <c r="R44" s="710" t="s">
        <v>17</v>
      </c>
      <c r="S44" s="711">
        <f t="shared" si="12"/>
        <v>100</v>
      </c>
      <c r="T44" s="710" t="s">
        <v>17</v>
      </c>
      <c r="U44" s="711">
        <f t="shared" si="13"/>
        <v>100</v>
      </c>
      <c r="V44" s="710" t="s">
        <v>17</v>
      </c>
      <c r="W44" s="711">
        <f t="shared" si="14"/>
        <v>100</v>
      </c>
      <c r="X44" s="712"/>
      <c r="Y44" s="333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4"/>
      <c r="Q45" s="1538">
        <f t="shared" si="11"/>
        <v>111</v>
      </c>
      <c r="R45" s="714" t="s">
        <v>17</v>
      </c>
      <c r="S45" s="715">
        <f t="shared" si="12"/>
        <v>100</v>
      </c>
      <c r="T45" s="714" t="s">
        <v>17</v>
      </c>
      <c r="U45" s="715">
        <f t="shared" si="13"/>
        <v>100</v>
      </c>
      <c r="V45" s="714" t="s">
        <v>17</v>
      </c>
      <c r="W45" s="715">
        <f t="shared" si="14"/>
        <v>100</v>
      </c>
      <c r="X45" s="1541"/>
      <c r="Y45" s="3336"/>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35"/>
      <c r="Q46" s="1538">
        <f t="shared" si="11"/>
        <v>111</v>
      </c>
      <c r="R46" s="714" t="s">
        <v>17</v>
      </c>
      <c r="S46" s="715">
        <f t="shared" si="12"/>
        <v>100</v>
      </c>
      <c r="T46" s="714" t="s">
        <v>17</v>
      </c>
      <c r="U46" s="715">
        <f t="shared" si="13"/>
        <v>100</v>
      </c>
      <c r="V46" s="714" t="s">
        <v>17</v>
      </c>
      <c r="W46" s="715">
        <f t="shared" si="14"/>
        <v>100</v>
      </c>
      <c r="X46" s="1541"/>
      <c r="Y46" s="3337"/>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3"/>
      <c r="M47" s="2954"/>
      <c r="N47" s="2945"/>
      <c r="O47" s="2954"/>
      <c r="P47" s="3329" t="str">
        <f>A47</f>
        <v>成交单价（元/平方米）</v>
      </c>
      <c r="Q47" s="3329"/>
      <c r="R47" s="3360">
        <f>E47</f>
        <v>0</v>
      </c>
      <c r="S47" s="3360"/>
      <c r="T47" s="3360">
        <f>G47</f>
        <v>0</v>
      </c>
      <c r="U47" s="3360"/>
      <c r="V47" s="3360">
        <f>I47</f>
        <v>0</v>
      </c>
      <c r="W47" s="3360"/>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3"/>
      <c r="M48" s="2954"/>
      <c r="N48" s="2945"/>
      <c r="O48" s="2954"/>
      <c r="P48" s="3329" t="str">
        <f>A48</f>
        <v>比较价值（元/平方米）</v>
      </c>
      <c r="Q48" s="3329"/>
      <c r="R48" s="3330" t="e">
        <f>IF(F1="售价",ROUND(PRODUCT(R47,AA7:AA46),0),ROUND(PRODUCT(R47,AA7:AA46),1))</f>
        <v>#DIV/0!</v>
      </c>
      <c r="S48" s="3330"/>
      <c r="T48" s="3330" t="e">
        <f>IF(F1="售价",ROUND(PRODUCT(T47,AB7:AB46),0),ROUND(PRODUCT(T47,AB7:AB46),1))</f>
        <v>#DIV/0!</v>
      </c>
      <c r="U48" s="3330"/>
      <c r="V48" s="3330" t="e">
        <f>IF(F1="售价",ROUND(PRODUCT(V47,AC7:AC46),0),ROUND(PRODUCT(V47,AC7:AC46),1))</f>
        <v>#DIV/0!</v>
      </c>
      <c r="W48" s="3330"/>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3"/>
      <c r="M49" s="2954"/>
      <c r="N49" s="2945"/>
      <c r="O49" s="2954"/>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2496</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2407</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2372</v>
      </c>
      <c r="B61" s="467"/>
      <c r="C61" s="479" t="s">
        <v>2474</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2410</v>
      </c>
      <c r="B63" s="485" t="s">
        <v>2376</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2381</v>
      </c>
      <c r="B76" s="485" t="s">
        <v>2418</v>
      </c>
      <c r="C76" s="530" t="s">
        <v>2419</v>
      </c>
      <c r="D76" s="530" t="s">
        <v>2420</v>
      </c>
      <c r="E76" s="530" t="s">
        <v>2421</v>
      </c>
      <c r="F76" s="530" t="s">
        <v>2422</v>
      </c>
      <c r="G76" s="530" t="s">
        <v>2423</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2424</v>
      </c>
      <c r="C78" s="535" t="s">
        <v>2419</v>
      </c>
      <c r="D78" s="535" t="s">
        <v>2420</v>
      </c>
      <c r="E78" s="535" t="s">
        <v>2421</v>
      </c>
      <c r="F78" s="535" t="s">
        <v>2422</v>
      </c>
      <c r="G78" s="535" t="s">
        <v>2423</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2425</v>
      </c>
      <c r="C80" s="535" t="s">
        <v>2419</v>
      </c>
      <c r="D80" s="535" t="s">
        <v>2420</v>
      </c>
      <c r="E80" s="535" t="s">
        <v>2421</v>
      </c>
      <c r="F80" s="535" t="s">
        <v>2422</v>
      </c>
      <c r="G80" s="535" t="s">
        <v>2423</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2477</v>
      </c>
      <c r="C82" s="616" t="s">
        <v>2497</v>
      </c>
      <c r="D82" s="616" t="s">
        <v>2498</v>
      </c>
      <c r="E82" s="616" t="s">
        <v>2499</v>
      </c>
      <c r="F82" s="616" t="s">
        <v>2500</v>
      </c>
      <c r="G82" s="616" t="s">
        <v>2501</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2431</v>
      </c>
      <c r="C84" s="535" t="s">
        <v>2419</v>
      </c>
      <c r="D84" s="535" t="s">
        <v>2420</v>
      </c>
      <c r="E84" s="535" t="s">
        <v>2421</v>
      </c>
      <c r="F84" s="535" t="s">
        <v>2422</v>
      </c>
      <c r="G84" s="535" t="s">
        <v>2423</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2502</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2385</v>
      </c>
      <c r="B100" s="485" t="s">
        <v>2503</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2436</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2438</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2440</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2504</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2505</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2506</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2507</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2442</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2" priority="21"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11966.17</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2467</v>
      </c>
      <c r="B4" s="362"/>
      <c r="C4" s="3344" t="s">
        <v>2468</v>
      </c>
      <c r="D4" s="3345"/>
      <c r="E4" s="3346" t="s">
        <v>2469</v>
      </c>
      <c r="F4" s="3347"/>
      <c r="G4" s="3344" t="s">
        <v>2470</v>
      </c>
      <c r="H4" s="3345"/>
      <c r="I4" s="3344" t="s">
        <v>2471</v>
      </c>
      <c r="J4" s="3345"/>
      <c r="K4" s="567" t="s">
        <v>2472</v>
      </c>
      <c r="L4" s="2944"/>
      <c r="M4" s="2945"/>
      <c r="N4" s="2945"/>
      <c r="O4" s="2945"/>
      <c r="P4" s="3378" t="s">
        <v>2473</v>
      </c>
      <c r="Q4" s="3379"/>
      <c r="R4" s="3382" t="s">
        <v>2469</v>
      </c>
      <c r="S4" s="3383"/>
      <c r="T4" s="3382" t="s">
        <v>2470</v>
      </c>
      <c r="U4" s="3383"/>
      <c r="V4" s="3384" t="s">
        <v>2471</v>
      </c>
      <c r="W4" s="3384"/>
      <c r="X4" s="2146"/>
      <c r="Y4" s="3382" t="s">
        <v>2473</v>
      </c>
      <c r="Z4" s="3383"/>
      <c r="AA4" s="3386" t="s">
        <v>2469</v>
      </c>
      <c r="AB4" s="3386" t="s">
        <v>2470</v>
      </c>
      <c r="AC4" s="3375" t="s">
        <v>2471</v>
      </c>
    </row>
    <row r="5" spans="1:29" ht="15">
      <c r="A5" s="364"/>
      <c r="B5" s="365"/>
      <c r="C5" s="3363" t="s">
        <v>2364</v>
      </c>
      <c r="D5" s="3364"/>
      <c r="E5" s="3370" t="s">
        <v>2365</v>
      </c>
      <c r="F5" s="3371"/>
      <c r="G5" s="3363" t="s">
        <v>2366</v>
      </c>
      <c r="H5" s="3364"/>
      <c r="I5" s="3363" t="s">
        <v>2367</v>
      </c>
      <c r="J5" s="3364"/>
      <c r="K5" s="567"/>
      <c r="L5" s="2944"/>
      <c r="M5" s="2945"/>
      <c r="N5" s="2945"/>
      <c r="O5" s="2945"/>
      <c r="P5" s="3380"/>
      <c r="Q5" s="3351"/>
      <c r="R5" s="3356"/>
      <c r="S5" s="3357"/>
      <c r="T5" s="3356"/>
      <c r="U5" s="3357"/>
      <c r="V5" s="3360"/>
      <c r="W5" s="3360"/>
      <c r="X5" s="1541"/>
      <c r="Y5" s="3356"/>
      <c r="Z5" s="3357"/>
      <c r="AA5" s="3342"/>
      <c r="AB5" s="3342"/>
      <c r="AC5" s="3376"/>
    </row>
    <row r="6" spans="1:29" ht="15.75" thickBot="1">
      <c r="A6" s="366"/>
      <c r="B6" s="367"/>
      <c r="C6" s="3361" t="s">
        <v>2368</v>
      </c>
      <c r="D6" s="3362"/>
      <c r="E6" s="3368" t="s">
        <v>2368</v>
      </c>
      <c r="F6" s="3369"/>
      <c r="G6" s="3361" t="s">
        <v>2368</v>
      </c>
      <c r="H6" s="3362"/>
      <c r="I6" s="3361" t="s">
        <v>2368</v>
      </c>
      <c r="J6" s="3362"/>
      <c r="K6" s="567" t="s">
        <v>2369</v>
      </c>
      <c r="L6" s="2944"/>
      <c r="M6" s="2945"/>
      <c r="N6" s="2945"/>
      <c r="O6" s="2945"/>
      <c r="P6" s="3381"/>
      <c r="Q6" s="3353"/>
      <c r="R6" s="3356"/>
      <c r="S6" s="3357"/>
      <c r="T6" s="3358"/>
      <c r="U6" s="3359"/>
      <c r="V6" s="3360"/>
      <c r="W6" s="3360"/>
      <c r="X6" s="1541"/>
      <c r="Y6" s="3358"/>
      <c r="Z6" s="3359"/>
      <c r="AA6" s="3343"/>
      <c r="AB6" s="3343"/>
      <c r="AC6" s="3377"/>
    </row>
    <row r="7" spans="1:29" s="113" customFormat="1" ht="15.75" thickBot="1">
      <c r="A7" s="368" t="s">
        <v>2370</v>
      </c>
      <c r="B7" s="369"/>
      <c r="C7" s="370">
        <f>'数据-取费表'!B2</f>
        <v>44218</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85" t="s">
        <v>2371</v>
      </c>
      <c r="Q7" s="3367"/>
      <c r="R7" s="710" t="s">
        <v>17</v>
      </c>
      <c r="S7" s="711">
        <f t="shared" ref="S7:S15" si="0">F7</f>
        <v>0</v>
      </c>
      <c r="T7" s="710" t="s">
        <v>17</v>
      </c>
      <c r="U7" s="711">
        <f t="shared" ref="U7:U15" si="1">H7</f>
        <v>0</v>
      </c>
      <c r="V7" s="710" t="s">
        <v>17</v>
      </c>
      <c r="W7" s="711">
        <f t="shared" ref="W7:W15" si="2">J7</f>
        <v>0</v>
      </c>
      <c r="X7" s="712"/>
      <c r="Y7" s="3365" t="s">
        <v>2371</v>
      </c>
      <c r="Z7" s="3366"/>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85" t="s">
        <v>2374</v>
      </c>
      <c r="Q8" s="3366"/>
      <c r="R8" s="710" t="s">
        <v>17</v>
      </c>
      <c r="S8" s="711">
        <f t="shared" si="0"/>
        <v>0</v>
      </c>
      <c r="T8" s="710" t="s">
        <v>17</v>
      </c>
      <c r="U8" s="711">
        <f t="shared" si="1"/>
        <v>0</v>
      </c>
      <c r="V8" s="710" t="s">
        <v>17</v>
      </c>
      <c r="W8" s="711">
        <f t="shared" si="2"/>
        <v>0</v>
      </c>
      <c r="X8" s="712"/>
      <c r="Y8" s="3365" t="s">
        <v>2374</v>
      </c>
      <c r="Z8" s="3366"/>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40" t="s">
        <v>2377</v>
      </c>
      <c r="Q9" s="1529" t="str">
        <f t="shared" ref="Q9:Q15" si="6">B9</f>
        <v>用途</v>
      </c>
      <c r="R9" s="710" t="s">
        <v>17</v>
      </c>
      <c r="S9" s="711">
        <f t="shared" si="0"/>
        <v>100</v>
      </c>
      <c r="T9" s="710" t="s">
        <v>17</v>
      </c>
      <c r="U9" s="711">
        <f t="shared" si="1"/>
        <v>100</v>
      </c>
      <c r="V9" s="710" t="s">
        <v>17</v>
      </c>
      <c r="W9" s="711">
        <f t="shared" si="2"/>
        <v>100</v>
      </c>
      <c r="X9" s="712"/>
      <c r="Y9" s="3201"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40"/>
      <c r="Q10" s="1529" t="str">
        <f t="shared" si="6"/>
        <v>土地使用年限（年）</v>
      </c>
      <c r="R10" s="710" t="s">
        <v>17</v>
      </c>
      <c r="S10" s="711">
        <f t="shared" si="0"/>
        <v>100</v>
      </c>
      <c r="T10" s="710" t="s">
        <v>17</v>
      </c>
      <c r="U10" s="711">
        <f t="shared" si="1"/>
        <v>100</v>
      </c>
      <c r="V10" s="710" t="s">
        <v>17</v>
      </c>
      <c r="W10" s="711">
        <f t="shared" si="2"/>
        <v>100</v>
      </c>
      <c r="X10" s="712"/>
      <c r="Y10" s="3201"/>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40"/>
      <c r="Q11" s="1529" t="str">
        <f t="shared" si="6"/>
        <v>容积率</v>
      </c>
      <c r="R11" s="710" t="s">
        <v>17</v>
      </c>
      <c r="S11" s="711" t="e">
        <f t="shared" si="0"/>
        <v>#N/A</v>
      </c>
      <c r="T11" s="710" t="s">
        <v>17</v>
      </c>
      <c r="U11" s="711" t="e">
        <f t="shared" si="1"/>
        <v>#N/A</v>
      </c>
      <c r="V11" s="710" t="s">
        <v>17</v>
      </c>
      <c r="W11" s="711" t="e">
        <f t="shared" si="2"/>
        <v>#N/A</v>
      </c>
      <c r="X11" s="712"/>
      <c r="Y11" s="3201"/>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340"/>
      <c r="Q12" s="1529">
        <f t="shared" si="6"/>
        <v>111</v>
      </c>
      <c r="R12" s="710" t="s">
        <v>17</v>
      </c>
      <c r="S12" s="711">
        <f t="shared" si="0"/>
        <v>100</v>
      </c>
      <c r="T12" s="710" t="s">
        <v>17</v>
      </c>
      <c r="U12" s="711">
        <f t="shared" si="1"/>
        <v>100</v>
      </c>
      <c r="V12" s="710" t="s">
        <v>17</v>
      </c>
      <c r="W12" s="711">
        <f t="shared" si="2"/>
        <v>100</v>
      </c>
      <c r="X12" s="712"/>
      <c r="Y12" s="3201"/>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340"/>
      <c r="Q13" s="1529">
        <f t="shared" si="6"/>
        <v>111</v>
      </c>
      <c r="R13" s="710" t="s">
        <v>17</v>
      </c>
      <c r="S13" s="711">
        <f t="shared" si="0"/>
        <v>100</v>
      </c>
      <c r="T13" s="710" t="s">
        <v>17</v>
      </c>
      <c r="U13" s="711">
        <f t="shared" si="1"/>
        <v>100</v>
      </c>
      <c r="V13" s="710" t="s">
        <v>17</v>
      </c>
      <c r="W13" s="711">
        <f t="shared" si="2"/>
        <v>100</v>
      </c>
      <c r="X13" s="712"/>
      <c r="Y13" s="3201"/>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340"/>
      <c r="Q14" s="1529">
        <f t="shared" si="6"/>
        <v>111</v>
      </c>
      <c r="R14" s="710" t="s">
        <v>17</v>
      </c>
      <c r="S14" s="711">
        <f t="shared" si="0"/>
        <v>100</v>
      </c>
      <c r="T14" s="710" t="s">
        <v>17</v>
      </c>
      <c r="U14" s="711">
        <f t="shared" si="1"/>
        <v>100</v>
      </c>
      <c r="V14" s="710" t="s">
        <v>17</v>
      </c>
      <c r="W14" s="711">
        <f t="shared" si="2"/>
        <v>100</v>
      </c>
      <c r="X14" s="712"/>
      <c r="Y14" s="3201"/>
      <c r="Z14" s="55">
        <f t="shared" si="7"/>
        <v>111</v>
      </c>
      <c r="AA14" s="713">
        <f t="shared" si="3"/>
        <v>1</v>
      </c>
      <c r="AB14" s="713">
        <f t="shared" si="4"/>
        <v>1</v>
      </c>
      <c r="AC14" s="2147">
        <f t="shared" si="5"/>
        <v>1</v>
      </c>
    </row>
    <row r="15" spans="1:29" ht="15">
      <c r="A15" s="399" t="s">
        <v>2381</v>
      </c>
      <c r="B15" s="585" t="s">
        <v>2509</v>
      </c>
      <c r="C15" s="2149"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38" t="s">
        <v>2382</v>
      </c>
      <c r="Q15" s="1538" t="str">
        <f t="shared" si="6"/>
        <v>办公集聚程度</v>
      </c>
      <c r="R15" s="714" t="s">
        <v>17</v>
      </c>
      <c r="S15" s="715">
        <f t="shared" si="0"/>
        <v>100</v>
      </c>
      <c r="T15" s="714" t="s">
        <v>17</v>
      </c>
      <c r="U15" s="715">
        <f t="shared" si="1"/>
        <v>100</v>
      </c>
      <c r="V15" s="714" t="s">
        <v>17</v>
      </c>
      <c r="W15" s="715">
        <f t="shared" si="2"/>
        <v>100</v>
      </c>
      <c r="X15" s="1541"/>
      <c r="Y15" s="3331"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1"/>
      <c r="M16" s="2945"/>
      <c r="N16" s="2945"/>
      <c r="O16" s="2945"/>
      <c r="P16" s="3339"/>
      <c r="Q16" s="1538"/>
      <c r="R16" s="714"/>
      <c r="S16" s="715"/>
      <c r="T16" s="714"/>
      <c r="U16" s="715"/>
      <c r="V16" s="714"/>
      <c r="W16" s="715"/>
      <c r="X16" s="1541"/>
      <c r="Y16" s="3332"/>
      <c r="Z16" s="1542"/>
      <c r="AA16" s="1539">
        <v>1</v>
      </c>
      <c r="AB16" s="1539">
        <v>1</v>
      </c>
      <c r="AC16" s="2150">
        <v>1</v>
      </c>
    </row>
    <row r="17" spans="1:29" ht="15">
      <c r="A17" s="387"/>
      <c r="B17" s="587" t="s">
        <v>1946</v>
      </c>
      <c r="C17" s="2151"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39"/>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1"/>
      <c r="M18" s="2945"/>
      <c r="N18" s="2945"/>
      <c r="O18" s="2945"/>
      <c r="P18" s="3339"/>
      <c r="Q18" s="1538"/>
      <c r="R18" s="714"/>
      <c r="S18" s="715"/>
      <c r="T18" s="714"/>
      <c r="U18" s="715"/>
      <c r="V18" s="714"/>
      <c r="W18" s="715"/>
      <c r="X18" s="1541"/>
      <c r="Y18" s="3332"/>
      <c r="Z18" s="1542"/>
      <c r="AA18" s="1539">
        <v>1</v>
      </c>
      <c r="AB18" s="1539">
        <v>1</v>
      </c>
      <c r="AC18" s="2150">
        <v>1</v>
      </c>
    </row>
    <row r="19" spans="1:29" ht="15">
      <c r="A19" s="387"/>
      <c r="B19" s="587" t="s">
        <v>2510</v>
      </c>
      <c r="C19" s="215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39"/>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1"/>
      <c r="M20" s="2945"/>
      <c r="N20" s="2945"/>
      <c r="O20" s="2945"/>
      <c r="P20" s="3339"/>
      <c r="Q20" s="1538"/>
      <c r="R20" s="714"/>
      <c r="S20" s="715"/>
      <c r="T20" s="714"/>
      <c r="U20" s="715"/>
      <c r="V20" s="714"/>
      <c r="W20" s="715"/>
      <c r="X20" s="1541"/>
      <c r="Y20" s="3332"/>
      <c r="Z20" s="1542"/>
      <c r="AA20" s="1539">
        <v>1</v>
      </c>
      <c r="AB20" s="1539">
        <v>1</v>
      </c>
      <c r="AC20" s="2150">
        <v>1</v>
      </c>
    </row>
    <row r="21" spans="1:29" ht="15">
      <c r="A21" s="387"/>
      <c r="B21" s="589" t="s">
        <v>2511</v>
      </c>
      <c r="C21" s="215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39"/>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1"/>
      <c r="M22" s="2945"/>
      <c r="N22" s="2945"/>
      <c r="O22" s="2945"/>
      <c r="P22" s="3339"/>
      <c r="Q22" s="1538"/>
      <c r="R22" s="714"/>
      <c r="S22" s="715"/>
      <c r="T22" s="714"/>
      <c r="U22" s="715"/>
      <c r="V22" s="714"/>
      <c r="W22" s="715"/>
      <c r="X22" s="1541"/>
      <c r="Y22" s="3332"/>
      <c r="Z22" s="1542"/>
      <c r="AA22" s="1539">
        <v>1</v>
      </c>
      <c r="AB22" s="1539">
        <v>1</v>
      </c>
      <c r="AC22" s="2150">
        <v>1</v>
      </c>
    </row>
    <row r="23" spans="1:29" ht="15">
      <c r="A23" s="387"/>
      <c r="B23" s="587" t="s">
        <v>2512</v>
      </c>
      <c r="C23" s="2151"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39"/>
      <c r="Q23" s="1538" t="str">
        <f>B23</f>
        <v>环境质量</v>
      </c>
      <c r="R23" s="714" t="s">
        <v>17</v>
      </c>
      <c r="S23" s="715">
        <f>F23</f>
        <v>100</v>
      </c>
      <c r="T23" s="714" t="s">
        <v>17</v>
      </c>
      <c r="U23" s="715">
        <f>H23</f>
        <v>100</v>
      </c>
      <c r="V23" s="714" t="s">
        <v>17</v>
      </c>
      <c r="W23" s="715">
        <f>J23</f>
        <v>100</v>
      </c>
      <c r="X23" s="1541"/>
      <c r="Y23" s="3332"/>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1"/>
      <c r="M24" s="2945"/>
      <c r="N24" s="2945"/>
      <c r="O24" s="2945"/>
      <c r="P24" s="3339"/>
      <c r="Q24" s="1538"/>
      <c r="R24" s="714"/>
      <c r="S24" s="715"/>
      <c r="T24" s="714"/>
      <c r="U24" s="715"/>
      <c r="V24" s="714"/>
      <c r="W24" s="715"/>
      <c r="X24" s="1541"/>
      <c r="Y24" s="3332"/>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1"/>
      <c r="M25" s="2945"/>
      <c r="N25" s="2945"/>
      <c r="O25" s="2945"/>
      <c r="P25" s="3339"/>
      <c r="Q25" s="1538" t="str">
        <f>B25</f>
        <v>毗邻道路的类型与等级</v>
      </c>
      <c r="R25" s="714" t="s">
        <v>17</v>
      </c>
      <c r="S25" s="715">
        <f>F25</f>
        <v>100</v>
      </c>
      <c r="T25" s="714" t="s">
        <v>17</v>
      </c>
      <c r="U25" s="715">
        <f>H25</f>
        <v>100</v>
      </c>
      <c r="V25" s="714" t="s">
        <v>17</v>
      </c>
      <c r="W25" s="715">
        <f>J25</f>
        <v>100</v>
      </c>
      <c r="X25" s="1541"/>
      <c r="Y25" s="3332"/>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1"/>
      <c r="M26" s="2945"/>
      <c r="N26" s="2945"/>
      <c r="O26" s="2945"/>
      <c r="P26" s="3339"/>
      <c r="Q26" s="1538"/>
      <c r="R26" s="714"/>
      <c r="S26" s="715"/>
      <c r="T26" s="714"/>
      <c r="U26" s="715"/>
      <c r="V26" s="714"/>
      <c r="W26" s="715"/>
      <c r="X26" s="1541"/>
      <c r="Y26" s="3332"/>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39"/>
      <c r="Q27" s="1538" t="str">
        <f t="shared" ref="Q27:Q47" si="11">B27</f>
        <v>楼层</v>
      </c>
      <c r="R27" s="714" t="s">
        <v>17</v>
      </c>
      <c r="S27" s="715">
        <f>F27</f>
        <v>100</v>
      </c>
      <c r="T27" s="714" t="s">
        <v>17</v>
      </c>
      <c r="U27" s="715">
        <f>H27</f>
        <v>100</v>
      </c>
      <c r="V27" s="714" t="s">
        <v>17</v>
      </c>
      <c r="W27" s="715">
        <f>J27</f>
        <v>100</v>
      </c>
      <c r="X27" s="1541"/>
      <c r="Y27" s="3332"/>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339"/>
      <c r="Q28" s="1529" t="str">
        <f t="shared" si="11"/>
        <v>朝向</v>
      </c>
      <c r="R28" s="710" t="s">
        <v>17</v>
      </c>
      <c r="S28" s="711">
        <f>F28</f>
        <v>100</v>
      </c>
      <c r="T28" s="710" t="s">
        <v>17</v>
      </c>
      <c r="U28" s="711">
        <f>H28</f>
        <v>100</v>
      </c>
      <c r="V28" s="710" t="s">
        <v>17</v>
      </c>
      <c r="W28" s="711">
        <f>J28</f>
        <v>100</v>
      </c>
      <c r="X28" s="712"/>
      <c r="Y28" s="3332"/>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1"/>
      <c r="M29" s="2945"/>
      <c r="N29" s="2945"/>
      <c r="O29" s="2945"/>
      <c r="P29" s="3339"/>
      <c r="Q29" s="1538">
        <f t="shared" si="11"/>
        <v>111</v>
      </c>
      <c r="R29" s="714" t="s">
        <v>17</v>
      </c>
      <c r="S29" s="715">
        <f t="shared" ref="S29:S47" si="12">F29</f>
        <v>100</v>
      </c>
      <c r="T29" s="714" t="s">
        <v>17</v>
      </c>
      <c r="U29" s="715">
        <f t="shared" ref="U29:U47" si="13">H29</f>
        <v>100</v>
      </c>
      <c r="V29" s="714" t="s">
        <v>17</v>
      </c>
      <c r="W29" s="715">
        <f t="shared" ref="W29:W47" si="14">J29</f>
        <v>100</v>
      </c>
      <c r="X29" s="1541"/>
      <c r="Y29" s="3332"/>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339"/>
      <c r="Q30" s="1538">
        <f t="shared" si="11"/>
        <v>111</v>
      </c>
      <c r="R30" s="714" t="s">
        <v>17</v>
      </c>
      <c r="S30" s="715">
        <f t="shared" si="12"/>
        <v>100</v>
      </c>
      <c r="T30" s="714" t="s">
        <v>17</v>
      </c>
      <c r="U30" s="715">
        <f t="shared" si="13"/>
        <v>100</v>
      </c>
      <c r="V30" s="714" t="s">
        <v>17</v>
      </c>
      <c r="W30" s="715">
        <f t="shared" si="14"/>
        <v>100</v>
      </c>
      <c r="X30" s="1541"/>
      <c r="Y30" s="3332"/>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339"/>
      <c r="Q31" s="1538">
        <f t="shared" si="11"/>
        <v>111</v>
      </c>
      <c r="R31" s="714" t="s">
        <v>17</v>
      </c>
      <c r="S31" s="715">
        <f t="shared" si="12"/>
        <v>100</v>
      </c>
      <c r="T31" s="714" t="s">
        <v>17</v>
      </c>
      <c r="U31" s="715">
        <f t="shared" si="13"/>
        <v>100</v>
      </c>
      <c r="V31" s="714" t="s">
        <v>17</v>
      </c>
      <c r="W31" s="715">
        <f t="shared" si="14"/>
        <v>100</v>
      </c>
      <c r="X31" s="1541"/>
      <c r="Y31" s="3332"/>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339"/>
      <c r="Q32" s="1538">
        <f t="shared" si="11"/>
        <v>111</v>
      </c>
      <c r="R32" s="714" t="s">
        <v>17</v>
      </c>
      <c r="S32" s="715">
        <f t="shared" si="12"/>
        <v>100</v>
      </c>
      <c r="T32" s="714" t="s">
        <v>17</v>
      </c>
      <c r="U32" s="715">
        <f t="shared" si="13"/>
        <v>100</v>
      </c>
      <c r="V32" s="714" t="s">
        <v>17</v>
      </c>
      <c r="W32" s="715">
        <f t="shared" si="14"/>
        <v>100</v>
      </c>
      <c r="X32" s="1541"/>
      <c r="Y32" s="3332"/>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333" t="s">
        <v>2387</v>
      </c>
      <c r="Q33" s="1538" t="str">
        <f t="shared" si="11"/>
        <v>建筑类型</v>
      </c>
      <c r="R33" s="714" t="s">
        <v>17</v>
      </c>
      <c r="S33" s="715">
        <f t="shared" si="12"/>
        <v>100</v>
      </c>
      <c r="T33" s="714" t="s">
        <v>17</v>
      </c>
      <c r="U33" s="715">
        <f t="shared" si="13"/>
        <v>100</v>
      </c>
      <c r="V33" s="714" t="s">
        <v>17</v>
      </c>
      <c r="W33" s="715">
        <f t="shared" si="14"/>
        <v>100</v>
      </c>
      <c r="X33" s="1541"/>
      <c r="Y33" s="3336"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34"/>
      <c r="Q34" s="716" t="str">
        <f t="shared" si="11"/>
        <v>项目建筑规模</v>
      </c>
      <c r="R34" s="717" t="s">
        <v>17</v>
      </c>
      <c r="S34" s="718" t="e">
        <f t="shared" si="12"/>
        <v>#N/A</v>
      </c>
      <c r="T34" s="717" t="s">
        <v>17</v>
      </c>
      <c r="U34" s="718" t="e">
        <f t="shared" si="13"/>
        <v>#N/A</v>
      </c>
      <c r="V34" s="717" t="s">
        <v>17</v>
      </c>
      <c r="W34" s="718" t="e">
        <f t="shared" si="14"/>
        <v>#N/A</v>
      </c>
      <c r="X34" s="719"/>
      <c r="Y34" s="3336"/>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34"/>
      <c r="Q35" s="1538" t="str">
        <f t="shared" si="11"/>
        <v>建筑结构</v>
      </c>
      <c r="R35" s="714" t="s">
        <v>17</v>
      </c>
      <c r="S35" s="715">
        <f t="shared" si="12"/>
        <v>100</v>
      </c>
      <c r="T35" s="714" t="s">
        <v>17</v>
      </c>
      <c r="U35" s="715">
        <f t="shared" si="13"/>
        <v>100</v>
      </c>
      <c r="V35" s="714" t="s">
        <v>17</v>
      </c>
      <c r="W35" s="715">
        <f t="shared" si="14"/>
        <v>100</v>
      </c>
      <c r="X35" s="1541"/>
      <c r="Y35" s="3336"/>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34"/>
      <c r="Q36" s="1538" t="str">
        <f t="shared" si="11"/>
        <v>公共部分装修</v>
      </c>
      <c r="R36" s="714" t="s">
        <v>17</v>
      </c>
      <c r="S36" s="715">
        <f t="shared" si="12"/>
        <v>100</v>
      </c>
      <c r="T36" s="714" t="s">
        <v>17</v>
      </c>
      <c r="U36" s="715">
        <f t="shared" si="13"/>
        <v>100</v>
      </c>
      <c r="V36" s="714" t="s">
        <v>17</v>
      </c>
      <c r="W36" s="715">
        <f t="shared" si="14"/>
        <v>100</v>
      </c>
      <c r="X36" s="1541"/>
      <c r="Y36" s="3336"/>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34"/>
      <c r="Q37" s="1538" t="str">
        <f t="shared" si="11"/>
        <v>成新度</v>
      </c>
      <c r="R37" s="714" t="s">
        <v>17</v>
      </c>
      <c r="S37" s="715" t="e">
        <f t="shared" si="12"/>
        <v>#N/A</v>
      </c>
      <c r="T37" s="714" t="s">
        <v>17</v>
      </c>
      <c r="U37" s="715" t="e">
        <f t="shared" si="13"/>
        <v>#N/A</v>
      </c>
      <c r="V37" s="714" t="s">
        <v>17</v>
      </c>
      <c r="W37" s="715" t="e">
        <f t="shared" si="14"/>
        <v>#N/A</v>
      </c>
      <c r="X37" s="1541"/>
      <c r="Y37" s="3336"/>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4"/>
      <c r="Q38" s="1529" t="str">
        <f t="shared" si="11"/>
        <v>写字楼等级</v>
      </c>
      <c r="R38" s="710" t="s">
        <v>17</v>
      </c>
      <c r="S38" s="711">
        <f t="shared" si="12"/>
        <v>100</v>
      </c>
      <c r="T38" s="710" t="s">
        <v>17</v>
      </c>
      <c r="U38" s="711">
        <f t="shared" si="13"/>
        <v>100</v>
      </c>
      <c r="V38" s="710" t="s">
        <v>17</v>
      </c>
      <c r="W38" s="711">
        <f t="shared" si="14"/>
        <v>100</v>
      </c>
      <c r="X38" s="712"/>
      <c r="Y38" s="3336"/>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34" t="s">
        <v>2387</v>
      </c>
      <c r="Q39" s="1538" t="str">
        <f t="shared" si="11"/>
        <v>物业管理</v>
      </c>
      <c r="R39" s="714" t="s">
        <v>17</v>
      </c>
      <c r="S39" s="715">
        <f t="shared" si="12"/>
        <v>100</v>
      </c>
      <c r="T39" s="714" t="s">
        <v>17</v>
      </c>
      <c r="U39" s="715">
        <f t="shared" si="13"/>
        <v>100</v>
      </c>
      <c r="V39" s="714" t="s">
        <v>17</v>
      </c>
      <c r="W39" s="715">
        <f t="shared" si="14"/>
        <v>100</v>
      </c>
      <c r="X39" s="1541"/>
      <c r="Y39" s="3336"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4"/>
      <c r="Q40" s="1538" t="str">
        <f t="shared" si="11"/>
        <v>市政基础设施</v>
      </c>
      <c r="R40" s="714" t="s">
        <v>17</v>
      </c>
      <c r="S40" s="715">
        <f t="shared" si="12"/>
        <v>100</v>
      </c>
      <c r="T40" s="714" t="s">
        <v>17</v>
      </c>
      <c r="U40" s="715">
        <f t="shared" si="13"/>
        <v>100</v>
      </c>
      <c r="V40" s="714" t="s">
        <v>17</v>
      </c>
      <c r="W40" s="715">
        <f t="shared" si="14"/>
        <v>100</v>
      </c>
      <c r="X40" s="1541"/>
      <c r="Y40" s="3336"/>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34"/>
      <c r="Q41" s="1538" t="str">
        <f t="shared" si="11"/>
        <v>层高</v>
      </c>
      <c r="R41" s="714" t="s">
        <v>17</v>
      </c>
      <c r="S41" s="715">
        <f t="shared" si="12"/>
        <v>100</v>
      </c>
      <c r="T41" s="714" t="s">
        <v>17</v>
      </c>
      <c r="U41" s="715">
        <f t="shared" si="13"/>
        <v>100</v>
      </c>
      <c r="V41" s="714" t="s">
        <v>17</v>
      </c>
      <c r="W41" s="715">
        <f t="shared" si="14"/>
        <v>100</v>
      </c>
      <c r="X41" s="1541"/>
      <c r="Y41" s="3336"/>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4"/>
      <c r="Q42" s="716" t="str">
        <f t="shared" si="11"/>
        <v>单套建筑面积</v>
      </c>
      <c r="R42" s="717" t="s">
        <v>17</v>
      </c>
      <c r="S42" s="718">
        <f t="shared" si="12"/>
        <v>100</v>
      </c>
      <c r="T42" s="717" t="s">
        <v>17</v>
      </c>
      <c r="U42" s="718">
        <f t="shared" si="13"/>
        <v>100</v>
      </c>
      <c r="V42" s="717" t="s">
        <v>17</v>
      </c>
      <c r="W42" s="718">
        <f t="shared" si="14"/>
        <v>100</v>
      </c>
      <c r="X42" s="719"/>
      <c r="Y42" s="3336"/>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34"/>
      <c r="Q43" s="1538" t="str">
        <f t="shared" si="11"/>
        <v>内部装修</v>
      </c>
      <c r="R43" s="714" t="s">
        <v>17</v>
      </c>
      <c r="S43" s="715">
        <f t="shared" si="12"/>
        <v>100</v>
      </c>
      <c r="T43" s="714" t="s">
        <v>17</v>
      </c>
      <c r="U43" s="715">
        <f t="shared" si="13"/>
        <v>100</v>
      </c>
      <c r="V43" s="714" t="s">
        <v>17</v>
      </c>
      <c r="W43" s="715">
        <f t="shared" si="14"/>
        <v>100</v>
      </c>
      <c r="X43" s="1541"/>
      <c r="Y43" s="3336"/>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334"/>
      <c r="Q44" s="1538" t="str">
        <f t="shared" si="11"/>
        <v>内部装修维护情况</v>
      </c>
      <c r="R44" s="714" t="s">
        <v>17</v>
      </c>
      <c r="S44" s="715">
        <f t="shared" si="12"/>
        <v>100</v>
      </c>
      <c r="T44" s="714" t="s">
        <v>17</v>
      </c>
      <c r="U44" s="715">
        <f t="shared" si="13"/>
        <v>100</v>
      </c>
      <c r="V44" s="714" t="s">
        <v>17</v>
      </c>
      <c r="W44" s="715">
        <f t="shared" si="14"/>
        <v>100</v>
      </c>
      <c r="X44" s="1541"/>
      <c r="Y44" s="3336"/>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4"/>
      <c r="Q45" s="1529">
        <f t="shared" si="11"/>
        <v>111</v>
      </c>
      <c r="R45" s="710" t="s">
        <v>17</v>
      </c>
      <c r="S45" s="711">
        <f t="shared" si="12"/>
        <v>100</v>
      </c>
      <c r="T45" s="710" t="s">
        <v>17</v>
      </c>
      <c r="U45" s="711">
        <f t="shared" si="13"/>
        <v>100</v>
      </c>
      <c r="V45" s="710" t="s">
        <v>17</v>
      </c>
      <c r="W45" s="711">
        <f t="shared" si="14"/>
        <v>100</v>
      </c>
      <c r="X45" s="712"/>
      <c r="Y45" s="3336"/>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4"/>
      <c r="Q46" s="1538">
        <f t="shared" si="11"/>
        <v>111</v>
      </c>
      <c r="R46" s="714" t="s">
        <v>17</v>
      </c>
      <c r="S46" s="715">
        <f t="shared" si="12"/>
        <v>100</v>
      </c>
      <c r="T46" s="714" t="s">
        <v>17</v>
      </c>
      <c r="U46" s="715">
        <f t="shared" si="13"/>
        <v>100</v>
      </c>
      <c r="V46" s="714" t="s">
        <v>17</v>
      </c>
      <c r="W46" s="715">
        <f t="shared" si="14"/>
        <v>100</v>
      </c>
      <c r="X46" s="1541"/>
      <c r="Y46" s="3336"/>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35"/>
      <c r="Q47" s="1538">
        <f t="shared" si="11"/>
        <v>111</v>
      </c>
      <c r="R47" s="714" t="s">
        <v>17</v>
      </c>
      <c r="S47" s="715">
        <f t="shared" si="12"/>
        <v>100</v>
      </c>
      <c r="T47" s="714" t="s">
        <v>17</v>
      </c>
      <c r="U47" s="715">
        <f t="shared" si="13"/>
        <v>100</v>
      </c>
      <c r="V47" s="714" t="s">
        <v>17</v>
      </c>
      <c r="W47" s="715">
        <f t="shared" si="14"/>
        <v>100</v>
      </c>
      <c r="X47" s="1541"/>
      <c r="Y47" s="3337"/>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3"/>
      <c r="M48" s="2945"/>
      <c r="N48" s="2945"/>
      <c r="O48" s="2945"/>
      <c r="P48" s="3340" t="str">
        <f>A48</f>
        <v>成交单价（元/平方米）</v>
      </c>
      <c r="Q48" s="3329"/>
      <c r="R48" s="3330">
        <f>E48</f>
        <v>0</v>
      </c>
      <c r="S48" s="3330"/>
      <c r="T48" s="3330">
        <f>G48</f>
        <v>0</v>
      </c>
      <c r="U48" s="3330"/>
      <c r="V48" s="3330">
        <f>I48</f>
        <v>0</v>
      </c>
      <c r="W48" s="3330"/>
      <c r="X48" s="405"/>
      <c r="Y48" s="721"/>
      <c r="Z48" s="405"/>
      <c r="AA48" s="405"/>
      <c r="AB48" s="405"/>
      <c r="AC48" s="586"/>
    </row>
    <row r="49" spans="1:29" ht="15.75" thickBot="1">
      <c r="A49" s="445" t="s">
        <v>2491</v>
      </c>
      <c r="B49" s="446"/>
      <c r="C49" s="1322" t="e">
        <f>R50</f>
        <v>#DIV/0!</v>
      </c>
      <c r="D49" s="2540" t="s">
        <v>2880</v>
      </c>
      <c r="E49" s="1323" t="e">
        <f>R49</f>
        <v>#DIV/0!</v>
      </c>
      <c r="F49" s="2541"/>
      <c r="G49" s="1322" t="e">
        <f>T49</f>
        <v>#DIV/0!</v>
      </c>
      <c r="H49" s="2541"/>
      <c r="I49" s="1323" t="e">
        <f>V49</f>
        <v>#DIV/0!</v>
      </c>
      <c r="J49" s="2541"/>
      <c r="K49" s="2543">
        <f>F49+H49+J49</f>
        <v>0</v>
      </c>
      <c r="L49" s="2953"/>
      <c r="M49" s="2945"/>
      <c r="N49" s="2945"/>
      <c r="O49" s="2945"/>
      <c r="P49" s="3340" t="str">
        <f>A49</f>
        <v>比较价值（元/平方米）</v>
      </c>
      <c r="Q49" s="3329"/>
      <c r="R49" s="3330" t="e">
        <f>IF(F1="售价",ROUND(PRODUCT(R48,AA7:AA47),0),ROUND(PRODUCT(R48,AA7:AA47),1))</f>
        <v>#DIV/0!</v>
      </c>
      <c r="S49" s="3330"/>
      <c r="T49" s="3330" t="e">
        <f>IF(F1="售价",ROUND(PRODUCT(T48,AB7:AB47),0),ROUND(PRODUCT(T48,AB7:AB47),1))</f>
        <v>#DIV/0!</v>
      </c>
      <c r="U49" s="3330"/>
      <c r="V49" s="3330" t="e">
        <f>IF(F1="售价",ROUND(PRODUCT(V48,AC7:AC47),0),ROUND(PRODUCT(V48,AC7:AC47),1))</f>
        <v>#DIV/0!</v>
      </c>
      <c r="W49" s="3330"/>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3"/>
      <c r="M50" s="2945"/>
      <c r="N50" s="2945"/>
      <c r="O50" s="2945"/>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2496</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2407</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2372</v>
      </c>
      <c r="B62" s="467"/>
      <c r="C62" s="479" t="s">
        <v>2474</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2410</v>
      </c>
      <c r="B64" s="485" t="s">
        <v>2376</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2381</v>
      </c>
      <c r="B77" s="485" t="s">
        <v>2519</v>
      </c>
      <c r="C77" s="530" t="s">
        <v>2419</v>
      </c>
      <c r="D77" s="530" t="s">
        <v>2420</v>
      </c>
      <c r="E77" s="530" t="s">
        <v>2421</v>
      </c>
      <c r="F77" s="530" t="s">
        <v>2422</v>
      </c>
      <c r="G77" s="530" t="s">
        <v>2423</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2424</v>
      </c>
      <c r="C79" s="535" t="s">
        <v>2419</v>
      </c>
      <c r="D79" s="535" t="s">
        <v>2420</v>
      </c>
      <c r="E79" s="535" t="s">
        <v>2421</v>
      </c>
      <c r="F79" s="535" t="s">
        <v>2422</v>
      </c>
      <c r="G79" s="535" t="s">
        <v>2423</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2425</v>
      </c>
      <c r="C81" s="535" t="s">
        <v>2419</v>
      </c>
      <c r="D81" s="535" t="s">
        <v>2420</v>
      </c>
      <c r="E81" s="535" t="s">
        <v>2421</v>
      </c>
      <c r="F81" s="535" t="s">
        <v>2422</v>
      </c>
      <c r="G81" s="535" t="s">
        <v>2423</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2511</v>
      </c>
      <c r="C83" s="616" t="s">
        <v>2497</v>
      </c>
      <c r="D83" s="616" t="s">
        <v>2498</v>
      </c>
      <c r="E83" s="616" t="s">
        <v>2499</v>
      </c>
      <c r="F83" s="616" t="s">
        <v>2500</v>
      </c>
      <c r="G83" s="616" t="s">
        <v>2501</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2520</v>
      </c>
      <c r="C85" s="535" t="s">
        <v>2419</v>
      </c>
      <c r="D85" s="535" t="s">
        <v>2420</v>
      </c>
      <c r="E85" s="535" t="s">
        <v>2421</v>
      </c>
      <c r="F85" s="535" t="s">
        <v>2422</v>
      </c>
      <c r="G85" s="535" t="s">
        <v>2423</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2521</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2385</v>
      </c>
      <c r="B101" s="485" t="s">
        <v>2434</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2436</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2438</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2522</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2439</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2440</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2523</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2506</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2442</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11966.17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44" t="s">
        <v>2468</v>
      </c>
      <c r="D4" s="3345"/>
      <c r="E4" s="3346" t="s">
        <v>2469</v>
      </c>
      <c r="F4" s="3347"/>
      <c r="G4" s="3344" t="s">
        <v>2470</v>
      </c>
      <c r="H4" s="3345"/>
      <c r="I4" s="3344" t="s">
        <v>2471</v>
      </c>
      <c r="J4" s="3345"/>
      <c r="K4" s="567" t="s">
        <v>2472</v>
      </c>
      <c r="L4" s="1044"/>
      <c r="M4" s="1045"/>
      <c r="N4" s="1045"/>
      <c r="O4" s="1045"/>
      <c r="P4" s="3348" t="s">
        <v>2473</v>
      </c>
      <c r="Q4" s="3349"/>
      <c r="R4" s="3354" t="s">
        <v>2469</v>
      </c>
      <c r="S4" s="3355"/>
      <c r="T4" s="3354" t="s">
        <v>2470</v>
      </c>
      <c r="U4" s="3355"/>
      <c r="V4" s="3360" t="s">
        <v>2471</v>
      </c>
      <c r="W4" s="3360"/>
      <c r="X4" s="1541"/>
      <c r="Y4" s="3354" t="s">
        <v>2473</v>
      </c>
      <c r="Z4" s="3355"/>
      <c r="AA4" s="3341" t="s">
        <v>2469</v>
      </c>
      <c r="AB4" s="3342" t="s">
        <v>2470</v>
      </c>
      <c r="AC4" s="3341" t="s">
        <v>2471</v>
      </c>
    </row>
    <row r="5" spans="1:29" ht="15">
      <c r="A5" s="364"/>
      <c r="B5" s="365"/>
      <c r="C5" s="3363" t="s">
        <v>2364</v>
      </c>
      <c r="D5" s="3364"/>
      <c r="E5" s="3370" t="s">
        <v>2365</v>
      </c>
      <c r="F5" s="3371"/>
      <c r="G5" s="3363" t="s">
        <v>2366</v>
      </c>
      <c r="H5" s="3364"/>
      <c r="I5" s="3363" t="s">
        <v>2367</v>
      </c>
      <c r="J5" s="3364"/>
      <c r="K5" s="567"/>
      <c r="L5" s="1044"/>
      <c r="M5" s="1045"/>
      <c r="N5" s="1045"/>
      <c r="O5" s="1045"/>
      <c r="P5" s="3350"/>
      <c r="Q5" s="3351"/>
      <c r="R5" s="3356"/>
      <c r="S5" s="3357"/>
      <c r="T5" s="3356"/>
      <c r="U5" s="3357"/>
      <c r="V5" s="3360"/>
      <c r="W5" s="3360"/>
      <c r="X5" s="1541"/>
      <c r="Y5" s="3356"/>
      <c r="Z5" s="3357"/>
      <c r="AA5" s="3342"/>
      <c r="AB5" s="3342"/>
      <c r="AC5" s="3342"/>
    </row>
    <row r="6" spans="1:29" ht="15.75" thickBot="1">
      <c r="A6" s="366"/>
      <c r="B6" s="367"/>
      <c r="C6" s="3361" t="s">
        <v>2368</v>
      </c>
      <c r="D6" s="3362"/>
      <c r="E6" s="3368" t="s">
        <v>2368</v>
      </c>
      <c r="F6" s="3369"/>
      <c r="G6" s="3361" t="s">
        <v>2368</v>
      </c>
      <c r="H6" s="3362"/>
      <c r="I6" s="3361" t="s">
        <v>2368</v>
      </c>
      <c r="J6" s="3362"/>
      <c r="K6" s="567" t="s">
        <v>2369</v>
      </c>
      <c r="L6" s="1044"/>
      <c r="M6" s="1045"/>
      <c r="N6" s="1045"/>
      <c r="O6" s="1045"/>
      <c r="P6" s="3352"/>
      <c r="Q6" s="3353"/>
      <c r="R6" s="3356"/>
      <c r="S6" s="3357"/>
      <c r="T6" s="3358"/>
      <c r="U6" s="3359"/>
      <c r="V6" s="3360"/>
      <c r="W6" s="3360"/>
      <c r="X6" s="1541"/>
      <c r="Y6" s="3358"/>
      <c r="Z6" s="3359"/>
      <c r="AA6" s="3343"/>
      <c r="AB6" s="3343"/>
      <c r="AC6" s="3343"/>
    </row>
    <row r="7" spans="1:29" s="113" customFormat="1" ht="15.75" thickBot="1">
      <c r="A7" s="368" t="s">
        <v>2370</v>
      </c>
      <c r="B7" s="369"/>
      <c r="C7" s="370">
        <f>'数据-取费表'!B2</f>
        <v>44218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65" t="s">
        <v>2371</v>
      </c>
      <c r="Q7" s="3367"/>
      <c r="R7" s="710" t="s">
        <v>17</v>
      </c>
      <c r="S7" s="711">
        <f t="shared" ref="S7:S15" si="0">F7</f>
        <v>0</v>
      </c>
      <c r="T7" s="710" t="s">
        <v>17</v>
      </c>
      <c r="U7" s="711">
        <f t="shared" ref="U7:U15" si="1">H7</f>
        <v>0</v>
      </c>
      <c r="V7" s="710" t="s">
        <v>17</v>
      </c>
      <c r="W7" s="711">
        <f t="shared" ref="W7:W15" si="2">J7</f>
        <v>0</v>
      </c>
      <c r="X7" s="712"/>
      <c r="Y7" s="3365" t="s">
        <v>2371</v>
      </c>
      <c r="Z7" s="3366"/>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65" t="s">
        <v>2374</v>
      </c>
      <c r="Q8" s="3366"/>
      <c r="R8" s="710" t="s">
        <v>17</v>
      </c>
      <c r="S8" s="711">
        <f t="shared" si="0"/>
        <v>0</v>
      </c>
      <c r="T8" s="710" t="s">
        <v>17</v>
      </c>
      <c r="U8" s="711">
        <f t="shared" si="1"/>
        <v>0</v>
      </c>
      <c r="V8" s="710" t="s">
        <v>17</v>
      </c>
      <c r="W8" s="711">
        <f t="shared" si="2"/>
        <v>0</v>
      </c>
      <c r="X8" s="712"/>
      <c r="Y8" s="3365" t="s">
        <v>2374</v>
      </c>
      <c r="Z8" s="3366"/>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9" t="s">
        <v>2377</v>
      </c>
      <c r="Q9" s="1529" t="str">
        <f t="shared" ref="Q9:Q15" si="6">B9</f>
        <v>用途</v>
      </c>
      <c r="R9" s="710" t="s">
        <v>17</v>
      </c>
      <c r="S9" s="711">
        <f t="shared" si="0"/>
        <v>100</v>
      </c>
      <c r="T9" s="710" t="s">
        <v>17</v>
      </c>
      <c r="U9" s="711">
        <f t="shared" si="1"/>
        <v>100</v>
      </c>
      <c r="V9" s="710" t="s">
        <v>17</v>
      </c>
      <c r="W9" s="711">
        <f t="shared" si="2"/>
        <v>100</v>
      </c>
      <c r="X9" s="712"/>
      <c r="Y9" s="320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9"/>
      <c r="Q10" s="1529" t="str">
        <f t="shared" si="6"/>
        <v>土地使用年限（年）</v>
      </c>
      <c r="R10" s="710" t="s">
        <v>17</v>
      </c>
      <c r="S10" s="711">
        <f t="shared" si="0"/>
        <v>100</v>
      </c>
      <c r="T10" s="710" t="s">
        <v>17</v>
      </c>
      <c r="U10" s="711">
        <f t="shared" si="1"/>
        <v>100</v>
      </c>
      <c r="V10" s="710" t="s">
        <v>17</v>
      </c>
      <c r="W10" s="711">
        <f t="shared" si="2"/>
        <v>100</v>
      </c>
      <c r="X10" s="712"/>
      <c r="Y10" s="3201"/>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9"/>
      <c r="Q11" s="1529" t="str">
        <f t="shared" si="6"/>
        <v>容积率</v>
      </c>
      <c r="R11" s="710" t="s">
        <v>17</v>
      </c>
      <c r="S11" s="711" t="e">
        <f t="shared" si="0"/>
        <v>#N/A</v>
      </c>
      <c r="T11" s="710" t="s">
        <v>17</v>
      </c>
      <c r="U11" s="711" t="e">
        <f t="shared" si="1"/>
        <v>#N/A</v>
      </c>
      <c r="V11" s="710" t="s">
        <v>17</v>
      </c>
      <c r="W11" s="711" t="e">
        <f t="shared" si="2"/>
        <v>#N/A</v>
      </c>
      <c r="X11" s="712"/>
      <c r="Y11" s="320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29"/>
      <c r="Q12" s="1529">
        <f t="shared" si="6"/>
        <v>111</v>
      </c>
      <c r="R12" s="710" t="s">
        <v>17</v>
      </c>
      <c r="S12" s="711">
        <f t="shared" si="0"/>
        <v>100</v>
      </c>
      <c r="T12" s="710" t="s">
        <v>17</v>
      </c>
      <c r="U12" s="711">
        <f t="shared" si="1"/>
        <v>100</v>
      </c>
      <c r="V12" s="710" t="s">
        <v>17</v>
      </c>
      <c r="W12" s="711">
        <f t="shared" si="2"/>
        <v>100</v>
      </c>
      <c r="X12" s="712"/>
      <c r="Y12" s="3201"/>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29"/>
      <c r="Q13" s="1529">
        <f t="shared" si="6"/>
        <v>111</v>
      </c>
      <c r="R13" s="710" t="s">
        <v>17</v>
      </c>
      <c r="S13" s="711">
        <f t="shared" si="0"/>
        <v>100</v>
      </c>
      <c r="T13" s="710" t="s">
        <v>17</v>
      </c>
      <c r="U13" s="711">
        <f t="shared" si="1"/>
        <v>100</v>
      </c>
      <c r="V13" s="710" t="s">
        <v>17</v>
      </c>
      <c r="W13" s="711">
        <f t="shared" si="2"/>
        <v>100</v>
      </c>
      <c r="X13" s="712"/>
      <c r="Y13" s="3201"/>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29"/>
      <c r="Q14" s="1529">
        <f t="shared" si="6"/>
        <v>111</v>
      </c>
      <c r="R14" s="710" t="s">
        <v>17</v>
      </c>
      <c r="S14" s="711">
        <f t="shared" si="0"/>
        <v>100</v>
      </c>
      <c r="T14" s="710" t="s">
        <v>17</v>
      </c>
      <c r="U14" s="711">
        <f t="shared" si="1"/>
        <v>100</v>
      </c>
      <c r="V14" s="710" t="s">
        <v>17</v>
      </c>
      <c r="W14" s="711">
        <f t="shared" si="2"/>
        <v>100</v>
      </c>
      <c r="X14" s="712"/>
      <c r="Y14" s="3201"/>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1" t="s">
        <v>2382</v>
      </c>
      <c r="Q15" s="1538" t="str">
        <f t="shared" si="6"/>
        <v>产业集聚程度</v>
      </c>
      <c r="R15" s="714" t="s">
        <v>17</v>
      </c>
      <c r="S15" s="715">
        <f t="shared" si="0"/>
        <v>100</v>
      </c>
      <c r="T15" s="714" t="s">
        <v>17</v>
      </c>
      <c r="U15" s="715">
        <f t="shared" si="1"/>
        <v>100</v>
      </c>
      <c r="V15" s="714" t="s">
        <v>17</v>
      </c>
      <c r="W15" s="715">
        <f t="shared" si="2"/>
        <v>100</v>
      </c>
      <c r="X15" s="1541"/>
      <c r="Y15" s="3331"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2"/>
      <c r="Q16" s="1538"/>
      <c r="R16" s="714"/>
      <c r="S16" s="715"/>
      <c r="T16" s="714"/>
      <c r="U16" s="715"/>
      <c r="V16" s="714"/>
      <c r="W16" s="715"/>
      <c r="X16" s="1541"/>
      <c r="Y16" s="3332"/>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2"/>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32"/>
      <c r="Q18" s="1538"/>
      <c r="R18" s="714"/>
      <c r="S18" s="715"/>
      <c r="T18" s="714"/>
      <c r="U18" s="715"/>
      <c r="V18" s="714"/>
      <c r="W18" s="715"/>
      <c r="X18" s="1541"/>
      <c r="Y18" s="3332"/>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2"/>
      <c r="Q19" s="1538" t="str">
        <f>B19</f>
        <v>公共配套设施</v>
      </c>
      <c r="R19" s="714" t="s">
        <v>17</v>
      </c>
      <c r="S19" s="715">
        <f>F19</f>
        <v>100</v>
      </c>
      <c r="T19" s="714" t="s">
        <v>17</v>
      </c>
      <c r="U19" s="715">
        <f>H19</f>
        <v>100</v>
      </c>
      <c r="V19" s="714" t="s">
        <v>17</v>
      </c>
      <c r="W19" s="715">
        <f>J19</f>
        <v>100</v>
      </c>
      <c r="X19" s="1541"/>
      <c r="Y19" s="3332"/>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32"/>
      <c r="Q20" s="1538"/>
      <c r="R20" s="714"/>
      <c r="S20" s="715"/>
      <c r="T20" s="714"/>
      <c r="U20" s="715"/>
      <c r="V20" s="714"/>
      <c r="W20" s="715"/>
      <c r="X20" s="1541"/>
      <c r="Y20" s="3332"/>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2"/>
      <c r="Q21" s="1538" t="str">
        <f>B21</f>
        <v>基础设施水平</v>
      </c>
      <c r="R21" s="714" t="s">
        <v>17</v>
      </c>
      <c r="S21" s="715">
        <f>F21</f>
        <v>100</v>
      </c>
      <c r="T21" s="714" t="s">
        <v>17</v>
      </c>
      <c r="U21" s="715">
        <f>H21</f>
        <v>100</v>
      </c>
      <c r="V21" s="714" t="s">
        <v>17</v>
      </c>
      <c r="W21" s="715">
        <f>J21</f>
        <v>100</v>
      </c>
      <c r="X21" s="1541"/>
      <c r="Y21" s="3332"/>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32"/>
      <c r="Q22" s="1538"/>
      <c r="R22" s="714"/>
      <c r="S22" s="715"/>
      <c r="T22" s="714"/>
      <c r="U22" s="715"/>
      <c r="V22" s="714"/>
      <c r="W22" s="715"/>
      <c r="X22" s="1541"/>
      <c r="Y22" s="3332"/>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2"/>
      <c r="Q23" s="1538" t="str">
        <f>B23</f>
        <v>环境质量</v>
      </c>
      <c r="R23" s="714" t="s">
        <v>17</v>
      </c>
      <c r="S23" s="715">
        <f>F23</f>
        <v>100</v>
      </c>
      <c r="T23" s="714" t="s">
        <v>17</v>
      </c>
      <c r="U23" s="715">
        <f>H23</f>
        <v>100</v>
      </c>
      <c r="V23" s="714" t="s">
        <v>17</v>
      </c>
      <c r="W23" s="715">
        <f>J23</f>
        <v>100</v>
      </c>
      <c r="X23" s="1541"/>
      <c r="Y23" s="3332"/>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32"/>
      <c r="Q24" s="1538"/>
      <c r="R24" s="714"/>
      <c r="S24" s="715"/>
      <c r="T24" s="714"/>
      <c r="U24" s="715"/>
      <c r="V24" s="714"/>
      <c r="W24" s="715"/>
      <c r="X24" s="1541"/>
      <c r="Y24" s="3332"/>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2"/>
      <c r="Q25" s="1538">
        <f>B25</f>
        <v>111</v>
      </c>
      <c r="R25" s="714" t="s">
        <v>17</v>
      </c>
      <c r="S25" s="715">
        <f>F25</f>
        <v>100</v>
      </c>
      <c r="T25" s="714" t="s">
        <v>17</v>
      </c>
      <c r="U25" s="715">
        <f>H25</f>
        <v>100</v>
      </c>
      <c r="V25" s="714" t="s">
        <v>17</v>
      </c>
      <c r="W25" s="715">
        <f>J25</f>
        <v>100</v>
      </c>
      <c r="X25" s="1541"/>
      <c r="Y25" s="3332"/>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2"/>
      <c r="Q26" s="1538">
        <f t="shared" ref="Q26:Q40" si="11">B26</f>
        <v>111</v>
      </c>
      <c r="R26" s="714" t="s">
        <v>17</v>
      </c>
      <c r="S26" s="715">
        <f>F26</f>
        <v>100</v>
      </c>
      <c r="T26" s="714" t="s">
        <v>17</v>
      </c>
      <c r="U26" s="715">
        <f>H26</f>
        <v>100</v>
      </c>
      <c r="V26" s="714" t="s">
        <v>17</v>
      </c>
      <c r="W26" s="715">
        <f>J26</f>
        <v>100</v>
      </c>
      <c r="X26" s="1541"/>
      <c r="Y26" s="3332"/>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2"/>
      <c r="Q27" s="1529">
        <f t="shared" si="11"/>
        <v>111</v>
      </c>
      <c r="R27" s="710" t="s">
        <v>17</v>
      </c>
      <c r="S27" s="711">
        <f>F27</f>
        <v>100</v>
      </c>
      <c r="T27" s="710" t="s">
        <v>17</v>
      </c>
      <c r="U27" s="711">
        <f>H27</f>
        <v>100</v>
      </c>
      <c r="V27" s="710" t="s">
        <v>17</v>
      </c>
      <c r="W27" s="711">
        <f>J27</f>
        <v>100</v>
      </c>
      <c r="X27" s="712"/>
      <c r="Y27" s="3332"/>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2"/>
      <c r="Q28" s="1538">
        <f t="shared" si="11"/>
        <v>111</v>
      </c>
      <c r="R28" s="714" t="s">
        <v>17</v>
      </c>
      <c r="S28" s="715">
        <f t="shared" ref="S28:S40" si="12">F28</f>
        <v>100</v>
      </c>
      <c r="T28" s="714" t="s">
        <v>17</v>
      </c>
      <c r="U28" s="715">
        <f t="shared" ref="U28:U40" si="13">H28</f>
        <v>100</v>
      </c>
      <c r="V28" s="714" t="s">
        <v>17</v>
      </c>
      <c r="W28" s="715">
        <f t="shared" ref="W28:W40" si="14">J28</f>
        <v>100</v>
      </c>
      <c r="X28" s="1541"/>
      <c r="Y28" s="3332"/>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7" t="s">
        <v>2387</v>
      </c>
      <c r="Q29" s="1538" t="str">
        <f t="shared" si="11"/>
        <v>建筑类型</v>
      </c>
      <c r="R29" s="714" t="s">
        <v>17</v>
      </c>
      <c r="S29" s="715">
        <f t="shared" si="12"/>
        <v>100</v>
      </c>
      <c r="T29" s="714" t="s">
        <v>17</v>
      </c>
      <c r="U29" s="715">
        <f t="shared" si="13"/>
        <v>100</v>
      </c>
      <c r="V29" s="714" t="s">
        <v>17</v>
      </c>
      <c r="W29" s="715">
        <f t="shared" si="14"/>
        <v>100</v>
      </c>
      <c r="X29" s="1541"/>
      <c r="Y29" s="3336"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6"/>
      <c r="Q30" s="716" t="str">
        <f t="shared" si="11"/>
        <v>项目建筑规模</v>
      </c>
      <c r="R30" s="717" t="s">
        <v>17</v>
      </c>
      <c r="S30" s="718" t="e">
        <f t="shared" si="12"/>
        <v>#N/A</v>
      </c>
      <c r="T30" s="717" t="s">
        <v>17</v>
      </c>
      <c r="U30" s="718" t="e">
        <f t="shared" si="13"/>
        <v>#N/A</v>
      </c>
      <c r="V30" s="717" t="s">
        <v>17</v>
      </c>
      <c r="W30" s="718" t="e">
        <f t="shared" si="14"/>
        <v>#N/A</v>
      </c>
      <c r="X30" s="719"/>
      <c r="Y30" s="3336"/>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6"/>
      <c r="Q31" s="1538" t="str">
        <f t="shared" si="11"/>
        <v>建筑结构</v>
      </c>
      <c r="R31" s="714" t="s">
        <v>17</v>
      </c>
      <c r="S31" s="715">
        <f t="shared" si="12"/>
        <v>100</v>
      </c>
      <c r="T31" s="714" t="s">
        <v>17</v>
      </c>
      <c r="U31" s="715">
        <f t="shared" si="13"/>
        <v>100</v>
      </c>
      <c r="V31" s="714" t="s">
        <v>17</v>
      </c>
      <c r="W31" s="715">
        <f t="shared" si="14"/>
        <v>100</v>
      </c>
      <c r="X31" s="1541"/>
      <c r="Y31" s="3336"/>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6"/>
      <c r="Q32" s="1538" t="str">
        <f t="shared" si="11"/>
        <v>公共部分装修</v>
      </c>
      <c r="R32" s="714" t="s">
        <v>17</v>
      </c>
      <c r="S32" s="715">
        <f t="shared" si="12"/>
        <v>100</v>
      </c>
      <c r="T32" s="714" t="s">
        <v>17</v>
      </c>
      <c r="U32" s="715">
        <f t="shared" si="13"/>
        <v>100</v>
      </c>
      <c r="V32" s="714" t="s">
        <v>17</v>
      </c>
      <c r="W32" s="715">
        <f t="shared" si="14"/>
        <v>100</v>
      </c>
      <c r="X32" s="1541"/>
      <c r="Y32" s="3336"/>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6"/>
      <c r="Q33" s="1538" t="str">
        <f t="shared" si="11"/>
        <v>成新度</v>
      </c>
      <c r="R33" s="714" t="s">
        <v>17</v>
      </c>
      <c r="S33" s="715" t="e">
        <f t="shared" si="12"/>
        <v>#N/A</v>
      </c>
      <c r="T33" s="714" t="s">
        <v>17</v>
      </c>
      <c r="U33" s="715" t="e">
        <f t="shared" si="13"/>
        <v>#N/A</v>
      </c>
      <c r="V33" s="714" t="s">
        <v>17</v>
      </c>
      <c r="W33" s="715" t="e">
        <f t="shared" si="14"/>
        <v>#N/A</v>
      </c>
      <c r="X33" s="1541"/>
      <c r="Y33" s="3336"/>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6"/>
      <c r="Q34" s="1529" t="str">
        <f t="shared" si="11"/>
        <v>物业管理</v>
      </c>
      <c r="R34" s="710" t="s">
        <v>17</v>
      </c>
      <c r="S34" s="711">
        <f t="shared" si="12"/>
        <v>100</v>
      </c>
      <c r="T34" s="710" t="s">
        <v>17</v>
      </c>
      <c r="U34" s="711">
        <f t="shared" si="13"/>
        <v>100</v>
      </c>
      <c r="V34" s="710" t="s">
        <v>17</v>
      </c>
      <c r="W34" s="711">
        <f t="shared" si="14"/>
        <v>100</v>
      </c>
      <c r="X34" s="712"/>
      <c r="Y34" s="3336"/>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6" t="s">
        <v>2387</v>
      </c>
      <c r="Q35" s="1538" t="str">
        <f t="shared" si="11"/>
        <v>市政基础设施</v>
      </c>
      <c r="R35" s="714" t="s">
        <v>17</v>
      </c>
      <c r="S35" s="715">
        <f t="shared" si="12"/>
        <v>100</v>
      </c>
      <c r="T35" s="714" t="s">
        <v>17</v>
      </c>
      <c r="U35" s="715">
        <f t="shared" si="13"/>
        <v>100</v>
      </c>
      <c r="V35" s="714" t="s">
        <v>17</v>
      </c>
      <c r="W35" s="715">
        <f t="shared" si="14"/>
        <v>100</v>
      </c>
      <c r="X35" s="1541"/>
      <c r="Y35" s="3336"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6"/>
      <c r="Q36" s="1538" t="str">
        <f t="shared" si="11"/>
        <v>内部装修</v>
      </c>
      <c r="R36" s="714" t="s">
        <v>17</v>
      </c>
      <c r="S36" s="715">
        <f t="shared" si="12"/>
        <v>100</v>
      </c>
      <c r="T36" s="714" t="s">
        <v>17</v>
      </c>
      <c r="U36" s="715">
        <f t="shared" si="13"/>
        <v>100</v>
      </c>
      <c r="V36" s="714" t="s">
        <v>17</v>
      </c>
      <c r="W36" s="715">
        <f t="shared" si="14"/>
        <v>100</v>
      </c>
      <c r="X36" s="1541"/>
      <c r="Y36" s="3336"/>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6"/>
      <c r="Q37" s="1538" t="str">
        <f t="shared" si="11"/>
        <v>内部装修状况</v>
      </c>
      <c r="R37" s="714" t="s">
        <v>17</v>
      </c>
      <c r="S37" s="715">
        <f t="shared" si="12"/>
        <v>100</v>
      </c>
      <c r="T37" s="714" t="s">
        <v>17</v>
      </c>
      <c r="U37" s="715">
        <f t="shared" si="13"/>
        <v>100</v>
      </c>
      <c r="V37" s="714" t="s">
        <v>17</v>
      </c>
      <c r="W37" s="715">
        <f t="shared" si="14"/>
        <v>100</v>
      </c>
      <c r="X37" s="1541"/>
      <c r="Y37" s="3336"/>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6"/>
      <c r="Q38" s="716">
        <f t="shared" si="11"/>
        <v>111</v>
      </c>
      <c r="R38" s="717" t="s">
        <v>17</v>
      </c>
      <c r="S38" s="718">
        <f t="shared" si="12"/>
        <v>100</v>
      </c>
      <c r="T38" s="717" t="s">
        <v>17</v>
      </c>
      <c r="U38" s="718">
        <f t="shared" si="13"/>
        <v>100</v>
      </c>
      <c r="V38" s="717" t="s">
        <v>17</v>
      </c>
      <c r="W38" s="718">
        <f t="shared" si="14"/>
        <v>100</v>
      </c>
      <c r="X38" s="719"/>
      <c r="Y38" s="3336"/>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6"/>
      <c r="Q39" s="1538">
        <f t="shared" si="11"/>
        <v>111</v>
      </c>
      <c r="R39" s="714" t="s">
        <v>17</v>
      </c>
      <c r="S39" s="715">
        <f t="shared" si="12"/>
        <v>100</v>
      </c>
      <c r="T39" s="714" t="s">
        <v>17</v>
      </c>
      <c r="U39" s="715">
        <f t="shared" si="13"/>
        <v>100</v>
      </c>
      <c r="V39" s="714" t="s">
        <v>17</v>
      </c>
      <c r="W39" s="715">
        <f t="shared" si="14"/>
        <v>100</v>
      </c>
      <c r="X39" s="1541"/>
      <c r="Y39" s="3336"/>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7"/>
      <c r="Q40" s="1538">
        <f t="shared" si="11"/>
        <v>111</v>
      </c>
      <c r="R40" s="714" t="s">
        <v>17</v>
      </c>
      <c r="S40" s="715">
        <f t="shared" si="12"/>
        <v>100</v>
      </c>
      <c r="T40" s="714" t="s">
        <v>17</v>
      </c>
      <c r="U40" s="715">
        <f t="shared" si="13"/>
        <v>100</v>
      </c>
      <c r="V40" s="714" t="s">
        <v>17</v>
      </c>
      <c r="W40" s="715">
        <f t="shared" si="14"/>
        <v>100</v>
      </c>
      <c r="X40" s="1541"/>
      <c r="Y40" s="3337"/>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29" t="str">
        <f>A41</f>
        <v>成交单价（元/平方米）</v>
      </c>
      <c r="Q41" s="3329"/>
      <c r="R41" s="3330">
        <f>E41</f>
        <v>0</v>
      </c>
      <c r="S41" s="3330"/>
      <c r="T41" s="3330">
        <f>G41</f>
        <v>0</v>
      </c>
      <c r="U41" s="3330"/>
      <c r="V41" s="3330">
        <f>I41</f>
        <v>0</v>
      </c>
      <c r="W41" s="3330"/>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29" t="str">
        <f>A42</f>
        <v>比较价值（元/平方米）</v>
      </c>
      <c r="Q42" s="3329"/>
      <c r="R42" s="3330" t="e">
        <f>IF(F1="售价",ROUND(PRODUCT(R41,AA7:AA40),0),ROUND(PRODUCT(R41,AA7:AA40),1))</f>
        <v>#DIV/0!</v>
      </c>
      <c r="S42" s="3330"/>
      <c r="T42" s="3330" t="e">
        <f>IF(F1="售价",ROUND(PRODUCT(T41,AB7:AB40),0),ROUND(PRODUCT(T41,AB7:AB40),1))</f>
        <v>#DIV/0!</v>
      </c>
      <c r="U42" s="3330"/>
      <c r="V42" s="3330" t="e">
        <f>IF(F1="售价",ROUND(PRODUCT(V41,AC7:AC40),0),ROUND(PRODUCT(V41,AC7:AC40),1))</f>
        <v>#DIV/0!</v>
      </c>
      <c r="W42" s="3330"/>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9"/>
      <c r="O54" s="3000"/>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2467</v>
      </c>
      <c r="B4" s="362"/>
      <c r="C4" s="3344" t="s">
        <v>2468</v>
      </c>
      <c r="D4" s="3345"/>
      <c r="E4" s="3346" t="s">
        <v>2469</v>
      </c>
      <c r="F4" s="3347"/>
      <c r="G4" s="3344" t="s">
        <v>2470</v>
      </c>
      <c r="H4" s="3345"/>
      <c r="I4" s="3344" t="s">
        <v>2471</v>
      </c>
      <c r="J4" s="3345"/>
      <c r="K4" s="567" t="s">
        <v>2472</v>
      </c>
      <c r="L4" s="2944"/>
      <c r="M4" s="2945"/>
      <c r="N4" s="2945"/>
      <c r="O4" s="2945"/>
      <c r="P4" s="3348" t="s">
        <v>2473</v>
      </c>
      <c r="Q4" s="3349"/>
      <c r="R4" s="3354" t="s">
        <v>2469</v>
      </c>
      <c r="S4" s="3355"/>
      <c r="T4" s="3354" t="s">
        <v>2470</v>
      </c>
      <c r="U4" s="3355"/>
      <c r="V4" s="3360" t="s">
        <v>2471</v>
      </c>
      <c r="W4" s="3360"/>
      <c r="X4" s="1541"/>
      <c r="Y4" s="3354" t="s">
        <v>2473</v>
      </c>
      <c r="Z4" s="3355"/>
      <c r="AA4" s="3341" t="s">
        <v>2469</v>
      </c>
      <c r="AB4" s="3342" t="s">
        <v>2470</v>
      </c>
      <c r="AC4" s="3341" t="s">
        <v>2471</v>
      </c>
    </row>
    <row r="5" spans="1:29" ht="15">
      <c r="A5" s="364"/>
      <c r="B5" s="365"/>
      <c r="C5" s="3363" t="s">
        <v>2364</v>
      </c>
      <c r="D5" s="3364"/>
      <c r="E5" s="3370" t="s">
        <v>2365</v>
      </c>
      <c r="F5" s="3371"/>
      <c r="G5" s="3363" t="s">
        <v>2366</v>
      </c>
      <c r="H5" s="3364"/>
      <c r="I5" s="3363" t="s">
        <v>2367</v>
      </c>
      <c r="J5" s="3364"/>
      <c r="K5" s="567"/>
      <c r="L5" s="2944"/>
      <c r="M5" s="2945"/>
      <c r="N5" s="2945"/>
      <c r="O5" s="2945"/>
      <c r="P5" s="3350"/>
      <c r="Q5" s="3351"/>
      <c r="R5" s="3356"/>
      <c r="S5" s="3357"/>
      <c r="T5" s="3356"/>
      <c r="U5" s="3357"/>
      <c r="V5" s="3360"/>
      <c r="W5" s="3360"/>
      <c r="X5" s="1541"/>
      <c r="Y5" s="3356"/>
      <c r="Z5" s="3357"/>
      <c r="AA5" s="3342"/>
      <c r="AB5" s="3342"/>
      <c r="AC5" s="3342"/>
    </row>
    <row r="6" spans="1:29" ht="15.75" thickBot="1">
      <c r="A6" s="366"/>
      <c r="B6" s="367"/>
      <c r="C6" s="3361" t="s">
        <v>2368</v>
      </c>
      <c r="D6" s="3362"/>
      <c r="E6" s="3368" t="s">
        <v>2368</v>
      </c>
      <c r="F6" s="3369"/>
      <c r="G6" s="3361" t="s">
        <v>2368</v>
      </c>
      <c r="H6" s="3362"/>
      <c r="I6" s="3361" t="s">
        <v>2368</v>
      </c>
      <c r="J6" s="3362"/>
      <c r="K6" s="567" t="s">
        <v>2369</v>
      </c>
      <c r="L6" s="2944"/>
      <c r="M6" s="2945"/>
      <c r="N6" s="2945"/>
      <c r="O6" s="2945"/>
      <c r="P6" s="3352"/>
      <c r="Q6" s="3353"/>
      <c r="R6" s="3356"/>
      <c r="S6" s="3357"/>
      <c r="T6" s="3358"/>
      <c r="U6" s="3359"/>
      <c r="V6" s="3360"/>
      <c r="W6" s="3360"/>
      <c r="X6" s="1541"/>
      <c r="Y6" s="3358"/>
      <c r="Z6" s="3359"/>
      <c r="AA6" s="3343"/>
      <c r="AB6" s="3343"/>
      <c r="AC6" s="3343"/>
    </row>
    <row r="7" spans="1:29" s="113" customFormat="1" ht="15.75" thickBot="1">
      <c r="A7" s="368" t="s">
        <v>2370</v>
      </c>
      <c r="B7" s="369"/>
      <c r="C7" s="370">
        <f>'数据-取费表'!B2</f>
        <v>44218</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65" t="s">
        <v>2371</v>
      </c>
      <c r="Q7" s="3367"/>
      <c r="R7" s="710" t="s">
        <v>17</v>
      </c>
      <c r="S7" s="711">
        <f t="shared" ref="S7:S14" si="0">F7</f>
        <v>0</v>
      </c>
      <c r="T7" s="710" t="s">
        <v>17</v>
      </c>
      <c r="U7" s="711">
        <f t="shared" ref="U7:U14" si="1">H7</f>
        <v>0</v>
      </c>
      <c r="V7" s="710" t="s">
        <v>17</v>
      </c>
      <c r="W7" s="711">
        <f t="shared" ref="W7:W14" si="2">J7</f>
        <v>0</v>
      </c>
      <c r="X7" s="712"/>
      <c r="Y7" s="3365" t="s">
        <v>2371</v>
      </c>
      <c r="Z7" s="3366"/>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65" t="s">
        <v>2374</v>
      </c>
      <c r="Q8" s="3366"/>
      <c r="R8" s="710" t="s">
        <v>17</v>
      </c>
      <c r="S8" s="711">
        <f t="shared" si="0"/>
        <v>0</v>
      </c>
      <c r="T8" s="710" t="s">
        <v>17</v>
      </c>
      <c r="U8" s="711">
        <f t="shared" si="1"/>
        <v>0</v>
      </c>
      <c r="V8" s="710" t="s">
        <v>17</v>
      </c>
      <c r="W8" s="711">
        <f t="shared" si="2"/>
        <v>0</v>
      </c>
      <c r="X8" s="712"/>
      <c r="Y8" s="3365" t="s">
        <v>2374</v>
      </c>
      <c r="Z8" s="3366"/>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29" t="s">
        <v>2377</v>
      </c>
      <c r="Q9" s="1529" t="str">
        <f t="shared" ref="Q9:Q14" si="6">B9</f>
        <v>用途</v>
      </c>
      <c r="R9" s="710" t="s">
        <v>17</v>
      </c>
      <c r="S9" s="711">
        <f t="shared" si="0"/>
        <v>100</v>
      </c>
      <c r="T9" s="710" t="s">
        <v>17</v>
      </c>
      <c r="U9" s="711">
        <f t="shared" si="1"/>
        <v>100</v>
      </c>
      <c r="V9" s="710" t="s">
        <v>17</v>
      </c>
      <c r="W9" s="711">
        <f t="shared" si="2"/>
        <v>100</v>
      </c>
      <c r="X9" s="712"/>
      <c r="Y9" s="3201"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29"/>
      <c r="Q10" s="1529" t="str">
        <f t="shared" si="6"/>
        <v>土地使用年限（年）</v>
      </c>
      <c r="R10" s="710" t="s">
        <v>17</v>
      </c>
      <c r="S10" s="711">
        <f t="shared" si="0"/>
        <v>100</v>
      </c>
      <c r="T10" s="710" t="s">
        <v>17</v>
      </c>
      <c r="U10" s="711">
        <f t="shared" si="1"/>
        <v>100</v>
      </c>
      <c r="V10" s="710" t="s">
        <v>17</v>
      </c>
      <c r="W10" s="711">
        <f t="shared" si="2"/>
        <v>100</v>
      </c>
      <c r="X10" s="712"/>
      <c r="Y10" s="320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29"/>
      <c r="Q11" s="1529">
        <f t="shared" si="6"/>
        <v>111</v>
      </c>
      <c r="R11" s="710" t="s">
        <v>17</v>
      </c>
      <c r="S11" s="711">
        <f t="shared" si="0"/>
        <v>100</v>
      </c>
      <c r="T11" s="710" t="s">
        <v>17</v>
      </c>
      <c r="U11" s="711">
        <f t="shared" si="1"/>
        <v>100</v>
      </c>
      <c r="V11" s="710" t="s">
        <v>17</v>
      </c>
      <c r="W11" s="711">
        <f t="shared" si="2"/>
        <v>100</v>
      </c>
      <c r="X11" s="712"/>
      <c r="Y11" s="320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29"/>
      <c r="Q12" s="1529">
        <f t="shared" si="6"/>
        <v>111</v>
      </c>
      <c r="R12" s="710" t="s">
        <v>17</v>
      </c>
      <c r="S12" s="711">
        <f t="shared" si="0"/>
        <v>100</v>
      </c>
      <c r="T12" s="710" t="s">
        <v>17</v>
      </c>
      <c r="U12" s="711">
        <f t="shared" si="1"/>
        <v>100</v>
      </c>
      <c r="V12" s="710" t="s">
        <v>17</v>
      </c>
      <c r="W12" s="711">
        <f t="shared" si="2"/>
        <v>100</v>
      </c>
      <c r="X12" s="712"/>
      <c r="Y12" s="320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29"/>
      <c r="Q13" s="1529">
        <f t="shared" si="6"/>
        <v>111</v>
      </c>
      <c r="R13" s="710" t="s">
        <v>17</v>
      </c>
      <c r="S13" s="711">
        <f t="shared" si="0"/>
        <v>100</v>
      </c>
      <c r="T13" s="710" t="s">
        <v>17</v>
      </c>
      <c r="U13" s="711">
        <f t="shared" si="1"/>
        <v>100</v>
      </c>
      <c r="V13" s="710" t="s">
        <v>17</v>
      </c>
      <c r="W13" s="711">
        <f t="shared" si="2"/>
        <v>100</v>
      </c>
      <c r="X13" s="712"/>
      <c r="Y13" s="3201"/>
      <c r="Z13" s="55">
        <f t="shared" si="7"/>
        <v>111</v>
      </c>
      <c r="AA13" s="713">
        <f t="shared" si="3"/>
        <v>1</v>
      </c>
      <c r="AB13" s="713">
        <f t="shared" si="4"/>
        <v>1</v>
      </c>
      <c r="AC13" s="713">
        <f t="shared" si="5"/>
        <v>1</v>
      </c>
    </row>
    <row r="14" spans="1:29" ht="15">
      <c r="A14" s="361" t="s">
        <v>2381</v>
      </c>
      <c r="B14" s="585" t="s">
        <v>2531</v>
      </c>
      <c r="C14" s="2159"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31" t="s">
        <v>2382</v>
      </c>
      <c r="Q14" s="1538" t="str">
        <f t="shared" si="6"/>
        <v>交通便捷度</v>
      </c>
      <c r="R14" s="714" t="s">
        <v>17</v>
      </c>
      <c r="S14" s="715">
        <f t="shared" si="0"/>
        <v>100</v>
      </c>
      <c r="T14" s="714" t="s">
        <v>17</v>
      </c>
      <c r="U14" s="715">
        <f t="shared" si="1"/>
        <v>100</v>
      </c>
      <c r="V14" s="714" t="s">
        <v>17</v>
      </c>
      <c r="W14" s="715">
        <f t="shared" si="2"/>
        <v>100</v>
      </c>
      <c r="X14" s="1541"/>
      <c r="Y14" s="3331"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332"/>
      <c r="Q15" s="1538"/>
      <c r="R15" s="714"/>
      <c r="S15" s="715"/>
      <c r="T15" s="714"/>
      <c r="U15" s="715"/>
      <c r="V15" s="714"/>
      <c r="W15" s="715"/>
      <c r="X15" s="1541"/>
      <c r="Y15" s="3332"/>
      <c r="Z15" s="1542"/>
      <c r="AA15" s="1539">
        <v>1</v>
      </c>
      <c r="AB15" s="1539">
        <v>1</v>
      </c>
      <c r="AC15" s="1539">
        <v>1</v>
      </c>
    </row>
    <row r="16" spans="1:29" ht="15">
      <c r="A16" s="364"/>
      <c r="B16" s="587" t="s">
        <v>2510</v>
      </c>
      <c r="C16" s="208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2"/>
      <c r="Q16" s="1538" t="str">
        <f>B16</f>
        <v>公共配套设施</v>
      </c>
      <c r="R16" s="714" t="s">
        <v>17</v>
      </c>
      <c r="S16" s="715">
        <f>F16</f>
        <v>100</v>
      </c>
      <c r="T16" s="714" t="s">
        <v>17</v>
      </c>
      <c r="U16" s="715">
        <f>H16</f>
        <v>100</v>
      </c>
      <c r="V16" s="714" t="s">
        <v>17</v>
      </c>
      <c r="W16" s="715">
        <f>J16</f>
        <v>100</v>
      </c>
      <c r="X16" s="1541"/>
      <c r="Y16" s="3332"/>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332"/>
      <c r="Q17" s="1538"/>
      <c r="R17" s="714"/>
      <c r="S17" s="715"/>
      <c r="T17" s="714"/>
      <c r="U17" s="715"/>
      <c r="V17" s="714"/>
      <c r="W17" s="715"/>
      <c r="X17" s="1541"/>
      <c r="Y17" s="3332"/>
      <c r="Z17" s="1542"/>
      <c r="AA17" s="1539">
        <v>1</v>
      </c>
      <c r="AB17" s="1539">
        <v>1</v>
      </c>
      <c r="AC17" s="1539">
        <v>1</v>
      </c>
    </row>
    <row r="18" spans="1:29" ht="15">
      <c r="A18" s="364"/>
      <c r="B18" s="589" t="s">
        <v>2511</v>
      </c>
      <c r="C18" s="208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2"/>
      <c r="Q18" s="1538" t="str">
        <f>B18</f>
        <v>基础设施水平</v>
      </c>
      <c r="R18" s="714" t="s">
        <v>17</v>
      </c>
      <c r="S18" s="715">
        <f>F18</f>
        <v>100</v>
      </c>
      <c r="T18" s="714" t="s">
        <v>17</v>
      </c>
      <c r="U18" s="715">
        <f>H18</f>
        <v>100</v>
      </c>
      <c r="V18" s="714" t="s">
        <v>17</v>
      </c>
      <c r="W18" s="715">
        <f>J18</f>
        <v>100</v>
      </c>
      <c r="X18" s="1541"/>
      <c r="Y18" s="3332"/>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332"/>
      <c r="Q19" s="1538"/>
      <c r="R19" s="714"/>
      <c r="S19" s="715"/>
      <c r="T19" s="714"/>
      <c r="U19" s="715"/>
      <c r="V19" s="714"/>
      <c r="W19" s="715"/>
      <c r="X19" s="1541"/>
      <c r="Y19" s="3332"/>
      <c r="Z19" s="1542"/>
      <c r="AA19" s="1539">
        <v>1</v>
      </c>
      <c r="AB19" s="1539">
        <v>1</v>
      </c>
      <c r="AC19" s="1539">
        <v>1</v>
      </c>
    </row>
    <row r="20" spans="1:29" ht="15">
      <c r="A20" s="364"/>
      <c r="B20" s="587" t="s">
        <v>2532</v>
      </c>
      <c r="C20" s="2088"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2"/>
      <c r="Q20" s="1538" t="str">
        <f>B20</f>
        <v>自然及人文环境</v>
      </c>
      <c r="R20" s="714" t="s">
        <v>17</v>
      </c>
      <c r="S20" s="715">
        <f>F20</f>
        <v>100</v>
      </c>
      <c r="T20" s="714" t="s">
        <v>17</v>
      </c>
      <c r="U20" s="715">
        <f>H20</f>
        <v>100</v>
      </c>
      <c r="V20" s="714" t="s">
        <v>17</v>
      </c>
      <c r="W20" s="715">
        <f>J20</f>
        <v>100</v>
      </c>
      <c r="X20" s="1541"/>
      <c r="Y20" s="3332"/>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332"/>
      <c r="Q21" s="1538"/>
      <c r="R21" s="714"/>
      <c r="S21" s="715"/>
      <c r="T21" s="714"/>
      <c r="U21" s="715"/>
      <c r="V21" s="714"/>
      <c r="W21" s="715"/>
      <c r="X21" s="1541"/>
      <c r="Y21" s="3332"/>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2"/>
      <c r="Q22" s="1538" t="str">
        <f>B22</f>
        <v>楼层</v>
      </c>
      <c r="R22" s="714" t="s">
        <v>17</v>
      </c>
      <c r="S22" s="715">
        <f>F22</f>
        <v>100</v>
      </c>
      <c r="T22" s="714" t="s">
        <v>17</v>
      </c>
      <c r="U22" s="715">
        <f>H22</f>
        <v>100</v>
      </c>
      <c r="V22" s="714" t="s">
        <v>17</v>
      </c>
      <c r="W22" s="715">
        <f>J22</f>
        <v>100</v>
      </c>
      <c r="X22" s="1541"/>
      <c r="Y22" s="3332"/>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2"/>
      <c r="Q23" s="1538">
        <f>B23</f>
        <v>111</v>
      </c>
      <c r="R23" s="714" t="s">
        <v>17</v>
      </c>
      <c r="S23" s="715">
        <f>F23</f>
        <v>100</v>
      </c>
      <c r="T23" s="714" t="s">
        <v>17</v>
      </c>
      <c r="U23" s="715">
        <f>H23</f>
        <v>100</v>
      </c>
      <c r="V23" s="714" t="s">
        <v>17</v>
      </c>
      <c r="W23" s="715">
        <f>J23</f>
        <v>100</v>
      </c>
      <c r="X23" s="1541"/>
      <c r="Y23" s="3332"/>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2"/>
      <c r="Q24" s="1538">
        <f t="shared" ref="Q24:Q36" si="11">B24</f>
        <v>111</v>
      </c>
      <c r="R24" s="714" t="s">
        <v>17</v>
      </c>
      <c r="S24" s="715">
        <f>F24</f>
        <v>100</v>
      </c>
      <c r="T24" s="714" t="s">
        <v>17</v>
      </c>
      <c r="U24" s="715">
        <f>H24</f>
        <v>100</v>
      </c>
      <c r="V24" s="714" t="s">
        <v>17</v>
      </c>
      <c r="W24" s="715">
        <f>J24</f>
        <v>100</v>
      </c>
      <c r="X24" s="1541"/>
      <c r="Y24" s="3332"/>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2"/>
      <c r="Q25" s="1529">
        <f t="shared" si="11"/>
        <v>111</v>
      </c>
      <c r="R25" s="710" t="s">
        <v>17</v>
      </c>
      <c r="S25" s="711">
        <f>F25</f>
        <v>100</v>
      </c>
      <c r="T25" s="710" t="s">
        <v>17</v>
      </c>
      <c r="U25" s="711">
        <f>H25</f>
        <v>100</v>
      </c>
      <c r="V25" s="710" t="s">
        <v>17</v>
      </c>
      <c r="W25" s="711">
        <f>J25</f>
        <v>100</v>
      </c>
      <c r="X25" s="712"/>
      <c r="Y25" s="3332"/>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87"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6"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36"/>
      <c r="Q27" s="716" t="str">
        <f t="shared" si="11"/>
        <v>项目停车位配比</v>
      </c>
      <c r="R27" s="717" t="s">
        <v>17</v>
      </c>
      <c r="S27" s="718">
        <f t="shared" si="12"/>
        <v>100</v>
      </c>
      <c r="T27" s="717" t="s">
        <v>17</v>
      </c>
      <c r="U27" s="718">
        <f t="shared" si="13"/>
        <v>100</v>
      </c>
      <c r="V27" s="717" t="s">
        <v>17</v>
      </c>
      <c r="W27" s="718">
        <f t="shared" si="14"/>
        <v>100</v>
      </c>
      <c r="X27" s="719"/>
      <c r="Y27" s="3336"/>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36"/>
      <c r="Q28" s="1538" t="str">
        <f t="shared" si="11"/>
        <v>公共部分装修</v>
      </c>
      <c r="R28" s="714" t="s">
        <v>17</v>
      </c>
      <c r="S28" s="715">
        <f t="shared" si="12"/>
        <v>100</v>
      </c>
      <c r="T28" s="714" t="s">
        <v>17</v>
      </c>
      <c r="U28" s="715">
        <f t="shared" si="13"/>
        <v>100</v>
      </c>
      <c r="V28" s="714" t="s">
        <v>17</v>
      </c>
      <c r="W28" s="715">
        <f t="shared" si="14"/>
        <v>100</v>
      </c>
      <c r="X28" s="1541"/>
      <c r="Y28" s="3336"/>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36"/>
      <c r="Q29" s="1538" t="str">
        <f t="shared" si="11"/>
        <v>成新率</v>
      </c>
      <c r="R29" s="714" t="s">
        <v>17</v>
      </c>
      <c r="S29" s="715" t="e">
        <f t="shared" si="12"/>
        <v>#N/A</v>
      </c>
      <c r="T29" s="714" t="s">
        <v>17</v>
      </c>
      <c r="U29" s="715" t="e">
        <f t="shared" si="13"/>
        <v>#N/A</v>
      </c>
      <c r="V29" s="714" t="s">
        <v>17</v>
      </c>
      <c r="W29" s="715" t="e">
        <f t="shared" si="14"/>
        <v>#N/A</v>
      </c>
      <c r="X29" s="1541"/>
      <c r="Y29" s="3336"/>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36"/>
      <c r="Q30" s="1538" t="str">
        <f t="shared" si="11"/>
        <v>物业等级</v>
      </c>
      <c r="R30" s="714" t="s">
        <v>17</v>
      </c>
      <c r="S30" s="715">
        <f t="shared" si="12"/>
        <v>100</v>
      </c>
      <c r="T30" s="714" t="s">
        <v>17</v>
      </c>
      <c r="U30" s="715">
        <f t="shared" si="13"/>
        <v>100</v>
      </c>
      <c r="V30" s="714" t="s">
        <v>17</v>
      </c>
      <c r="W30" s="715">
        <f t="shared" si="14"/>
        <v>100</v>
      </c>
      <c r="X30" s="1541"/>
      <c r="Y30" s="3336"/>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36"/>
      <c r="Q31" s="1529" t="str">
        <f t="shared" si="11"/>
        <v>停车位面积</v>
      </c>
      <c r="R31" s="710" t="s">
        <v>17</v>
      </c>
      <c r="S31" s="711" t="e">
        <f t="shared" si="12"/>
        <v>#N/A</v>
      </c>
      <c r="T31" s="710" t="s">
        <v>17</v>
      </c>
      <c r="U31" s="711" t="e">
        <f t="shared" si="13"/>
        <v>#N/A</v>
      </c>
      <c r="V31" s="710" t="s">
        <v>17</v>
      </c>
      <c r="W31" s="711" t="e">
        <f t="shared" si="14"/>
        <v>#N/A</v>
      </c>
      <c r="X31" s="712"/>
      <c r="Y31" s="3336"/>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36" t="s">
        <v>2387</v>
      </c>
      <c r="Q32" s="1538" t="str">
        <f t="shared" si="11"/>
        <v>车位类型</v>
      </c>
      <c r="R32" s="714" t="s">
        <v>17</v>
      </c>
      <c r="S32" s="715">
        <f t="shared" si="12"/>
        <v>100</v>
      </c>
      <c r="T32" s="714" t="s">
        <v>17</v>
      </c>
      <c r="U32" s="715">
        <f t="shared" si="13"/>
        <v>100</v>
      </c>
      <c r="V32" s="714" t="s">
        <v>17</v>
      </c>
      <c r="W32" s="715">
        <f t="shared" si="14"/>
        <v>100</v>
      </c>
      <c r="X32" s="1541"/>
      <c r="Y32" s="3336"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36"/>
      <c r="Q33" s="1538" t="str">
        <f t="shared" si="11"/>
        <v>是否直接入户</v>
      </c>
      <c r="R33" s="714" t="s">
        <v>17</v>
      </c>
      <c r="S33" s="715">
        <f t="shared" si="12"/>
        <v>100</v>
      </c>
      <c r="T33" s="714" t="s">
        <v>17</v>
      </c>
      <c r="U33" s="715">
        <f t="shared" si="13"/>
        <v>100</v>
      </c>
      <c r="V33" s="714" t="s">
        <v>17</v>
      </c>
      <c r="W33" s="715">
        <f t="shared" si="14"/>
        <v>100</v>
      </c>
      <c r="X33" s="1541"/>
      <c r="Y33" s="3336"/>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36"/>
      <c r="Q34" s="1538">
        <f t="shared" si="11"/>
        <v>111</v>
      </c>
      <c r="R34" s="714" t="s">
        <v>17</v>
      </c>
      <c r="S34" s="715">
        <f t="shared" si="12"/>
        <v>100</v>
      </c>
      <c r="T34" s="714" t="s">
        <v>17</v>
      </c>
      <c r="U34" s="715">
        <f t="shared" si="13"/>
        <v>100</v>
      </c>
      <c r="V34" s="714" t="s">
        <v>17</v>
      </c>
      <c r="W34" s="715">
        <f t="shared" si="14"/>
        <v>100</v>
      </c>
      <c r="X34" s="1541"/>
      <c r="Y34" s="3336"/>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36"/>
      <c r="Q35" s="716">
        <f t="shared" si="11"/>
        <v>111</v>
      </c>
      <c r="R35" s="717" t="s">
        <v>17</v>
      </c>
      <c r="S35" s="718">
        <f t="shared" si="12"/>
        <v>100</v>
      </c>
      <c r="T35" s="717" t="s">
        <v>17</v>
      </c>
      <c r="U35" s="718">
        <f t="shared" si="13"/>
        <v>100</v>
      </c>
      <c r="V35" s="717" t="s">
        <v>17</v>
      </c>
      <c r="W35" s="718">
        <f t="shared" si="14"/>
        <v>100</v>
      </c>
      <c r="X35" s="719"/>
      <c r="Y35" s="3336"/>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36"/>
      <c r="Q36" s="1538">
        <f t="shared" si="11"/>
        <v>111</v>
      </c>
      <c r="R36" s="714" t="s">
        <v>17</v>
      </c>
      <c r="S36" s="715">
        <f t="shared" si="12"/>
        <v>100</v>
      </c>
      <c r="T36" s="714" t="s">
        <v>17</v>
      </c>
      <c r="U36" s="715">
        <f t="shared" si="13"/>
        <v>100</v>
      </c>
      <c r="V36" s="714" t="s">
        <v>17</v>
      </c>
      <c r="W36" s="715">
        <f t="shared" si="14"/>
        <v>100</v>
      </c>
      <c r="X36" s="1541"/>
      <c r="Y36" s="3336"/>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3"/>
      <c r="M37" s="2954"/>
      <c r="N37" s="2945"/>
      <c r="O37" s="2954"/>
      <c r="P37" s="3329" t="str">
        <f>A37</f>
        <v>成交单价</v>
      </c>
      <c r="Q37" s="3329"/>
      <c r="R37" s="3330">
        <f>E37</f>
        <v>0</v>
      </c>
      <c r="S37" s="3330"/>
      <c r="T37" s="3330">
        <f>G37</f>
        <v>0</v>
      </c>
      <c r="U37" s="3330"/>
      <c r="V37" s="3330">
        <f>I37</f>
        <v>0</v>
      </c>
      <c r="W37" s="3330"/>
      <c r="X37" s="699"/>
      <c r="Y37" s="721"/>
      <c r="Z37" s="699"/>
      <c r="AA37" s="699"/>
      <c r="AB37" s="699"/>
      <c r="AC37" s="699"/>
    </row>
    <row r="38" spans="1:29" ht="15.75" thickBot="1">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3"/>
      <c r="M38" s="2954"/>
      <c r="N38" s="2954"/>
      <c r="O38" s="2954"/>
      <c r="P38" s="3329" t="str">
        <f>A38</f>
        <v>比较价值（元/平方米）</v>
      </c>
      <c r="Q38" s="3329"/>
      <c r="R38" s="3330" t="e">
        <f>IF(F1="售价",ROUND(PRODUCT(R37,AA7:AA36),0),ROUND(PRODUCT(R37,AA7:AA36),1))</f>
        <v>#DIV/0!</v>
      </c>
      <c r="S38" s="3330"/>
      <c r="T38" s="3330" t="e">
        <f>IF(F1="售价",ROUND(PRODUCT(T37,AB7:AB36),0),ROUND(PRODUCT(T37,AB7:AB36),1))</f>
        <v>#DIV/0!</v>
      </c>
      <c r="U38" s="3330"/>
      <c r="V38" s="3330" t="e">
        <f>IF(F1="售价",ROUND(PRODUCT(V37,AC7:AC36),0),ROUND(PRODUCT(V37,AC7:AC36),1))</f>
        <v>#DIV/0!</v>
      </c>
      <c r="W38" s="3330"/>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3"/>
      <c r="M39" s="2954"/>
      <c r="N39" s="2954"/>
      <c r="O39" s="2954"/>
      <c r="P39" s="3326" t="str">
        <f>A39</f>
        <v>估价对象XX用房的比较价值（楼面单价，元/平方米）</v>
      </c>
      <c r="Q39" s="3327"/>
      <c r="R39" s="3388" t="e">
        <f>IF(F1="售价",ROUND(IF(D38="简单平均",AVERAGE(R38:W38),R38*F38+T38*H38+V38*J38),0),ROUND(IF(D38="简单平均",AVERAGE(R38:V38),R38*F38+T38*H38+V38*J38),1))</f>
        <v>#DIV/0!</v>
      </c>
      <c r="S39" s="3388"/>
      <c r="T39" s="3388"/>
      <c r="U39" s="3388"/>
      <c r="V39" s="3388"/>
      <c r="W39" s="338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2549</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2407</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2372</v>
      </c>
      <c r="B51" s="467"/>
      <c r="C51" s="479" t="s">
        <v>2474</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2410</v>
      </c>
      <c r="B53" s="485" t="s">
        <v>2376</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2425</v>
      </c>
      <c r="C65" s="535" t="s">
        <v>2419</v>
      </c>
      <c r="D65" s="535" t="s">
        <v>2420</v>
      </c>
      <c r="E65" s="535" t="s">
        <v>2421</v>
      </c>
      <c r="F65" s="535" t="s">
        <v>2422</v>
      </c>
      <c r="G65" s="535" t="s">
        <v>2423</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2511</v>
      </c>
      <c r="C67" s="616" t="s">
        <v>2497</v>
      </c>
      <c r="D67" s="616" t="s">
        <v>2498</v>
      </c>
      <c r="E67" s="616" t="s">
        <v>2499</v>
      </c>
      <c r="F67" s="616" t="s">
        <v>2500</v>
      </c>
      <c r="G67" s="616" t="s">
        <v>2501</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2431</v>
      </c>
      <c r="C69" s="535" t="s">
        <v>2419</v>
      </c>
      <c r="D69" s="535" t="s">
        <v>2420</v>
      </c>
      <c r="E69" s="535" t="s">
        <v>2421</v>
      </c>
      <c r="F69" s="535" t="s">
        <v>2422</v>
      </c>
      <c r="G69" s="535" t="s">
        <v>2423</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2551</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2385</v>
      </c>
      <c r="B79" s="485" t="s">
        <v>2552</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2553</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2438</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2555</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2557</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2558</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估价对象为北京市房地产，为所有。根据，估价对象（分摊）出让国有建设用地使用权面积为2411.61平方米，建筑面积为11966.17平方米。</v>
      </c>
    </row>
    <row r="8" spans="1:1" ht="57.75">
      <c r="A8" s="1670" t="s">
        <v>1579</v>
      </c>
    </row>
    <row r="9" spans="1:1" ht="18.75">
      <c r="A9" s="1669" t="s">
        <v>1580</v>
      </c>
    </row>
    <row r="10" spans="1:1" ht="54">
      <c r="A10" s="166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估价对象为北京市房地产,属开发建设的办公项目，该项目尚在开发建设中。根据，估价对象（分摊）出让国有建设用地使用权面积为2411.61平方米，规划建筑面积为11966.17平方米。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2021年1月22日（评估专业人员实地查勘之日）</v>
      </c>
    </row>
    <row r="16" spans="1:1" ht="18.75">
      <c r="A16" s="1672" t="s">
        <v>1584</v>
      </c>
    </row>
    <row r="17" spans="1:1" ht="75">
      <c r="A17" s="1667" t="s">
        <v>1585</v>
      </c>
    </row>
    <row r="18" spans="1:1" ht="72">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22日，估价对象规划用途为，土地取得方式为出让，出让国有建设用地使用权剩余土地使用年限为商业34.9、办公44.9，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34.9、办公44.9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"本次评估采用的主估价方法为"&amp;'结果表（商业）'!K4&amp;"和"&amp;'结果表（商业）'!L4&amp;"。"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44" t="s">
        <v>2468</v>
      </c>
      <c r="D4" s="3345"/>
      <c r="E4" s="3346" t="s">
        <v>2469</v>
      </c>
      <c r="F4" s="3347"/>
      <c r="G4" s="3344" t="s">
        <v>2470</v>
      </c>
      <c r="H4" s="3345"/>
      <c r="I4" s="3344" t="s">
        <v>2471</v>
      </c>
      <c r="J4" s="3345"/>
      <c r="K4" s="567" t="s">
        <v>2472</v>
      </c>
      <c r="L4" s="2944"/>
      <c r="M4" s="2945"/>
      <c r="N4" s="2945"/>
      <c r="O4" s="2945"/>
      <c r="P4" s="3348" t="s">
        <v>2473</v>
      </c>
      <c r="Q4" s="3349"/>
      <c r="R4" s="3354" t="s">
        <v>2469</v>
      </c>
      <c r="S4" s="3355"/>
      <c r="T4" s="3354" t="s">
        <v>2470</v>
      </c>
      <c r="U4" s="3355"/>
      <c r="V4" s="3360" t="s">
        <v>2471</v>
      </c>
      <c r="W4" s="3360"/>
      <c r="X4" s="1541"/>
      <c r="Y4" s="3354" t="s">
        <v>2473</v>
      </c>
      <c r="Z4" s="3355"/>
      <c r="AA4" s="3341" t="s">
        <v>2469</v>
      </c>
      <c r="AB4" s="3342" t="s">
        <v>2470</v>
      </c>
      <c r="AC4" s="3341" t="s">
        <v>2471</v>
      </c>
    </row>
    <row r="5" spans="1:29" ht="15">
      <c r="A5" s="364"/>
      <c r="B5" s="365"/>
      <c r="C5" s="3363" t="s">
        <v>2364</v>
      </c>
      <c r="D5" s="3364"/>
      <c r="E5" s="3370" t="s">
        <v>2365</v>
      </c>
      <c r="F5" s="3371"/>
      <c r="G5" s="3363" t="s">
        <v>2366</v>
      </c>
      <c r="H5" s="3364"/>
      <c r="I5" s="3363" t="s">
        <v>2367</v>
      </c>
      <c r="J5" s="3364"/>
      <c r="K5" s="567"/>
      <c r="L5" s="2944"/>
      <c r="M5" s="2945"/>
      <c r="N5" s="2945"/>
      <c r="O5" s="2945"/>
      <c r="P5" s="3350"/>
      <c r="Q5" s="3351"/>
      <c r="R5" s="3356"/>
      <c r="S5" s="3357"/>
      <c r="T5" s="3356"/>
      <c r="U5" s="3357"/>
      <c r="V5" s="3360"/>
      <c r="W5" s="3360"/>
      <c r="X5" s="1541"/>
      <c r="Y5" s="3356"/>
      <c r="Z5" s="3357"/>
      <c r="AA5" s="3342"/>
      <c r="AB5" s="3342"/>
      <c r="AC5" s="3342"/>
    </row>
    <row r="6" spans="1:29" ht="15.75" thickBot="1">
      <c r="A6" s="366"/>
      <c r="B6" s="367"/>
      <c r="C6" s="3361" t="s">
        <v>2368</v>
      </c>
      <c r="D6" s="3362"/>
      <c r="E6" s="3368" t="s">
        <v>2368</v>
      </c>
      <c r="F6" s="3369"/>
      <c r="G6" s="3361" t="s">
        <v>2368</v>
      </c>
      <c r="H6" s="3362"/>
      <c r="I6" s="3361" t="s">
        <v>2368</v>
      </c>
      <c r="J6" s="3362"/>
      <c r="K6" s="567" t="s">
        <v>2369</v>
      </c>
      <c r="L6" s="2944"/>
      <c r="M6" s="2945"/>
      <c r="N6" s="2945"/>
      <c r="O6" s="2945"/>
      <c r="P6" s="3352"/>
      <c r="Q6" s="3353"/>
      <c r="R6" s="3356"/>
      <c r="S6" s="3357"/>
      <c r="T6" s="3358"/>
      <c r="U6" s="3359"/>
      <c r="V6" s="3360"/>
      <c r="W6" s="3360"/>
      <c r="X6" s="1541"/>
      <c r="Y6" s="3358"/>
      <c r="Z6" s="3359"/>
      <c r="AA6" s="3343"/>
      <c r="AB6" s="3343"/>
      <c r="AC6" s="3343"/>
    </row>
    <row r="7" spans="1:29" s="113" customFormat="1" ht="15.75" thickBot="1">
      <c r="A7" s="368" t="s">
        <v>2370</v>
      </c>
      <c r="B7" s="369"/>
      <c r="C7" s="370">
        <f>'数据-取费表'!B2</f>
        <v>44218</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365" t="s">
        <v>2371</v>
      </c>
      <c r="Q7" s="3367"/>
      <c r="R7" s="710" t="s">
        <v>17</v>
      </c>
      <c r="S7" s="711">
        <f t="shared" ref="S7:S14" si="0">F7</f>
        <v>0</v>
      </c>
      <c r="T7" s="710" t="s">
        <v>17</v>
      </c>
      <c r="U7" s="711">
        <f t="shared" ref="U7:U14" si="1">H7</f>
        <v>0</v>
      </c>
      <c r="V7" s="710" t="s">
        <v>17</v>
      </c>
      <c r="W7" s="711">
        <f t="shared" ref="W7:W14" si="2">J7</f>
        <v>0</v>
      </c>
      <c r="X7" s="712"/>
      <c r="Y7" s="3365" t="s">
        <v>2371</v>
      </c>
      <c r="Z7" s="3366"/>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65" t="s">
        <v>2374</v>
      </c>
      <c r="Q8" s="3366"/>
      <c r="R8" s="710" t="s">
        <v>17</v>
      </c>
      <c r="S8" s="711">
        <f t="shared" si="0"/>
        <v>0</v>
      </c>
      <c r="T8" s="710" t="s">
        <v>17</v>
      </c>
      <c r="U8" s="711">
        <f t="shared" si="1"/>
        <v>0</v>
      </c>
      <c r="V8" s="710" t="s">
        <v>17</v>
      </c>
      <c r="W8" s="711">
        <f t="shared" si="2"/>
        <v>0</v>
      </c>
      <c r="X8" s="712"/>
      <c r="Y8" s="3365" t="s">
        <v>2374</v>
      </c>
      <c r="Z8" s="3366"/>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29" t="s">
        <v>2377</v>
      </c>
      <c r="Q9" s="1529" t="str">
        <f t="shared" ref="Q9:Q14" si="6">B9</f>
        <v>用途</v>
      </c>
      <c r="R9" s="710" t="s">
        <v>17</v>
      </c>
      <c r="S9" s="711">
        <f t="shared" si="0"/>
        <v>100</v>
      </c>
      <c r="T9" s="710" t="s">
        <v>17</v>
      </c>
      <c r="U9" s="711">
        <f t="shared" si="1"/>
        <v>100</v>
      </c>
      <c r="V9" s="710" t="s">
        <v>17</v>
      </c>
      <c r="W9" s="711">
        <f t="shared" si="2"/>
        <v>100</v>
      </c>
      <c r="X9" s="712"/>
      <c r="Y9" s="3201"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29"/>
      <c r="Q10" s="1529" t="str">
        <f t="shared" si="6"/>
        <v>土地使用年限（年）</v>
      </c>
      <c r="R10" s="710" t="s">
        <v>17</v>
      </c>
      <c r="S10" s="711">
        <f t="shared" si="0"/>
        <v>100</v>
      </c>
      <c r="T10" s="710" t="s">
        <v>17</v>
      </c>
      <c r="U10" s="711">
        <f t="shared" si="1"/>
        <v>100</v>
      </c>
      <c r="V10" s="710" t="s">
        <v>17</v>
      </c>
      <c r="W10" s="711">
        <f t="shared" si="2"/>
        <v>100</v>
      </c>
      <c r="X10" s="712"/>
      <c r="Y10" s="3201"/>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29"/>
      <c r="Q11" s="1529">
        <f t="shared" si="6"/>
        <v>111</v>
      </c>
      <c r="R11" s="710" t="s">
        <v>17</v>
      </c>
      <c r="S11" s="711">
        <f t="shared" si="0"/>
        <v>100</v>
      </c>
      <c r="T11" s="710" t="s">
        <v>17</v>
      </c>
      <c r="U11" s="711">
        <f t="shared" si="1"/>
        <v>100</v>
      </c>
      <c r="V11" s="710" t="s">
        <v>17</v>
      </c>
      <c r="W11" s="711">
        <f t="shared" si="2"/>
        <v>100</v>
      </c>
      <c r="X11" s="712"/>
      <c r="Y11" s="3201"/>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29"/>
      <c r="Q12" s="1529">
        <f t="shared" si="6"/>
        <v>111</v>
      </c>
      <c r="R12" s="710" t="s">
        <v>17</v>
      </c>
      <c r="S12" s="711">
        <f t="shared" si="0"/>
        <v>100</v>
      </c>
      <c r="T12" s="710" t="s">
        <v>17</v>
      </c>
      <c r="U12" s="711">
        <f t="shared" si="1"/>
        <v>100</v>
      </c>
      <c r="V12" s="710" t="s">
        <v>17</v>
      </c>
      <c r="W12" s="711">
        <f t="shared" si="2"/>
        <v>100</v>
      </c>
      <c r="X12" s="712"/>
      <c r="Y12" s="3201"/>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329"/>
      <c r="Q13" s="1529">
        <f t="shared" si="6"/>
        <v>111</v>
      </c>
      <c r="R13" s="710" t="s">
        <v>17</v>
      </c>
      <c r="S13" s="711">
        <f t="shared" si="0"/>
        <v>100</v>
      </c>
      <c r="T13" s="710" t="s">
        <v>17</v>
      </c>
      <c r="U13" s="711">
        <f t="shared" si="1"/>
        <v>100</v>
      </c>
      <c r="V13" s="710" t="s">
        <v>17</v>
      </c>
      <c r="W13" s="711">
        <f t="shared" si="2"/>
        <v>100</v>
      </c>
      <c r="X13" s="712"/>
      <c r="Y13" s="3201"/>
      <c r="Z13" s="55">
        <f t="shared" si="7"/>
        <v>111</v>
      </c>
      <c r="AA13" s="713">
        <f t="shared" si="3"/>
        <v>1</v>
      </c>
      <c r="AB13" s="713">
        <f t="shared" si="4"/>
        <v>1</v>
      </c>
      <c r="AC13" s="713">
        <f t="shared" si="5"/>
        <v>1</v>
      </c>
    </row>
    <row r="14" spans="1:29" ht="15">
      <c r="A14" s="399" t="s">
        <v>2381</v>
      </c>
      <c r="B14" s="65" t="s">
        <v>2531</v>
      </c>
      <c r="C14" s="2159"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31" t="s">
        <v>2382</v>
      </c>
      <c r="Q14" s="1538" t="str">
        <f t="shared" si="6"/>
        <v>交通便捷度</v>
      </c>
      <c r="R14" s="714" t="s">
        <v>17</v>
      </c>
      <c r="S14" s="715">
        <f t="shared" si="0"/>
        <v>100</v>
      </c>
      <c r="T14" s="714" t="s">
        <v>17</v>
      </c>
      <c r="U14" s="715">
        <f t="shared" si="1"/>
        <v>100</v>
      </c>
      <c r="V14" s="714" t="s">
        <v>17</v>
      </c>
      <c r="W14" s="715">
        <f t="shared" si="2"/>
        <v>100</v>
      </c>
      <c r="X14" s="1541"/>
      <c r="Y14" s="3331"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332"/>
      <c r="Q15" s="1538"/>
      <c r="R15" s="714"/>
      <c r="S15" s="715"/>
      <c r="T15" s="714"/>
      <c r="U15" s="715"/>
      <c r="V15" s="714"/>
      <c r="W15" s="715"/>
      <c r="X15" s="1541"/>
      <c r="Y15" s="3332"/>
      <c r="Z15" s="1542"/>
      <c r="AA15" s="1539">
        <v>1</v>
      </c>
      <c r="AB15" s="1539">
        <v>1</v>
      </c>
      <c r="AC15" s="1539">
        <v>1</v>
      </c>
    </row>
    <row r="16" spans="1:29" ht="15">
      <c r="A16" s="387"/>
      <c r="B16" s="410" t="s">
        <v>2510</v>
      </c>
      <c r="C16" s="208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2"/>
      <c r="Q16" s="1538" t="str">
        <f>B16</f>
        <v>公共配套设施</v>
      </c>
      <c r="R16" s="714" t="s">
        <v>17</v>
      </c>
      <c r="S16" s="715">
        <f>F16</f>
        <v>100</v>
      </c>
      <c r="T16" s="714" t="s">
        <v>17</v>
      </c>
      <c r="U16" s="715">
        <f>H16</f>
        <v>100</v>
      </c>
      <c r="V16" s="714" t="s">
        <v>17</v>
      </c>
      <c r="W16" s="715">
        <f>J16</f>
        <v>100</v>
      </c>
      <c r="X16" s="1541"/>
      <c r="Y16" s="3332"/>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332"/>
      <c r="Q17" s="1538"/>
      <c r="R17" s="714"/>
      <c r="S17" s="715"/>
      <c r="T17" s="714"/>
      <c r="U17" s="715"/>
      <c r="V17" s="714"/>
      <c r="W17" s="715"/>
      <c r="X17" s="1541"/>
      <c r="Y17" s="3332"/>
      <c r="Z17" s="1542"/>
      <c r="AA17" s="1539">
        <v>1</v>
      </c>
      <c r="AB17" s="1539">
        <v>1</v>
      </c>
      <c r="AC17" s="1539">
        <v>1</v>
      </c>
    </row>
    <row r="18" spans="1:29" ht="15">
      <c r="A18" s="387"/>
      <c r="B18" s="1293" t="s">
        <v>2511</v>
      </c>
      <c r="C18" s="208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2"/>
      <c r="Q18" s="1538" t="str">
        <f>B18</f>
        <v>基础设施水平</v>
      </c>
      <c r="R18" s="714" t="s">
        <v>17</v>
      </c>
      <c r="S18" s="715">
        <f>F18</f>
        <v>100</v>
      </c>
      <c r="T18" s="714" t="s">
        <v>17</v>
      </c>
      <c r="U18" s="715">
        <f>H18</f>
        <v>100</v>
      </c>
      <c r="V18" s="714" t="s">
        <v>17</v>
      </c>
      <c r="W18" s="715">
        <f>J18</f>
        <v>100</v>
      </c>
      <c r="X18" s="1541"/>
      <c r="Y18" s="3332"/>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332"/>
      <c r="Q19" s="1538"/>
      <c r="R19" s="714"/>
      <c r="S19" s="715"/>
      <c r="T19" s="714"/>
      <c r="U19" s="715"/>
      <c r="V19" s="714"/>
      <c r="W19" s="715"/>
      <c r="X19" s="1541"/>
      <c r="Y19" s="3332"/>
      <c r="Z19" s="1542"/>
      <c r="AA19" s="1539">
        <v>1</v>
      </c>
      <c r="AB19" s="1539">
        <v>1</v>
      </c>
      <c r="AC19" s="1539">
        <v>1</v>
      </c>
    </row>
    <row r="20" spans="1:29" ht="15">
      <c r="A20" s="387"/>
      <c r="B20" s="410" t="s">
        <v>2532</v>
      </c>
      <c r="C20" s="2088"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2"/>
      <c r="Q20" s="1538" t="str">
        <f>B20</f>
        <v>自然及人文环境</v>
      </c>
      <c r="R20" s="714" t="s">
        <v>17</v>
      </c>
      <c r="S20" s="715">
        <f>F20</f>
        <v>100</v>
      </c>
      <c r="T20" s="714" t="s">
        <v>17</v>
      </c>
      <c r="U20" s="715">
        <f>H20</f>
        <v>100</v>
      </c>
      <c r="V20" s="714" t="s">
        <v>17</v>
      </c>
      <c r="W20" s="715">
        <f>J20</f>
        <v>100</v>
      </c>
      <c r="X20" s="1541"/>
      <c r="Y20" s="3332"/>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332"/>
      <c r="Q21" s="1538"/>
      <c r="R21" s="714"/>
      <c r="S21" s="715"/>
      <c r="T21" s="714"/>
      <c r="U21" s="715"/>
      <c r="V21" s="714"/>
      <c r="W21" s="715"/>
      <c r="X21" s="1541"/>
      <c r="Y21" s="3332"/>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2"/>
      <c r="Q22" s="1538" t="str">
        <f>B22</f>
        <v>楼层</v>
      </c>
      <c r="R22" s="714" t="s">
        <v>17</v>
      </c>
      <c r="S22" s="715">
        <f>F22</f>
        <v>100</v>
      </c>
      <c r="T22" s="714" t="s">
        <v>17</v>
      </c>
      <c r="U22" s="715">
        <f>H22</f>
        <v>100</v>
      </c>
      <c r="V22" s="714" t="s">
        <v>17</v>
      </c>
      <c r="W22" s="715">
        <f>J22</f>
        <v>100</v>
      </c>
      <c r="X22" s="1541"/>
      <c r="Y22" s="3332"/>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2"/>
      <c r="Q23" s="1538">
        <f>B23</f>
        <v>111</v>
      </c>
      <c r="R23" s="714" t="s">
        <v>17</v>
      </c>
      <c r="S23" s="715">
        <f>F23</f>
        <v>100</v>
      </c>
      <c r="T23" s="714" t="s">
        <v>17</v>
      </c>
      <c r="U23" s="715">
        <f>H23</f>
        <v>100</v>
      </c>
      <c r="V23" s="714" t="s">
        <v>17</v>
      </c>
      <c r="W23" s="715">
        <f>J23</f>
        <v>100</v>
      </c>
      <c r="X23" s="1541"/>
      <c r="Y23" s="3332"/>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2"/>
      <c r="Q24" s="1538">
        <f t="shared" ref="Q24:Q34" si="11">B24</f>
        <v>111</v>
      </c>
      <c r="R24" s="714" t="s">
        <v>17</v>
      </c>
      <c r="S24" s="715">
        <f>F24</f>
        <v>100</v>
      </c>
      <c r="T24" s="714" t="s">
        <v>17</v>
      </c>
      <c r="U24" s="715">
        <f>H24</f>
        <v>100</v>
      </c>
      <c r="V24" s="714" t="s">
        <v>17</v>
      </c>
      <c r="W24" s="715">
        <f>J24</f>
        <v>100</v>
      </c>
      <c r="X24" s="1541"/>
      <c r="Y24" s="3332"/>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332"/>
      <c r="Q25" s="1529">
        <f t="shared" si="11"/>
        <v>111</v>
      </c>
      <c r="R25" s="710" t="s">
        <v>17</v>
      </c>
      <c r="S25" s="711">
        <f>F25</f>
        <v>100</v>
      </c>
      <c r="T25" s="710" t="s">
        <v>17</v>
      </c>
      <c r="U25" s="711">
        <f>H25</f>
        <v>100</v>
      </c>
      <c r="V25" s="710" t="s">
        <v>17</v>
      </c>
      <c r="W25" s="711">
        <f>J25</f>
        <v>100</v>
      </c>
      <c r="X25" s="712"/>
      <c r="Y25" s="3332"/>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387"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6"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36"/>
      <c r="Q27" s="716" t="str">
        <f t="shared" si="11"/>
        <v>成新率</v>
      </c>
      <c r="R27" s="717" t="s">
        <v>17</v>
      </c>
      <c r="S27" s="718" t="e">
        <f t="shared" si="12"/>
        <v>#N/A</v>
      </c>
      <c r="T27" s="717" t="s">
        <v>17</v>
      </c>
      <c r="U27" s="718" t="e">
        <f t="shared" si="13"/>
        <v>#N/A</v>
      </c>
      <c r="V27" s="717" t="s">
        <v>17</v>
      </c>
      <c r="W27" s="718" t="e">
        <f t="shared" si="14"/>
        <v>#N/A</v>
      </c>
      <c r="X27" s="719"/>
      <c r="Y27" s="3336"/>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36"/>
      <c r="Q28" s="1538" t="str">
        <f t="shared" si="11"/>
        <v>物业等级</v>
      </c>
      <c r="R28" s="714" t="s">
        <v>17</v>
      </c>
      <c r="S28" s="715">
        <f t="shared" si="12"/>
        <v>100</v>
      </c>
      <c r="T28" s="714" t="s">
        <v>17</v>
      </c>
      <c r="U28" s="715">
        <f t="shared" si="13"/>
        <v>100</v>
      </c>
      <c r="V28" s="714" t="s">
        <v>17</v>
      </c>
      <c r="W28" s="715">
        <f t="shared" si="14"/>
        <v>100</v>
      </c>
      <c r="X28" s="1541"/>
      <c r="Y28" s="3336"/>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36"/>
      <c r="Q29" s="1538" t="str">
        <f t="shared" si="11"/>
        <v>有无电梯</v>
      </c>
      <c r="R29" s="714" t="s">
        <v>17</v>
      </c>
      <c r="S29" s="715">
        <f t="shared" si="12"/>
        <v>100</v>
      </c>
      <c r="T29" s="714" t="s">
        <v>17</v>
      </c>
      <c r="U29" s="715">
        <f t="shared" si="13"/>
        <v>100</v>
      </c>
      <c r="V29" s="714" t="s">
        <v>17</v>
      </c>
      <c r="W29" s="715">
        <f t="shared" si="14"/>
        <v>100</v>
      </c>
      <c r="X29" s="1541"/>
      <c r="Y29" s="3336"/>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36"/>
      <c r="Q30" s="1538" t="str">
        <f t="shared" si="11"/>
        <v>建筑面积</v>
      </c>
      <c r="R30" s="714" t="s">
        <v>17</v>
      </c>
      <c r="S30" s="715" t="e">
        <f t="shared" si="12"/>
        <v>#N/A</v>
      </c>
      <c r="T30" s="714" t="s">
        <v>17</v>
      </c>
      <c r="U30" s="715" t="e">
        <f t="shared" si="13"/>
        <v>#N/A</v>
      </c>
      <c r="V30" s="714" t="s">
        <v>17</v>
      </c>
      <c r="W30" s="715" t="e">
        <f t="shared" si="14"/>
        <v>#N/A</v>
      </c>
      <c r="X30" s="1541"/>
      <c r="Y30" s="3336"/>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36"/>
      <c r="Q31" s="1529" t="str">
        <f t="shared" si="11"/>
        <v>是否封闭</v>
      </c>
      <c r="R31" s="710" t="s">
        <v>17</v>
      </c>
      <c r="S31" s="711">
        <f t="shared" si="12"/>
        <v>100</v>
      </c>
      <c r="T31" s="710" t="s">
        <v>17</v>
      </c>
      <c r="U31" s="711">
        <f t="shared" si="13"/>
        <v>100</v>
      </c>
      <c r="V31" s="710" t="s">
        <v>17</v>
      </c>
      <c r="W31" s="711">
        <f t="shared" si="14"/>
        <v>100</v>
      </c>
      <c r="X31" s="712"/>
      <c r="Y31" s="3336"/>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36" t="s">
        <v>2387</v>
      </c>
      <c r="Q32" s="1538">
        <f t="shared" si="11"/>
        <v>111</v>
      </c>
      <c r="R32" s="714" t="s">
        <v>17</v>
      </c>
      <c r="S32" s="715">
        <f t="shared" si="12"/>
        <v>100</v>
      </c>
      <c r="T32" s="714" t="s">
        <v>17</v>
      </c>
      <c r="U32" s="715">
        <f t="shared" si="13"/>
        <v>100</v>
      </c>
      <c r="V32" s="714" t="s">
        <v>17</v>
      </c>
      <c r="W32" s="715">
        <f t="shared" si="14"/>
        <v>100</v>
      </c>
      <c r="X32" s="1541"/>
      <c r="Y32" s="3336"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36"/>
      <c r="Q33" s="1538">
        <f t="shared" si="11"/>
        <v>111</v>
      </c>
      <c r="R33" s="714" t="s">
        <v>17</v>
      </c>
      <c r="S33" s="715">
        <f t="shared" si="12"/>
        <v>100</v>
      </c>
      <c r="T33" s="714" t="s">
        <v>17</v>
      </c>
      <c r="U33" s="715">
        <f t="shared" si="13"/>
        <v>100</v>
      </c>
      <c r="V33" s="714" t="s">
        <v>17</v>
      </c>
      <c r="W33" s="715">
        <f t="shared" si="14"/>
        <v>100</v>
      </c>
      <c r="X33" s="1541"/>
      <c r="Y33" s="3336"/>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336"/>
      <c r="Q34" s="1538">
        <f t="shared" si="11"/>
        <v>111</v>
      </c>
      <c r="R34" s="714" t="s">
        <v>17</v>
      </c>
      <c r="S34" s="715">
        <f t="shared" si="12"/>
        <v>100</v>
      </c>
      <c r="T34" s="714" t="s">
        <v>17</v>
      </c>
      <c r="U34" s="715">
        <f t="shared" si="13"/>
        <v>100</v>
      </c>
      <c r="V34" s="714" t="s">
        <v>17</v>
      </c>
      <c r="W34" s="715">
        <f t="shared" si="14"/>
        <v>100</v>
      </c>
      <c r="X34" s="1541"/>
      <c r="Y34" s="3336"/>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3"/>
      <c r="M35" s="2954"/>
      <c r="N35" s="2945"/>
      <c r="O35" s="2954"/>
      <c r="P35" s="3329" t="str">
        <f>A35</f>
        <v>成交单价（元/平方米）</v>
      </c>
      <c r="Q35" s="3329"/>
      <c r="R35" s="3330">
        <f>E35</f>
        <v>0</v>
      </c>
      <c r="S35" s="3330"/>
      <c r="T35" s="3330">
        <f>G35</f>
        <v>0</v>
      </c>
      <c r="U35" s="3330"/>
      <c r="V35" s="3330">
        <f>I35</f>
        <v>0</v>
      </c>
      <c r="W35" s="3330"/>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3"/>
      <c r="M36" s="2954"/>
      <c r="N36" s="2945"/>
      <c r="O36" s="2954"/>
      <c r="P36" s="3329" t="str">
        <f>A36</f>
        <v>比较价值（元/平方米）</v>
      </c>
      <c r="Q36" s="3329"/>
      <c r="R36" s="3330" t="e">
        <f>IF(F1="售价",ROUND(PRODUCT(R35,AA7:AA34),0),ROUND(PRODUCT(R35,AA7:AA34),1))</f>
        <v>#DIV/0!</v>
      </c>
      <c r="S36" s="3330"/>
      <c r="T36" s="3330" t="e">
        <f>IF(F1="售价",ROUND(PRODUCT(T35,AB7:AB34),0),ROUND(PRODUCT(T35,AB7:AB34),1))</f>
        <v>#DIV/0!</v>
      </c>
      <c r="U36" s="3330"/>
      <c r="V36" s="3330" t="e">
        <f>IF(F1="售价",ROUND(PRODUCT(V35,AC7:AC34),0),ROUND(PRODUCT(V35,AC7:AC34),1))</f>
        <v>#DIV/0!</v>
      </c>
      <c r="W36" s="3330"/>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3"/>
      <c r="M37" s="2954"/>
      <c r="N37" s="2954"/>
      <c r="O37" s="2954"/>
      <c r="P37" s="3326" t="str">
        <f>A37</f>
        <v>估价对象XX用房的比较价值（楼面单价，元/平方米）</v>
      </c>
      <c r="Q37" s="3327"/>
      <c r="R37" s="3388" t="e">
        <f>IF(F1="售价",ROUND(IF(D36="简单平均",AVERAGE(R36:W36),R36*F36+T36*H36+V36*J36),0),ROUND(IF(D36="简单平均",AVERAGE(R36:V36),R36*F36+T36*H36+V36*J36),1))</f>
        <v>#DIV/0!</v>
      </c>
      <c r="S37" s="3388"/>
      <c r="T37" s="3388"/>
      <c r="U37" s="3388"/>
      <c r="V37" s="3388"/>
      <c r="W37" s="338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2496</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2407</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2372</v>
      </c>
      <c r="B49" s="467"/>
      <c r="C49" s="479" t="s">
        <v>2474</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2410</v>
      </c>
      <c r="B51" s="485" t="s">
        <v>2376</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2562</v>
      </c>
      <c r="C63" s="535" t="s">
        <v>2419</v>
      </c>
      <c r="D63" s="535" t="s">
        <v>2420</v>
      </c>
      <c r="E63" s="535" t="s">
        <v>2421</v>
      </c>
      <c r="F63" s="535" t="s">
        <v>2422</v>
      </c>
      <c r="G63" s="535" t="s">
        <v>2423</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2511</v>
      </c>
      <c r="C65" s="616" t="s">
        <v>2497</v>
      </c>
      <c r="D65" s="616" t="s">
        <v>2498</v>
      </c>
      <c r="E65" s="616" t="s">
        <v>2499</v>
      </c>
      <c r="F65" s="616" t="s">
        <v>2500</v>
      </c>
      <c r="G65" s="616" t="s">
        <v>2501</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2431</v>
      </c>
      <c r="C67" s="535" t="s">
        <v>2419</v>
      </c>
      <c r="D67" s="535" t="s">
        <v>2420</v>
      </c>
      <c r="E67" s="535" t="s">
        <v>2421</v>
      </c>
      <c r="F67" s="535" t="s">
        <v>2422</v>
      </c>
      <c r="G67" s="535" t="s">
        <v>2423</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2551</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2385</v>
      </c>
      <c r="B77" s="485" t="s">
        <v>2438</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2555</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2563</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2565</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4" priority="18" stopIfTrue="1" operator="containsText" text="超过">
      <formula>NOT(ISERROR(SEARCH("超过",F40)))</formula>
    </cfRule>
  </conditionalFormatting>
  <conditionalFormatting sqref="J42">
    <cfRule type="containsText" dxfId="83" priority="17" stopIfTrue="1" operator="containsText" text="超过">
      <formula>NOT(ISERROR(SEARCH("超过",J42)))</formula>
    </cfRule>
  </conditionalFormatting>
  <conditionalFormatting sqref="H42">
    <cfRule type="containsText" dxfId="82" priority="16" stopIfTrue="1" operator="containsText" text="超过">
      <formula>NOT(ISERROR(SEARCH("超过",H42)))</formula>
    </cfRule>
  </conditionalFormatting>
  <conditionalFormatting sqref="F42">
    <cfRule type="containsText" dxfId="81" priority="15" stopIfTrue="1" operator="containsText" text="超过">
      <formula>NOT(ISERROR(SEARCH("超过",F42)))</formula>
    </cfRule>
  </conditionalFormatting>
  <conditionalFormatting sqref="F41 H41 J41">
    <cfRule type="containsText" dxfId="80" priority="14" stopIfTrue="1" operator="containsText" text="超过">
      <formula>NOT(ISERROR(SEARCH("超过",F41)))</formula>
    </cfRule>
  </conditionalFormatting>
  <conditionalFormatting sqref="E40">
    <cfRule type="expression" dxfId="79" priority="13" stopIfTrue="1">
      <formula>$F$40="超过30%"</formula>
    </cfRule>
  </conditionalFormatting>
  <conditionalFormatting sqref="G42">
    <cfRule type="expression" dxfId="78" priority="12" stopIfTrue="1">
      <formula>$H$54+$H$42="超过30%"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G40">
    <cfRule type="expression" dxfId="75" priority="9" stopIfTrue="1">
      <formula>$H$52+$H$40="超过30%"</formula>
    </cfRule>
  </conditionalFormatting>
  <conditionalFormatting sqref="G41">
    <cfRule type="expression" dxfId="74" priority="8" stopIfTrue="1">
      <formula>$H$53+$H$41="超过20%"</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F7:F34 H7:H34 J7:J34">
    <cfRule type="cellIs" dxfId="6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2467</v>
      </c>
      <c r="B4" s="362"/>
      <c r="C4" s="3344" t="s">
        <v>2468</v>
      </c>
      <c r="D4" s="3345"/>
      <c r="E4" s="3346" t="s">
        <v>2469</v>
      </c>
      <c r="F4" s="3347"/>
      <c r="G4" s="3344" t="s">
        <v>2470</v>
      </c>
      <c r="H4" s="3345"/>
      <c r="I4" s="3344" t="s">
        <v>2471</v>
      </c>
      <c r="J4" s="3345"/>
      <c r="K4" s="567" t="s">
        <v>2472</v>
      </c>
      <c r="L4" s="2944"/>
      <c r="M4" s="2945"/>
      <c r="N4" s="2945"/>
      <c r="O4" s="2945"/>
      <c r="P4" s="3348" t="s">
        <v>2473</v>
      </c>
      <c r="Q4" s="3349"/>
      <c r="R4" s="3354" t="s">
        <v>2469</v>
      </c>
      <c r="S4" s="3355"/>
      <c r="T4" s="3354" t="s">
        <v>2470</v>
      </c>
      <c r="U4" s="3355"/>
      <c r="V4" s="3360" t="s">
        <v>2471</v>
      </c>
      <c r="W4" s="3360"/>
      <c r="X4" s="1541"/>
      <c r="Y4" s="3354" t="s">
        <v>2473</v>
      </c>
      <c r="Z4" s="3355"/>
      <c r="AA4" s="3341" t="s">
        <v>2469</v>
      </c>
      <c r="AB4" s="3342" t="s">
        <v>2470</v>
      </c>
      <c r="AC4" s="3341" t="s">
        <v>2471</v>
      </c>
    </row>
    <row r="5" spans="1:30" ht="15">
      <c r="A5" s="364"/>
      <c r="B5" s="365"/>
      <c r="C5" s="3363" t="s">
        <v>2364</v>
      </c>
      <c r="D5" s="3364"/>
      <c r="E5" s="3370" t="s">
        <v>2365</v>
      </c>
      <c r="F5" s="3371"/>
      <c r="G5" s="3363" t="s">
        <v>2366</v>
      </c>
      <c r="H5" s="3364"/>
      <c r="I5" s="3363" t="s">
        <v>2367</v>
      </c>
      <c r="J5" s="3364"/>
      <c r="K5" s="567"/>
      <c r="L5" s="2944"/>
      <c r="M5" s="2945"/>
      <c r="N5" s="2945"/>
      <c r="O5" s="2945"/>
      <c r="P5" s="3350"/>
      <c r="Q5" s="3351"/>
      <c r="R5" s="3356"/>
      <c r="S5" s="3357"/>
      <c r="T5" s="3356"/>
      <c r="U5" s="3357"/>
      <c r="V5" s="3360"/>
      <c r="W5" s="3360"/>
      <c r="X5" s="1541"/>
      <c r="Y5" s="3356"/>
      <c r="Z5" s="3357"/>
      <c r="AA5" s="3342"/>
      <c r="AB5" s="3342"/>
      <c r="AC5" s="3342"/>
    </row>
    <row r="6" spans="1:30" ht="15.75" thickBot="1">
      <c r="A6" s="366"/>
      <c r="B6" s="367"/>
      <c r="C6" s="3361" t="s">
        <v>2368</v>
      </c>
      <c r="D6" s="3362"/>
      <c r="E6" s="3368" t="s">
        <v>2368</v>
      </c>
      <c r="F6" s="3369"/>
      <c r="G6" s="3361" t="s">
        <v>2368</v>
      </c>
      <c r="H6" s="3362"/>
      <c r="I6" s="3361" t="s">
        <v>2368</v>
      </c>
      <c r="J6" s="3362"/>
      <c r="K6" s="567" t="s">
        <v>2369</v>
      </c>
      <c r="L6" s="2944"/>
      <c r="M6" s="2945"/>
      <c r="N6" s="2945"/>
      <c r="O6" s="2945"/>
      <c r="P6" s="3352"/>
      <c r="Q6" s="3353"/>
      <c r="R6" s="3356"/>
      <c r="S6" s="3357"/>
      <c r="T6" s="3358"/>
      <c r="U6" s="3359"/>
      <c r="V6" s="3360"/>
      <c r="W6" s="3360"/>
      <c r="X6" s="1541"/>
      <c r="Y6" s="3358"/>
      <c r="Z6" s="3359"/>
      <c r="AA6" s="3343"/>
      <c r="AB6" s="3343"/>
      <c r="AC6" s="3343"/>
    </row>
    <row r="7" spans="1:30" s="113" customFormat="1" ht="15.75" thickBot="1">
      <c r="A7" s="368" t="s">
        <v>2370</v>
      </c>
      <c r="B7" s="369"/>
      <c r="C7" s="370">
        <f>'数据-取费表'!B2</f>
        <v>44218</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365" t="s">
        <v>2371</v>
      </c>
      <c r="Q7" s="3367"/>
      <c r="R7" s="710" t="s">
        <v>17</v>
      </c>
      <c r="S7" s="711">
        <f t="shared" ref="S7:S15" si="0">F7</f>
        <v>0</v>
      </c>
      <c r="T7" s="710" t="s">
        <v>17</v>
      </c>
      <c r="U7" s="711">
        <f t="shared" ref="U7:U15" si="1">H7</f>
        <v>0</v>
      </c>
      <c r="V7" s="710" t="s">
        <v>17</v>
      </c>
      <c r="W7" s="711">
        <f t="shared" ref="W7:W15" si="2">J7</f>
        <v>0</v>
      </c>
      <c r="X7" s="712"/>
      <c r="Y7" s="3365" t="s">
        <v>2371</v>
      </c>
      <c r="Z7" s="3366"/>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65" t="s">
        <v>2374</v>
      </c>
      <c r="Q8" s="3366"/>
      <c r="R8" s="710" t="s">
        <v>17</v>
      </c>
      <c r="S8" s="711">
        <f t="shared" si="0"/>
        <v>0</v>
      </c>
      <c r="T8" s="710" t="s">
        <v>17</v>
      </c>
      <c r="U8" s="711">
        <f t="shared" si="1"/>
        <v>0</v>
      </c>
      <c r="V8" s="710" t="s">
        <v>17</v>
      </c>
      <c r="W8" s="711">
        <f t="shared" si="2"/>
        <v>0</v>
      </c>
      <c r="X8" s="712"/>
      <c r="Y8" s="3365" t="s">
        <v>2374</v>
      </c>
      <c r="Z8" s="3366"/>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329" t="s">
        <v>2377</v>
      </c>
      <c r="Q9" s="1529" t="str">
        <f t="shared" ref="Q9:Q15" si="6">B9</f>
        <v>用途</v>
      </c>
      <c r="R9" s="710" t="s">
        <v>17</v>
      </c>
      <c r="S9" s="711">
        <f t="shared" si="0"/>
        <v>100</v>
      </c>
      <c r="T9" s="710" t="s">
        <v>17</v>
      </c>
      <c r="U9" s="711">
        <f t="shared" si="1"/>
        <v>100</v>
      </c>
      <c r="V9" s="710" t="s">
        <v>17</v>
      </c>
      <c r="W9" s="711">
        <f t="shared" si="2"/>
        <v>100</v>
      </c>
      <c r="X9" s="712"/>
      <c r="Y9" s="3201"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 ca="1">ROUND(100/'数据-取费表'!G16,0)</f>
        <v>103</v>
      </c>
      <c r="G10" s="422"/>
      <c r="H10" s="132">
        <f ca="1">ROUND(100/'数据-取费表'!G16,0)</f>
        <v>103</v>
      </c>
      <c r="I10" s="422"/>
      <c r="J10" s="132">
        <f ca="1">ROUND(100/'数据-取费表'!G16,0)</f>
        <v>103</v>
      </c>
      <c r="K10" s="628"/>
      <c r="L10" s="2948"/>
      <c r="M10" s="2949"/>
      <c r="N10" s="2949"/>
      <c r="O10" s="3002"/>
      <c r="P10" s="3329"/>
      <c r="Q10" s="1529" t="str">
        <f t="shared" si="6"/>
        <v>土地使用年限（年）</v>
      </c>
      <c r="R10" s="710" t="s">
        <v>17</v>
      </c>
      <c r="S10" s="711">
        <f t="shared" ca="1" si="0"/>
        <v>103</v>
      </c>
      <c r="T10" s="710" t="s">
        <v>17</v>
      </c>
      <c r="U10" s="711">
        <f t="shared" ca="1" si="1"/>
        <v>103</v>
      </c>
      <c r="V10" s="710" t="s">
        <v>17</v>
      </c>
      <c r="W10" s="711">
        <f t="shared" ca="1" si="2"/>
        <v>103</v>
      </c>
      <c r="X10" s="712"/>
      <c r="Y10" s="3201"/>
      <c r="Z10" s="55" t="str">
        <f t="shared" si="7"/>
        <v>土地使用年限（年）</v>
      </c>
      <c r="AA10" s="713">
        <f t="shared" ca="1" si="3"/>
        <v>0.970873786407767</v>
      </c>
      <c r="AB10" s="713">
        <f t="shared" ca="1" si="4"/>
        <v>0.970873786407767</v>
      </c>
      <c r="AC10" s="713">
        <f t="shared" ca="1" si="5"/>
        <v>0.970873786407767</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29"/>
      <c r="Q11" s="1529" t="str">
        <f t="shared" si="6"/>
        <v>容积率</v>
      </c>
      <c r="R11" s="710" t="s">
        <v>17</v>
      </c>
      <c r="S11" s="711" t="e">
        <f t="shared" si="0"/>
        <v>#N/A</v>
      </c>
      <c r="T11" s="710" t="s">
        <v>17</v>
      </c>
      <c r="U11" s="711" t="e">
        <f t="shared" si="1"/>
        <v>#N/A</v>
      </c>
      <c r="V11" s="710" t="s">
        <v>17</v>
      </c>
      <c r="W11" s="711" t="e">
        <f t="shared" si="2"/>
        <v>#N/A</v>
      </c>
      <c r="X11" s="712"/>
      <c r="Y11" s="3201"/>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29"/>
      <c r="Q12" s="1529" t="str">
        <f t="shared" si="6"/>
        <v>配建</v>
      </c>
      <c r="R12" s="710" t="s">
        <v>17</v>
      </c>
      <c r="S12" s="711">
        <f t="shared" si="0"/>
        <v>100</v>
      </c>
      <c r="T12" s="710" t="s">
        <v>17</v>
      </c>
      <c r="U12" s="711">
        <f t="shared" si="1"/>
        <v>100</v>
      </c>
      <c r="V12" s="710" t="s">
        <v>17</v>
      </c>
      <c r="W12" s="711">
        <f t="shared" si="2"/>
        <v>100</v>
      </c>
      <c r="X12" s="712"/>
      <c r="Y12" s="3201"/>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29"/>
      <c r="Q13" s="1529">
        <f t="shared" si="6"/>
        <v>111</v>
      </c>
      <c r="R13" s="710" t="s">
        <v>17</v>
      </c>
      <c r="S13" s="711">
        <f t="shared" si="0"/>
        <v>100</v>
      </c>
      <c r="T13" s="710" t="s">
        <v>17</v>
      </c>
      <c r="U13" s="711">
        <f t="shared" si="1"/>
        <v>100</v>
      </c>
      <c r="V13" s="710" t="s">
        <v>17</v>
      </c>
      <c r="W13" s="711">
        <f t="shared" si="2"/>
        <v>100</v>
      </c>
      <c r="X13" s="712"/>
      <c r="Y13" s="3201"/>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29"/>
      <c r="Q14" s="1529">
        <f t="shared" si="6"/>
        <v>111</v>
      </c>
      <c r="R14" s="710" t="s">
        <v>17</v>
      </c>
      <c r="S14" s="711">
        <f t="shared" si="0"/>
        <v>100</v>
      </c>
      <c r="T14" s="710" t="s">
        <v>17</v>
      </c>
      <c r="U14" s="711">
        <f t="shared" si="1"/>
        <v>100</v>
      </c>
      <c r="V14" s="710" t="s">
        <v>17</v>
      </c>
      <c r="W14" s="711">
        <f t="shared" si="2"/>
        <v>100</v>
      </c>
      <c r="X14" s="712"/>
      <c r="Y14" s="3201"/>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31" t="s">
        <v>2382</v>
      </c>
      <c r="Q15" s="1538" t="str">
        <f t="shared" si="6"/>
        <v>居住社区成熟度</v>
      </c>
      <c r="R15" s="714" t="s">
        <v>17</v>
      </c>
      <c r="S15" s="715">
        <f t="shared" si="0"/>
        <v>100</v>
      </c>
      <c r="T15" s="714" t="s">
        <v>17</v>
      </c>
      <c r="U15" s="715">
        <f t="shared" si="1"/>
        <v>100</v>
      </c>
      <c r="V15" s="714" t="s">
        <v>17</v>
      </c>
      <c r="W15" s="715">
        <f t="shared" si="2"/>
        <v>100</v>
      </c>
      <c r="X15" s="1541"/>
      <c r="Y15" s="3331"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332"/>
      <c r="Q16" s="1538"/>
      <c r="R16" s="714"/>
      <c r="S16" s="715"/>
      <c r="T16" s="714"/>
      <c r="U16" s="715"/>
      <c r="V16" s="714"/>
      <c r="W16" s="715"/>
      <c r="X16" s="1541"/>
      <c r="Y16" s="3332"/>
      <c r="Z16" s="1542"/>
      <c r="AA16" s="1539">
        <v>1</v>
      </c>
      <c r="AB16" s="1539">
        <v>1</v>
      </c>
      <c r="AC16" s="1539">
        <v>1</v>
      </c>
    </row>
    <row r="17" spans="1:29" ht="15">
      <c r="A17" s="387"/>
      <c r="B17" s="410" t="s">
        <v>2475</v>
      </c>
      <c r="C17" s="2143" t="str">
        <f>估价对象房地状况!C16</f>
        <v>一般</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32"/>
      <c r="Q17" s="1538" t="str">
        <f>B17</f>
        <v>商业繁华度</v>
      </c>
      <c r="R17" s="714" t="s">
        <v>17</v>
      </c>
      <c r="S17" s="715">
        <f>F17</f>
        <v>100</v>
      </c>
      <c r="T17" s="714" t="s">
        <v>17</v>
      </c>
      <c r="U17" s="715">
        <f>H17</f>
        <v>100</v>
      </c>
      <c r="V17" s="714" t="s">
        <v>17</v>
      </c>
      <c r="W17" s="715">
        <f>J17</f>
        <v>100</v>
      </c>
      <c r="X17" s="1541"/>
      <c r="Y17" s="3332"/>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332"/>
      <c r="Q18" s="1538"/>
      <c r="R18" s="714"/>
      <c r="S18" s="715"/>
      <c r="T18" s="714"/>
      <c r="U18" s="715"/>
      <c r="V18" s="714"/>
      <c r="W18" s="715"/>
      <c r="X18" s="1541"/>
      <c r="Y18" s="3332"/>
      <c r="Z18" s="1542"/>
      <c r="AA18" s="1539">
        <v>1</v>
      </c>
      <c r="AB18" s="1539">
        <v>1</v>
      </c>
      <c r="AC18" s="1539">
        <v>1</v>
      </c>
    </row>
    <row r="19" spans="1:29" ht="15">
      <c r="A19" s="387"/>
      <c r="B19" s="410" t="s">
        <v>2509</v>
      </c>
      <c r="C19" s="2143" t="str">
        <f>估价对象房地状况!C17</f>
        <v>一般</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32"/>
      <c r="Q19" s="1538" t="str">
        <f>B19</f>
        <v>办公集聚程度</v>
      </c>
      <c r="R19" s="714" t="s">
        <v>17</v>
      </c>
      <c r="S19" s="715">
        <f>F19</f>
        <v>100</v>
      </c>
      <c r="T19" s="714" t="s">
        <v>17</v>
      </c>
      <c r="U19" s="715">
        <f>H19</f>
        <v>100</v>
      </c>
      <c r="V19" s="714" t="s">
        <v>17</v>
      </c>
      <c r="W19" s="715">
        <f>J19</f>
        <v>100</v>
      </c>
      <c r="X19" s="1541"/>
      <c r="Y19" s="3332"/>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332"/>
      <c r="Q20" s="1538"/>
      <c r="R20" s="714"/>
      <c r="S20" s="715"/>
      <c r="T20" s="714"/>
      <c r="U20" s="715"/>
      <c r="V20" s="714"/>
      <c r="W20" s="715"/>
      <c r="X20" s="1541"/>
      <c r="Y20" s="3332"/>
      <c r="Z20" s="1542"/>
      <c r="AA20" s="1539">
        <v>1</v>
      </c>
      <c r="AB20" s="1539">
        <v>1</v>
      </c>
      <c r="AC20" s="1539">
        <v>1</v>
      </c>
    </row>
    <row r="21" spans="1:29" ht="15">
      <c r="A21" s="387"/>
      <c r="B21" s="410" t="s">
        <v>2531</v>
      </c>
      <c r="C21" s="2088" t="str">
        <f>估价对象房地状况!C18</f>
        <v>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32"/>
      <c r="Q21" s="1538" t="str">
        <f>B21</f>
        <v>交通便捷度</v>
      </c>
      <c r="R21" s="714" t="s">
        <v>17</v>
      </c>
      <c r="S21" s="715">
        <f>F21</f>
        <v>100</v>
      </c>
      <c r="T21" s="714" t="s">
        <v>17</v>
      </c>
      <c r="U21" s="715">
        <f>H21</f>
        <v>100</v>
      </c>
      <c r="V21" s="714" t="s">
        <v>17</v>
      </c>
      <c r="W21" s="715">
        <f>J21</f>
        <v>100</v>
      </c>
      <c r="X21" s="1541"/>
      <c r="Y21" s="3332"/>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332"/>
      <c r="Q22" s="1538"/>
      <c r="R22" s="714"/>
      <c r="S22" s="715"/>
      <c r="T22" s="714"/>
      <c r="U22" s="715"/>
      <c r="V22" s="714"/>
      <c r="W22" s="715"/>
      <c r="X22" s="1541"/>
      <c r="Y22" s="3332"/>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32"/>
      <c r="Q23" s="1538" t="str">
        <f t="shared" ref="Q23:Q37" si="8">B23</f>
        <v>区域土地利用方向</v>
      </c>
      <c r="R23" s="714" t="s">
        <v>17</v>
      </c>
      <c r="S23" s="715">
        <f>F23</f>
        <v>100</v>
      </c>
      <c r="T23" s="714" t="s">
        <v>17</v>
      </c>
      <c r="U23" s="715">
        <f>H23</f>
        <v>100</v>
      </c>
      <c r="V23" s="714" t="s">
        <v>17</v>
      </c>
      <c r="W23" s="715">
        <f>J23</f>
        <v>100</v>
      </c>
      <c r="X23" s="1541"/>
      <c r="Y23" s="3332"/>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332"/>
      <c r="Q24" s="1538"/>
      <c r="R24" s="714"/>
      <c r="S24" s="715"/>
      <c r="T24" s="714"/>
      <c r="U24" s="715"/>
      <c r="V24" s="714"/>
      <c r="W24" s="715"/>
      <c r="X24" s="1541"/>
      <c r="Y24" s="3332"/>
      <c r="Z24" s="1542"/>
      <c r="AA24" s="1539"/>
      <c r="AB24" s="1539"/>
      <c r="AC24" s="1539"/>
    </row>
    <row r="25" spans="1:29" ht="27">
      <c r="A25" s="364"/>
      <c r="B25" s="1293" t="s">
        <v>2571</v>
      </c>
      <c r="C25" s="2143" t="str">
        <f>估价对象房地状况!C20</f>
        <v>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32"/>
      <c r="Q25" s="1538" t="str">
        <f t="shared" si="8"/>
        <v>自然及人文环境状况</v>
      </c>
      <c r="R25" s="714" t="s">
        <v>17</v>
      </c>
      <c r="S25" s="715">
        <f>F25</f>
        <v>100</v>
      </c>
      <c r="T25" s="714" t="s">
        <v>17</v>
      </c>
      <c r="U25" s="715">
        <f>H25</f>
        <v>100</v>
      </c>
      <c r="V25" s="714" t="s">
        <v>17</v>
      </c>
      <c r="W25" s="715">
        <f>J25</f>
        <v>100</v>
      </c>
      <c r="X25" s="1541"/>
      <c r="Y25" s="3332"/>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332"/>
      <c r="Q26" s="1538"/>
      <c r="R26" s="714"/>
      <c r="S26" s="715"/>
      <c r="T26" s="714"/>
      <c r="U26" s="715"/>
      <c r="V26" s="714"/>
      <c r="W26" s="715"/>
      <c r="X26" s="1541"/>
      <c r="Y26" s="3332"/>
      <c r="Z26" s="1542"/>
      <c r="AA26" s="1539">
        <v>1</v>
      </c>
      <c r="AB26" s="1539">
        <v>1</v>
      </c>
      <c r="AC26" s="1539">
        <v>1</v>
      </c>
    </row>
    <row r="27" spans="1:29" s="113" customFormat="1" ht="15">
      <c r="A27" s="605"/>
      <c r="B27" s="1293" t="s">
        <v>2476</v>
      </c>
      <c r="C27" s="2088"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32"/>
      <c r="Q27" s="1529" t="str">
        <f t="shared" si="8"/>
        <v>公共配套设施</v>
      </c>
      <c r="R27" s="710" t="s">
        <v>17</v>
      </c>
      <c r="S27" s="711">
        <f>F27</f>
        <v>100</v>
      </c>
      <c r="T27" s="710" t="s">
        <v>17</v>
      </c>
      <c r="U27" s="711">
        <f>H27</f>
        <v>100</v>
      </c>
      <c r="V27" s="710" t="s">
        <v>17</v>
      </c>
      <c r="W27" s="711">
        <f>J27</f>
        <v>100</v>
      </c>
      <c r="X27" s="712"/>
      <c r="Y27" s="3332"/>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332"/>
      <c r="Q28" s="1529"/>
      <c r="R28" s="710"/>
      <c r="S28" s="711"/>
      <c r="T28" s="710"/>
      <c r="U28" s="711"/>
      <c r="V28" s="710"/>
      <c r="W28" s="711"/>
      <c r="X28" s="712"/>
      <c r="Y28" s="3332"/>
      <c r="Z28" s="55"/>
      <c r="AA28" s="1539">
        <v>1</v>
      </c>
      <c r="AB28" s="1539">
        <v>1</v>
      </c>
      <c r="AC28" s="1539">
        <v>1</v>
      </c>
    </row>
    <row r="29" spans="1:29" s="113" customFormat="1" ht="15">
      <c r="A29" s="605"/>
      <c r="B29" s="1293" t="s">
        <v>2477</v>
      </c>
      <c r="C29" s="208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32"/>
      <c r="Q29" s="1529" t="str">
        <f t="shared" ref="Q29" si="9">B29</f>
        <v>基础设施水平</v>
      </c>
      <c r="R29" s="710" t="s">
        <v>17</v>
      </c>
      <c r="S29" s="711">
        <f>F29</f>
        <v>100</v>
      </c>
      <c r="T29" s="710" t="s">
        <v>17</v>
      </c>
      <c r="U29" s="711">
        <f>H29</f>
        <v>100</v>
      </c>
      <c r="V29" s="710" t="s">
        <v>17</v>
      </c>
      <c r="W29" s="711">
        <f>J29</f>
        <v>100</v>
      </c>
      <c r="X29" s="712"/>
      <c r="Y29" s="3332"/>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332"/>
      <c r="Q30" s="1529"/>
      <c r="R30" s="710"/>
      <c r="S30" s="711"/>
      <c r="T30" s="710"/>
      <c r="U30" s="711"/>
      <c r="V30" s="710"/>
      <c r="W30" s="711"/>
      <c r="X30" s="712"/>
      <c r="Y30" s="3332"/>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32"/>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2"/>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32"/>
      <c r="Q32" s="1538" t="str">
        <f t="shared" si="8"/>
        <v>毗邻道路的类型与等级</v>
      </c>
      <c r="R32" s="714" t="s">
        <v>17</v>
      </c>
      <c r="S32" s="715">
        <f t="shared" si="10"/>
        <v>100</v>
      </c>
      <c r="T32" s="714" t="s">
        <v>17</v>
      </c>
      <c r="U32" s="715">
        <f t="shared" si="11"/>
        <v>100</v>
      </c>
      <c r="V32" s="714" t="s">
        <v>17</v>
      </c>
      <c r="W32" s="715">
        <f t="shared" si="12"/>
        <v>100</v>
      </c>
      <c r="X32" s="1541"/>
      <c r="Y32" s="3332"/>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332"/>
      <c r="Q33" s="1538"/>
      <c r="R33" s="714"/>
      <c r="S33" s="715"/>
      <c r="T33" s="714"/>
      <c r="U33" s="715"/>
      <c r="V33" s="714"/>
      <c r="W33" s="715"/>
      <c r="X33" s="1541"/>
      <c r="Y33" s="3332"/>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32"/>
      <c r="Q34" s="1538" t="str">
        <f t="shared" si="8"/>
        <v>土地级别</v>
      </c>
      <c r="R34" s="714" t="s">
        <v>17</v>
      </c>
      <c r="S34" s="715">
        <f t="shared" si="10"/>
        <v>100</v>
      </c>
      <c r="T34" s="714" t="s">
        <v>17</v>
      </c>
      <c r="U34" s="715">
        <f t="shared" si="11"/>
        <v>100</v>
      </c>
      <c r="V34" s="714" t="s">
        <v>17</v>
      </c>
      <c r="W34" s="715">
        <f t="shared" si="12"/>
        <v>100</v>
      </c>
      <c r="X34" s="1541"/>
      <c r="Y34" s="3332"/>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32"/>
      <c r="Q35" s="1538">
        <f t="shared" si="8"/>
        <v>111</v>
      </c>
      <c r="R35" s="714" t="s">
        <v>17</v>
      </c>
      <c r="S35" s="715">
        <f t="shared" si="10"/>
        <v>100</v>
      </c>
      <c r="T35" s="714" t="s">
        <v>17</v>
      </c>
      <c r="U35" s="715">
        <f t="shared" si="11"/>
        <v>100</v>
      </c>
      <c r="V35" s="714" t="s">
        <v>17</v>
      </c>
      <c r="W35" s="715">
        <f t="shared" si="12"/>
        <v>100</v>
      </c>
      <c r="X35" s="1541"/>
      <c r="Y35" s="3332"/>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87" t="s">
        <v>2387</v>
      </c>
      <c r="Q36" s="1538">
        <f t="shared" si="8"/>
        <v>111</v>
      </c>
      <c r="R36" s="714" t="s">
        <v>17</v>
      </c>
      <c r="S36" s="715">
        <f t="shared" si="10"/>
        <v>100</v>
      </c>
      <c r="T36" s="714" t="s">
        <v>17</v>
      </c>
      <c r="U36" s="715">
        <f t="shared" si="11"/>
        <v>100</v>
      </c>
      <c r="V36" s="714" t="s">
        <v>17</v>
      </c>
      <c r="W36" s="715">
        <f t="shared" si="12"/>
        <v>100</v>
      </c>
      <c r="X36" s="1541"/>
      <c r="Y36" s="3336"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36"/>
      <c r="Q37" s="1538">
        <f t="shared" si="8"/>
        <v>111</v>
      </c>
      <c r="R37" s="717" t="s">
        <v>17</v>
      </c>
      <c r="S37" s="718">
        <f t="shared" si="10"/>
        <v>100</v>
      </c>
      <c r="T37" s="717" t="s">
        <v>17</v>
      </c>
      <c r="U37" s="718">
        <f t="shared" si="11"/>
        <v>100</v>
      </c>
      <c r="V37" s="717" t="s">
        <v>17</v>
      </c>
      <c r="W37" s="718">
        <f t="shared" si="12"/>
        <v>100</v>
      </c>
      <c r="X37" s="719"/>
      <c r="Y37" s="3336"/>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36"/>
      <c r="Q38" s="1538" t="str">
        <f>B38</f>
        <v>宗地面积</v>
      </c>
      <c r="R38" s="714" t="s">
        <v>17</v>
      </c>
      <c r="S38" s="715" t="e">
        <f t="shared" si="10"/>
        <v>#N/A</v>
      </c>
      <c r="T38" s="714" t="s">
        <v>17</v>
      </c>
      <c r="U38" s="715" t="e">
        <f t="shared" si="11"/>
        <v>#N/A</v>
      </c>
      <c r="V38" s="714" t="s">
        <v>17</v>
      </c>
      <c r="W38" s="715" t="e">
        <f t="shared" si="12"/>
        <v>#N/A</v>
      </c>
      <c r="X38" s="1541"/>
      <c r="Y38" s="3336"/>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336"/>
      <c r="Q39" s="1538" t="str">
        <f t="shared" ref="Q39:Q45" si="14">B39</f>
        <v>宗地形状</v>
      </c>
      <c r="R39" s="714" t="s">
        <v>17</v>
      </c>
      <c r="S39" s="715">
        <f t="shared" si="10"/>
        <v>100</v>
      </c>
      <c r="T39" s="714" t="s">
        <v>17</v>
      </c>
      <c r="U39" s="715">
        <f t="shared" si="11"/>
        <v>100</v>
      </c>
      <c r="V39" s="714" t="s">
        <v>17</v>
      </c>
      <c r="W39" s="715">
        <f t="shared" si="12"/>
        <v>100</v>
      </c>
      <c r="X39" s="1541"/>
      <c r="Y39" s="3336"/>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336"/>
      <c r="Q40" s="1538" t="str">
        <f t="shared" si="14"/>
        <v>临街宽度及深度</v>
      </c>
      <c r="R40" s="714" t="s">
        <v>17</v>
      </c>
      <c r="S40" s="715">
        <f t="shared" si="10"/>
        <v>100</v>
      </c>
      <c r="T40" s="714" t="s">
        <v>17</v>
      </c>
      <c r="U40" s="715">
        <f t="shared" si="11"/>
        <v>100</v>
      </c>
      <c r="V40" s="714" t="s">
        <v>17</v>
      </c>
      <c r="W40" s="715">
        <f t="shared" si="12"/>
        <v>100</v>
      </c>
      <c r="X40" s="1541"/>
      <c r="Y40" s="3336"/>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336"/>
      <c r="Q41" s="1538" t="str">
        <f t="shared" si="14"/>
        <v>宗地开发程度</v>
      </c>
      <c r="R41" s="710" t="s">
        <v>17</v>
      </c>
      <c r="S41" s="711">
        <f t="shared" si="10"/>
        <v>100</v>
      </c>
      <c r="T41" s="710" t="s">
        <v>17</v>
      </c>
      <c r="U41" s="711">
        <f t="shared" si="11"/>
        <v>100</v>
      </c>
      <c r="V41" s="710" t="s">
        <v>17</v>
      </c>
      <c r="W41" s="711">
        <f t="shared" si="12"/>
        <v>100</v>
      </c>
      <c r="X41" s="712"/>
      <c r="Y41" s="3336"/>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336" t="s">
        <v>2387</v>
      </c>
      <c r="Q42" s="1538" t="str">
        <f t="shared" si="14"/>
        <v>工程地质条件</v>
      </c>
      <c r="R42" s="714" t="s">
        <v>17</v>
      </c>
      <c r="S42" s="715">
        <f t="shared" si="10"/>
        <v>100</v>
      </c>
      <c r="T42" s="714" t="s">
        <v>17</v>
      </c>
      <c r="U42" s="715">
        <f t="shared" si="11"/>
        <v>100</v>
      </c>
      <c r="V42" s="714" t="s">
        <v>17</v>
      </c>
      <c r="W42" s="715">
        <f t="shared" si="12"/>
        <v>100</v>
      </c>
      <c r="X42" s="1541"/>
      <c r="Y42" s="3336"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36"/>
      <c r="Q43" s="1538">
        <f t="shared" si="14"/>
        <v>111</v>
      </c>
      <c r="R43" s="714" t="s">
        <v>17</v>
      </c>
      <c r="S43" s="715">
        <f t="shared" si="10"/>
        <v>100</v>
      </c>
      <c r="T43" s="714" t="s">
        <v>17</v>
      </c>
      <c r="U43" s="715">
        <f t="shared" si="11"/>
        <v>100</v>
      </c>
      <c r="V43" s="714" t="s">
        <v>17</v>
      </c>
      <c r="W43" s="715">
        <f t="shared" si="12"/>
        <v>100</v>
      </c>
      <c r="X43" s="1541"/>
      <c r="Y43" s="3336"/>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36"/>
      <c r="Q44" s="1538">
        <f t="shared" si="14"/>
        <v>111</v>
      </c>
      <c r="R44" s="714" t="s">
        <v>17</v>
      </c>
      <c r="S44" s="715">
        <f t="shared" si="10"/>
        <v>100</v>
      </c>
      <c r="T44" s="714" t="s">
        <v>17</v>
      </c>
      <c r="U44" s="715">
        <f t="shared" si="11"/>
        <v>100</v>
      </c>
      <c r="V44" s="714" t="s">
        <v>17</v>
      </c>
      <c r="W44" s="715">
        <f t="shared" si="12"/>
        <v>100</v>
      </c>
      <c r="X44" s="1541"/>
      <c r="Y44" s="3336"/>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36"/>
      <c r="Q45" s="1538">
        <f t="shared" si="14"/>
        <v>111</v>
      </c>
      <c r="R45" s="717" t="s">
        <v>17</v>
      </c>
      <c r="S45" s="718">
        <f t="shared" si="10"/>
        <v>100</v>
      </c>
      <c r="T45" s="717" t="s">
        <v>17</v>
      </c>
      <c r="U45" s="718">
        <f t="shared" si="11"/>
        <v>100</v>
      </c>
      <c r="V45" s="717" t="s">
        <v>17</v>
      </c>
      <c r="W45" s="718">
        <f t="shared" si="12"/>
        <v>100</v>
      </c>
      <c r="X45" s="719"/>
      <c r="Y45" s="3336"/>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3"/>
      <c r="M46" s="2954"/>
      <c r="N46" s="2945"/>
      <c r="O46" s="2954"/>
      <c r="P46" s="3329" t="str">
        <f>A46</f>
        <v>成交单价</v>
      </c>
      <c r="Q46" s="3329"/>
      <c r="R46" s="3360">
        <f>E46</f>
        <v>0</v>
      </c>
      <c r="S46" s="3360"/>
      <c r="T46" s="3360">
        <f>G46</f>
        <v>0</v>
      </c>
      <c r="U46" s="3360"/>
      <c r="V46" s="3360">
        <f>I46</f>
        <v>0</v>
      </c>
      <c r="W46" s="3360"/>
      <c r="X46" s="699"/>
      <c r="Y46" s="721"/>
      <c r="Z46" s="699"/>
      <c r="AA46" s="699"/>
      <c r="AB46" s="699"/>
      <c r="AC46" s="699"/>
    </row>
    <row r="47" spans="1:29" ht="15.75" thickBot="1">
      <c r="A47" s="445" t="s">
        <v>2491</v>
      </c>
      <c r="B47" s="639"/>
      <c r="C47" s="448" t="e">
        <f>R48</f>
        <v>#DIV/0!</v>
      </c>
      <c r="D47" s="2540" t="s">
        <v>2880</v>
      </c>
      <c r="E47" s="448" t="e">
        <f>R47</f>
        <v>#DIV/0!</v>
      </c>
      <c r="F47" s="2541"/>
      <c r="G47" s="447" t="e">
        <f>T47</f>
        <v>#DIV/0!</v>
      </c>
      <c r="H47" s="2541"/>
      <c r="I47" s="448" t="e">
        <f>V47</f>
        <v>#DIV/0!</v>
      </c>
      <c r="J47" s="2541"/>
      <c r="K47" s="2543">
        <f>F47+H47+J47</f>
        <v>0</v>
      </c>
      <c r="L47" s="2953"/>
      <c r="M47" s="2954"/>
      <c r="N47" s="2954"/>
      <c r="O47" s="2954"/>
      <c r="P47" s="3329" t="str">
        <f>A47</f>
        <v>比较价值（元/平方米）</v>
      </c>
      <c r="Q47" s="3329"/>
      <c r="R47" s="3389" t="e">
        <f>ROUND(PRODUCT(R46,AA7:AA45),0)</f>
        <v>#DIV/0!</v>
      </c>
      <c r="S47" s="3389"/>
      <c r="T47" s="3389" t="e">
        <f>ROUND(PRODUCT(T46,AB7:AB45),0)</f>
        <v>#DIV/0!</v>
      </c>
      <c r="U47" s="3389"/>
      <c r="V47" s="3389" t="e">
        <f>ROUND(PRODUCT(V46,AC7:AC45),0)</f>
        <v>#DIV/0!</v>
      </c>
      <c r="W47" s="3389"/>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3"/>
      <c r="M48" s="2954"/>
      <c r="N48" s="2954"/>
      <c r="O48" s="2954"/>
      <c r="P48" s="3326" t="str">
        <f>A48</f>
        <v>估价对象XX用房的比较价值（楼面单价，元/平方米）</v>
      </c>
      <c r="Q48" s="3327"/>
      <c r="R48" s="3390" t="e">
        <f>ROUND(IF(D47="简单平均",AVERAGE(R47:W47),R47*F47+T47*H47+V47*J47),0)</f>
        <v>#DIV/0!</v>
      </c>
      <c r="S48" s="3390"/>
      <c r="T48" s="3390"/>
      <c r="U48" s="3390"/>
      <c r="V48" s="3390"/>
      <c r="W48" s="339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2580</v>
      </c>
      <c r="B55" s="641" t="s">
        <v>2581</v>
      </c>
      <c r="C55" s="2171" t="s">
        <v>2582</v>
      </c>
      <c r="D55" s="2172" t="s">
        <v>2583</v>
      </c>
      <c r="E55" s="642" t="s">
        <v>2584</v>
      </c>
      <c r="F55" s="1021" t="s">
        <v>2585</v>
      </c>
      <c r="G55" s="3344" t="s">
        <v>2586</v>
      </c>
      <c r="H55" s="3391"/>
      <c r="I55" s="140" t="s">
        <v>2587</v>
      </c>
      <c r="J55" s="2173">
        <f>项目基本情况!F35</f>
        <v>0</v>
      </c>
      <c r="K55" s="2174" t="s">
        <v>2588</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2589</v>
      </c>
      <c r="B56" s="645" t="e">
        <f>C48</f>
        <v>#DIV/0!</v>
      </c>
      <c r="C56" s="646">
        <v>1</v>
      </c>
      <c r="D56" s="1075">
        <v>1</v>
      </c>
      <c r="E56" s="646">
        <f>'数据-汇总表'!E8+'数据-汇总表'!E9</f>
        <v>11966.17</v>
      </c>
      <c r="F56" s="1017" t="e">
        <f t="shared" ref="F56:F65" si="15">ROUND(B56*E56/10000,0)</f>
        <v>#DIV/0!</v>
      </c>
      <c r="G56" s="3340"/>
      <c r="H56" s="3329"/>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2590</v>
      </c>
      <c r="B57" s="224" t="e">
        <f>ROUND($C$48*C57*D57,0)</f>
        <v>#DIV/0!</v>
      </c>
      <c r="C57" s="176">
        <f t="shared" ref="C57:C65" si="16">IF($C$55="北京市系数",I57,J57)</f>
        <v>0.7</v>
      </c>
      <c r="D57" s="1076">
        <v>0.25</v>
      </c>
      <c r="E57" s="650"/>
      <c r="F57" s="1017" t="e">
        <f t="shared" si="15"/>
        <v>#DIV/0!</v>
      </c>
      <c r="G57" s="3392" t="s">
        <v>2591</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2592</v>
      </c>
      <c r="B58" s="224" t="e">
        <f t="shared" ref="B58:B65" si="17">ROUND($C$48*C58*D58,0)</f>
        <v>#DIV/0!</v>
      </c>
      <c r="C58" s="176">
        <f t="shared" si="16"/>
        <v>0.4</v>
      </c>
      <c r="D58" s="1076">
        <v>0.25</v>
      </c>
      <c r="E58" s="650"/>
      <c r="F58" s="1017" t="e">
        <f t="shared" si="15"/>
        <v>#DIV/0!</v>
      </c>
      <c r="G58" s="3392"/>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2593</v>
      </c>
      <c r="B59" s="224" t="e">
        <f t="shared" si="17"/>
        <v>#DIV/0!</v>
      </c>
      <c r="C59" s="176">
        <f t="shared" si="16"/>
        <v>0.28000000000000003</v>
      </c>
      <c r="D59" s="1076">
        <v>0.25</v>
      </c>
      <c r="E59" s="650"/>
      <c r="F59" s="1017" t="e">
        <f t="shared" si="15"/>
        <v>#DIV/0!</v>
      </c>
      <c r="G59" s="3392"/>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2594</v>
      </c>
      <c r="B60" s="224" t="e">
        <f t="shared" si="17"/>
        <v>#DIV/0!</v>
      </c>
      <c r="C60" s="176">
        <f t="shared" si="16"/>
        <v>0.25</v>
      </c>
      <c r="D60" s="1076">
        <v>0.25</v>
      </c>
      <c r="E60" s="650"/>
      <c r="F60" s="1017" t="e">
        <f t="shared" si="15"/>
        <v>#DIV/0!</v>
      </c>
      <c r="G60" s="3392"/>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2595</v>
      </c>
      <c r="B61" s="224" t="e">
        <f t="shared" si="17"/>
        <v>#DIV/0!</v>
      </c>
      <c r="C61" s="176">
        <f t="shared" si="16"/>
        <v>0.25</v>
      </c>
      <c r="D61" s="1076">
        <v>0.25</v>
      </c>
      <c r="E61" s="223">
        <f>'数据-汇总表'!E11</f>
        <v>0</v>
      </c>
      <c r="F61" s="1017" t="e">
        <f t="shared" si="15"/>
        <v>#DIV/0!</v>
      </c>
      <c r="G61" s="2175" t="s">
        <v>2596</v>
      </c>
      <c r="H61" s="1018" t="str">
        <f>项目基本情况!C37</f>
        <v>六级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2597</v>
      </c>
      <c r="B62" s="224" t="e">
        <f t="shared" si="17"/>
        <v>#DIV/0!</v>
      </c>
      <c r="C62" s="176">
        <f t="shared" si="16"/>
        <v>0.25</v>
      </c>
      <c r="D62" s="1076">
        <v>0.25</v>
      </c>
      <c r="E62" s="223">
        <f>'数据-汇总表'!E12</f>
        <v>0</v>
      </c>
      <c r="F62" s="1017" t="e">
        <f t="shared" si="15"/>
        <v>#DIV/0!</v>
      </c>
      <c r="G62" s="1023" t="s">
        <v>2598</v>
      </c>
      <c r="H62" s="1018" t="str">
        <f>IF(G62="商业",项目基本情况!B37,IF(G62="办公",项目基本情况!C37,IF(G62="住宅",项目基本情况!D37,项目基本情况!E37)))</f>
        <v>六级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2601</v>
      </c>
      <c r="B64" s="224" t="e">
        <f t="shared" si="17"/>
        <v>#DIV/0!</v>
      </c>
      <c r="C64" s="176">
        <f t="shared" si="16"/>
        <v>0.2</v>
      </c>
      <c r="D64" s="1076">
        <v>0.25</v>
      </c>
      <c r="E64" s="223">
        <f>'数据-汇总表'!E14</f>
        <v>0</v>
      </c>
      <c r="F64" s="1017" t="e">
        <f t="shared" si="15"/>
        <v>#DIV/0!</v>
      </c>
      <c r="G64" s="2175" t="s">
        <v>2591</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2602</v>
      </c>
      <c r="B65" s="224" t="e">
        <f t="shared" si="17"/>
        <v>#DIV/0!</v>
      </c>
      <c r="C65" s="176">
        <f t="shared" si="16"/>
        <v>0.2</v>
      </c>
      <c r="D65" s="1076">
        <v>0.25</v>
      </c>
      <c r="E65" s="223">
        <f>'数据-汇总表'!E15</f>
        <v>0</v>
      </c>
      <c r="F65" s="1017" t="e">
        <f t="shared" si="15"/>
        <v>#DIV/0!</v>
      </c>
      <c r="G65" s="2176" t="s">
        <v>2596</v>
      </c>
      <c r="H65" s="1028" t="str">
        <f>项目基本情况!C37</f>
        <v>六级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2603</v>
      </c>
      <c r="B66" s="652" t="s">
        <v>28</v>
      </c>
      <c r="C66" s="652" t="s">
        <v>29</v>
      </c>
      <c r="D66" s="652" t="s">
        <v>997</v>
      </c>
      <c r="E66" s="652">
        <f>IF(B46="楼面地价",SUM(E56:E65),'数据-汇总表'!D3)</f>
        <v>11966.17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4"/>
      <c r="Q68" s="2954"/>
      <c r="R68" s="2954"/>
      <c r="S68" s="2954"/>
      <c r="T68" s="2954"/>
      <c r="U68" s="2954"/>
      <c r="V68" s="2954"/>
      <c r="W68" s="2954"/>
      <c r="X68" s="2954"/>
      <c r="Y68" s="2954"/>
      <c r="Z68" s="2954"/>
      <c r="AA68" s="2954"/>
      <c r="AB68" s="2954"/>
      <c r="AC68" s="2954"/>
    </row>
    <row r="69" spans="1:29" ht="21.75" thickBot="1">
      <c r="A69" s="703" t="s">
        <v>2496</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8"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2407</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2372</v>
      </c>
      <c r="B73" s="467"/>
      <c r="C73" s="479" t="s">
        <v>2474</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2410</v>
      </c>
      <c r="B75" s="485" t="s">
        <v>2376</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2379</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2381</v>
      </c>
      <c r="B88" s="485" t="s">
        <v>2418</v>
      </c>
      <c r="C88" s="530" t="s">
        <v>2419</v>
      </c>
      <c r="D88" s="530" t="s">
        <v>2420</v>
      </c>
      <c r="E88" s="530" t="s">
        <v>2421</v>
      </c>
      <c r="F88" s="530" t="s">
        <v>2422</v>
      </c>
      <c r="G88" s="530" t="s">
        <v>2423</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2606</v>
      </c>
      <c r="C90" s="535" t="s">
        <v>2419</v>
      </c>
      <c r="D90" s="535" t="s">
        <v>2420</v>
      </c>
      <c r="E90" s="535" t="s">
        <v>2421</v>
      </c>
      <c r="F90" s="535" t="s">
        <v>2422</v>
      </c>
      <c r="G90" s="535" t="s">
        <v>2423</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2519</v>
      </c>
      <c r="C92" s="535" t="s">
        <v>2419</v>
      </c>
      <c r="D92" s="535" t="s">
        <v>2420</v>
      </c>
      <c r="E92" s="535" t="s">
        <v>2421</v>
      </c>
      <c r="F92" s="535" t="s">
        <v>2422</v>
      </c>
      <c r="G92" s="535" t="s">
        <v>2423</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2424</v>
      </c>
      <c r="C94" s="535" t="s">
        <v>2419</v>
      </c>
      <c r="D94" s="535" t="s">
        <v>2420</v>
      </c>
      <c r="E94" s="535" t="s">
        <v>2421</v>
      </c>
      <c r="F94" s="535" t="s">
        <v>2422</v>
      </c>
      <c r="G94" s="535" t="s">
        <v>2423</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2513</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2572</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2614</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2615</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2616</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2617</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44" t="s">
        <v>2468</v>
      </c>
      <c r="D4" s="3345"/>
      <c r="E4" s="3346" t="s">
        <v>2469</v>
      </c>
      <c r="F4" s="3347"/>
      <c r="G4" s="3344" t="s">
        <v>2470</v>
      </c>
      <c r="H4" s="3345"/>
      <c r="I4" s="3344" t="s">
        <v>2471</v>
      </c>
      <c r="J4" s="3345"/>
      <c r="K4" s="567" t="s">
        <v>2472</v>
      </c>
      <c r="L4" s="2944"/>
      <c r="M4" s="2945"/>
      <c r="N4" s="2945"/>
      <c r="O4" s="2945"/>
      <c r="P4" s="3348" t="s">
        <v>2473</v>
      </c>
      <c r="Q4" s="3349"/>
      <c r="R4" s="3354" t="s">
        <v>2469</v>
      </c>
      <c r="S4" s="3355"/>
      <c r="T4" s="3354" t="s">
        <v>2470</v>
      </c>
      <c r="U4" s="3355"/>
      <c r="V4" s="3360" t="s">
        <v>2471</v>
      </c>
      <c r="W4" s="3360"/>
      <c r="X4" s="1541"/>
      <c r="Y4" s="3354" t="s">
        <v>2473</v>
      </c>
      <c r="Z4" s="3355"/>
      <c r="AA4" s="3341" t="s">
        <v>2469</v>
      </c>
      <c r="AB4" s="3342" t="s">
        <v>2470</v>
      </c>
      <c r="AC4" s="3341" t="s">
        <v>2471</v>
      </c>
    </row>
    <row r="5" spans="1:29" ht="15">
      <c r="A5" s="364"/>
      <c r="B5" s="365"/>
      <c r="C5" s="3363" t="s">
        <v>2364</v>
      </c>
      <c r="D5" s="3364"/>
      <c r="E5" s="3370" t="s">
        <v>2365</v>
      </c>
      <c r="F5" s="3371"/>
      <c r="G5" s="3363" t="s">
        <v>2366</v>
      </c>
      <c r="H5" s="3364"/>
      <c r="I5" s="3363" t="s">
        <v>2367</v>
      </c>
      <c r="J5" s="3364"/>
      <c r="K5" s="567"/>
      <c r="L5" s="2944"/>
      <c r="M5" s="2945"/>
      <c r="N5" s="2945"/>
      <c r="O5" s="2945"/>
      <c r="P5" s="3350"/>
      <c r="Q5" s="3351"/>
      <c r="R5" s="3356"/>
      <c r="S5" s="3357"/>
      <c r="T5" s="3356"/>
      <c r="U5" s="3357"/>
      <c r="V5" s="3360"/>
      <c r="W5" s="3360"/>
      <c r="X5" s="1541"/>
      <c r="Y5" s="3356"/>
      <c r="Z5" s="3357"/>
      <c r="AA5" s="3342"/>
      <c r="AB5" s="3342"/>
      <c r="AC5" s="3342"/>
    </row>
    <row r="6" spans="1:29" ht="15.75" thickBot="1">
      <c r="A6" s="366"/>
      <c r="B6" s="367"/>
      <c r="C6" s="3393" t="s">
        <v>2619</v>
      </c>
      <c r="D6" s="3394"/>
      <c r="E6" s="3395" t="s">
        <v>2619</v>
      </c>
      <c r="F6" s="3396"/>
      <c r="G6" s="3393" t="s">
        <v>2619</v>
      </c>
      <c r="H6" s="3394"/>
      <c r="I6" s="3393" t="s">
        <v>2619</v>
      </c>
      <c r="J6" s="3394"/>
      <c r="K6" s="567" t="s">
        <v>2369</v>
      </c>
      <c r="L6" s="2944"/>
      <c r="M6" s="2945"/>
      <c r="N6" s="2945"/>
      <c r="O6" s="2945"/>
      <c r="P6" s="3352"/>
      <c r="Q6" s="3353"/>
      <c r="R6" s="3356"/>
      <c r="S6" s="3357"/>
      <c r="T6" s="3358"/>
      <c r="U6" s="3359"/>
      <c r="V6" s="3360"/>
      <c r="W6" s="3360"/>
      <c r="X6" s="1541"/>
      <c r="Y6" s="3358"/>
      <c r="Z6" s="3359"/>
      <c r="AA6" s="3343"/>
      <c r="AB6" s="3343"/>
      <c r="AC6" s="3343"/>
    </row>
    <row r="7" spans="1:29" s="113" customFormat="1" ht="15.75" thickBot="1">
      <c r="A7" s="368" t="s">
        <v>2370</v>
      </c>
      <c r="B7" s="369"/>
      <c r="C7" s="370">
        <f>'数据-取费表'!B2</f>
        <v>44218</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365" t="s">
        <v>2371</v>
      </c>
      <c r="Q7" s="3367"/>
      <c r="R7" s="710" t="s">
        <v>17</v>
      </c>
      <c r="S7" s="711">
        <f t="shared" ref="S7:S15" si="0">F7</f>
        <v>0</v>
      </c>
      <c r="T7" s="710" t="s">
        <v>17</v>
      </c>
      <c r="U7" s="711">
        <f t="shared" ref="U7:U15" si="1">H7</f>
        <v>0</v>
      </c>
      <c r="V7" s="710" t="s">
        <v>17</v>
      </c>
      <c r="W7" s="711">
        <f t="shared" ref="W7:W15" si="2">J7</f>
        <v>0</v>
      </c>
      <c r="X7" s="712"/>
      <c r="Y7" s="3365" t="s">
        <v>2371</v>
      </c>
      <c r="Z7" s="3366"/>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65" t="s">
        <v>2374</v>
      </c>
      <c r="Q8" s="3366"/>
      <c r="R8" s="710" t="s">
        <v>17</v>
      </c>
      <c r="S8" s="711">
        <f t="shared" si="0"/>
        <v>0</v>
      </c>
      <c r="T8" s="710" t="s">
        <v>17</v>
      </c>
      <c r="U8" s="711">
        <f t="shared" si="1"/>
        <v>0</v>
      </c>
      <c r="V8" s="710" t="s">
        <v>17</v>
      </c>
      <c r="W8" s="711">
        <f t="shared" si="2"/>
        <v>0</v>
      </c>
      <c r="X8" s="712"/>
      <c r="Y8" s="3365" t="s">
        <v>2374</v>
      </c>
      <c r="Z8" s="3366"/>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329" t="s">
        <v>2377</v>
      </c>
      <c r="Q9" s="1529" t="str">
        <f t="shared" ref="Q9:Q15" si="6">B9</f>
        <v>用途</v>
      </c>
      <c r="R9" s="710" t="s">
        <v>17</v>
      </c>
      <c r="S9" s="711">
        <f t="shared" si="0"/>
        <v>100</v>
      </c>
      <c r="T9" s="710" t="s">
        <v>17</v>
      </c>
      <c r="U9" s="711">
        <f t="shared" si="1"/>
        <v>100</v>
      </c>
      <c r="V9" s="710" t="s">
        <v>17</v>
      </c>
      <c r="W9" s="711">
        <f t="shared" si="2"/>
        <v>100</v>
      </c>
      <c r="X9" s="712"/>
      <c r="Y9" s="3201"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 ca="1">ROUND(100/'数据-取费表'!G16,0)</f>
        <v>103</v>
      </c>
      <c r="G10" s="391"/>
      <c r="H10" s="132">
        <f ca="1">ROUND(100/'数据-取费表'!G16,0)</f>
        <v>103</v>
      </c>
      <c r="I10" s="391"/>
      <c r="J10" s="132">
        <f ca="1">ROUND(100/'数据-取费表'!G16,0)</f>
        <v>103</v>
      </c>
      <c r="K10" s="628"/>
      <c r="L10" s="2948"/>
      <c r="M10" s="2949"/>
      <c r="N10" s="2949"/>
      <c r="O10" s="3002"/>
      <c r="P10" s="3329"/>
      <c r="Q10" s="1529" t="str">
        <f t="shared" si="6"/>
        <v>土地使用年限（年）</v>
      </c>
      <c r="R10" s="710" t="s">
        <v>17</v>
      </c>
      <c r="S10" s="711">
        <f t="shared" ca="1" si="0"/>
        <v>103</v>
      </c>
      <c r="T10" s="710" t="s">
        <v>17</v>
      </c>
      <c r="U10" s="711">
        <f t="shared" ca="1" si="1"/>
        <v>103</v>
      </c>
      <c r="V10" s="710" t="s">
        <v>17</v>
      </c>
      <c r="W10" s="711">
        <f t="shared" ca="1" si="2"/>
        <v>103</v>
      </c>
      <c r="X10" s="712"/>
      <c r="Y10" s="3201"/>
      <c r="Z10" s="55" t="str">
        <f t="shared" si="7"/>
        <v>土地使用年限（年）</v>
      </c>
      <c r="AA10" s="713">
        <f t="shared" ca="1" si="3"/>
        <v>0.970873786407767</v>
      </c>
      <c r="AB10" s="713">
        <f t="shared" ca="1" si="4"/>
        <v>0.970873786407767</v>
      </c>
      <c r="AC10" s="713">
        <f t="shared" ca="1" si="5"/>
        <v>0.970873786407767</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29"/>
      <c r="Q11" s="1529" t="str">
        <f t="shared" si="6"/>
        <v>容积率</v>
      </c>
      <c r="R11" s="710" t="s">
        <v>17</v>
      </c>
      <c r="S11" s="711" t="e">
        <f t="shared" si="0"/>
        <v>#N/A</v>
      </c>
      <c r="T11" s="710" t="s">
        <v>17</v>
      </c>
      <c r="U11" s="711" t="e">
        <f t="shared" si="1"/>
        <v>#N/A</v>
      </c>
      <c r="V11" s="710" t="s">
        <v>17</v>
      </c>
      <c r="W11" s="711" t="e">
        <f t="shared" si="2"/>
        <v>#N/A</v>
      </c>
      <c r="X11" s="712"/>
      <c r="Y11" s="3201"/>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29"/>
      <c r="Q12" s="1529">
        <f t="shared" si="6"/>
        <v>111</v>
      </c>
      <c r="R12" s="710" t="s">
        <v>17</v>
      </c>
      <c r="S12" s="711">
        <f t="shared" si="0"/>
        <v>100</v>
      </c>
      <c r="T12" s="710" t="s">
        <v>17</v>
      </c>
      <c r="U12" s="711">
        <f t="shared" si="1"/>
        <v>100</v>
      </c>
      <c r="V12" s="710" t="s">
        <v>17</v>
      </c>
      <c r="W12" s="711">
        <f t="shared" si="2"/>
        <v>100</v>
      </c>
      <c r="X12" s="712"/>
      <c r="Y12" s="3201"/>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29"/>
      <c r="Q13" s="1529">
        <f t="shared" si="6"/>
        <v>111</v>
      </c>
      <c r="R13" s="710" t="s">
        <v>17</v>
      </c>
      <c r="S13" s="711">
        <f t="shared" si="0"/>
        <v>100</v>
      </c>
      <c r="T13" s="710" t="s">
        <v>17</v>
      </c>
      <c r="U13" s="711">
        <f t="shared" si="1"/>
        <v>100</v>
      </c>
      <c r="V13" s="710" t="s">
        <v>17</v>
      </c>
      <c r="W13" s="711">
        <f t="shared" si="2"/>
        <v>100</v>
      </c>
      <c r="X13" s="712"/>
      <c r="Y13" s="3201"/>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29"/>
      <c r="Q14" s="1529">
        <f t="shared" si="6"/>
        <v>111</v>
      </c>
      <c r="R14" s="710" t="s">
        <v>17</v>
      </c>
      <c r="S14" s="711">
        <f t="shared" si="0"/>
        <v>100</v>
      </c>
      <c r="T14" s="710" t="s">
        <v>17</v>
      </c>
      <c r="U14" s="711">
        <f t="shared" si="1"/>
        <v>100</v>
      </c>
      <c r="V14" s="710" t="s">
        <v>17</v>
      </c>
      <c r="W14" s="711">
        <f t="shared" si="2"/>
        <v>100</v>
      </c>
      <c r="X14" s="712"/>
      <c r="Y14" s="3201"/>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31" t="s">
        <v>2382</v>
      </c>
      <c r="Q15" s="1538" t="str">
        <f t="shared" si="6"/>
        <v>产业集聚程度</v>
      </c>
      <c r="R15" s="714" t="s">
        <v>17</v>
      </c>
      <c r="S15" s="715">
        <f t="shared" si="0"/>
        <v>100</v>
      </c>
      <c r="T15" s="714" t="s">
        <v>17</v>
      </c>
      <c r="U15" s="715">
        <f t="shared" si="1"/>
        <v>100</v>
      </c>
      <c r="V15" s="714" t="s">
        <v>17</v>
      </c>
      <c r="W15" s="715">
        <f t="shared" si="2"/>
        <v>100</v>
      </c>
      <c r="X15" s="1541"/>
      <c r="Y15" s="3331"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332"/>
      <c r="Q16" s="1538"/>
      <c r="R16" s="714"/>
      <c r="S16" s="715"/>
      <c r="T16" s="714"/>
      <c r="U16" s="715"/>
      <c r="V16" s="714"/>
      <c r="W16" s="715"/>
      <c r="X16" s="1541"/>
      <c r="Y16" s="3332"/>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2"/>
      <c r="Q17" s="1538" t="str">
        <f>B17</f>
        <v>交通便捷度</v>
      </c>
      <c r="R17" s="714" t="s">
        <v>17</v>
      </c>
      <c r="S17" s="715">
        <f>F17</f>
        <v>100</v>
      </c>
      <c r="T17" s="714" t="s">
        <v>17</v>
      </c>
      <c r="U17" s="715">
        <f>H17</f>
        <v>100</v>
      </c>
      <c r="V17" s="714" t="s">
        <v>17</v>
      </c>
      <c r="W17" s="715">
        <f>J17</f>
        <v>100</v>
      </c>
      <c r="X17" s="1541"/>
      <c r="Y17" s="3332"/>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332"/>
      <c r="Q18" s="1538"/>
      <c r="R18" s="714"/>
      <c r="S18" s="715"/>
      <c r="T18" s="714"/>
      <c r="U18" s="715"/>
      <c r="V18" s="714"/>
      <c r="W18" s="715"/>
      <c r="X18" s="1541"/>
      <c r="Y18" s="3332"/>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2"/>
      <c r="Q19" s="1538" t="str">
        <f t="shared" ref="Q19:Q33" si="8">B19</f>
        <v>区域土地利用方向</v>
      </c>
      <c r="R19" s="714" t="s">
        <v>17</v>
      </c>
      <c r="S19" s="715">
        <f>F19</f>
        <v>100</v>
      </c>
      <c r="T19" s="714" t="s">
        <v>17</v>
      </c>
      <c r="U19" s="715">
        <f>H19</f>
        <v>100</v>
      </c>
      <c r="V19" s="714" t="s">
        <v>17</v>
      </c>
      <c r="W19" s="715">
        <f>J19</f>
        <v>100</v>
      </c>
      <c r="X19" s="1541"/>
      <c r="Y19" s="3332"/>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332"/>
      <c r="Q20" s="1538"/>
      <c r="R20" s="714"/>
      <c r="S20" s="715"/>
      <c r="T20" s="714"/>
      <c r="U20" s="715"/>
      <c r="V20" s="714"/>
      <c r="W20" s="715"/>
      <c r="X20" s="1541"/>
      <c r="Y20" s="3332"/>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2"/>
      <c r="Q21" s="1538" t="str">
        <f t="shared" si="8"/>
        <v>环境状况</v>
      </c>
      <c r="R21" s="714" t="s">
        <v>17</v>
      </c>
      <c r="S21" s="715">
        <f>F21</f>
        <v>100</v>
      </c>
      <c r="T21" s="714" t="s">
        <v>17</v>
      </c>
      <c r="U21" s="715">
        <f>H21</f>
        <v>100</v>
      </c>
      <c r="V21" s="714" t="s">
        <v>17</v>
      </c>
      <c r="W21" s="715">
        <f>J21</f>
        <v>100</v>
      </c>
      <c r="X21" s="1541"/>
      <c r="Y21" s="3332"/>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332"/>
      <c r="Q22" s="1538"/>
      <c r="R22" s="714"/>
      <c r="S22" s="715"/>
      <c r="T22" s="714"/>
      <c r="U22" s="715"/>
      <c r="V22" s="714"/>
      <c r="W22" s="715"/>
      <c r="X22" s="1541"/>
      <c r="Y22" s="3332"/>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2"/>
      <c r="Q23" s="1529" t="str">
        <f t="shared" si="8"/>
        <v>公共配套设施</v>
      </c>
      <c r="R23" s="710" t="s">
        <v>17</v>
      </c>
      <c r="S23" s="711">
        <f>F23</f>
        <v>100</v>
      </c>
      <c r="T23" s="710" t="s">
        <v>17</v>
      </c>
      <c r="U23" s="711">
        <f>H23</f>
        <v>100</v>
      </c>
      <c r="V23" s="710" t="s">
        <v>17</v>
      </c>
      <c r="W23" s="711">
        <f>J23</f>
        <v>100</v>
      </c>
      <c r="X23" s="712"/>
      <c r="Y23" s="3332"/>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332"/>
      <c r="Q24" s="1529"/>
      <c r="R24" s="710"/>
      <c r="S24" s="711"/>
      <c r="T24" s="710"/>
      <c r="U24" s="711"/>
      <c r="V24" s="710"/>
      <c r="W24" s="711"/>
      <c r="X24" s="712"/>
      <c r="Y24" s="3332"/>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2"/>
      <c r="Q25" s="1529" t="str">
        <f t="shared" ref="Q25" si="9">B25</f>
        <v>基础设施水平</v>
      </c>
      <c r="R25" s="710" t="s">
        <v>17</v>
      </c>
      <c r="S25" s="711">
        <f>F25</f>
        <v>100</v>
      </c>
      <c r="T25" s="710" t="s">
        <v>17</v>
      </c>
      <c r="U25" s="711">
        <f>H25</f>
        <v>100</v>
      </c>
      <c r="V25" s="710" t="s">
        <v>17</v>
      </c>
      <c r="W25" s="711">
        <f>J25</f>
        <v>100</v>
      </c>
      <c r="X25" s="712"/>
      <c r="Y25" s="3332"/>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332"/>
      <c r="Q26" s="1529"/>
      <c r="R26" s="710"/>
      <c r="S26" s="711"/>
      <c r="T26" s="710"/>
      <c r="U26" s="711"/>
      <c r="V26" s="710"/>
      <c r="W26" s="711"/>
      <c r="X26" s="712"/>
      <c r="Y26" s="3332"/>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2"/>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2"/>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2"/>
      <c r="Q28" s="1538" t="str">
        <f t="shared" si="8"/>
        <v>毗邻道路的类型与等级</v>
      </c>
      <c r="R28" s="714" t="s">
        <v>17</v>
      </c>
      <c r="S28" s="715">
        <f t="shared" si="10"/>
        <v>100</v>
      </c>
      <c r="T28" s="714" t="s">
        <v>17</v>
      </c>
      <c r="U28" s="715">
        <f t="shared" si="11"/>
        <v>100</v>
      </c>
      <c r="V28" s="714" t="s">
        <v>17</v>
      </c>
      <c r="W28" s="715">
        <f t="shared" si="12"/>
        <v>100</v>
      </c>
      <c r="X28" s="1541"/>
      <c r="Y28" s="3332"/>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332"/>
      <c r="Q29" s="1538"/>
      <c r="R29" s="714"/>
      <c r="S29" s="715"/>
      <c r="T29" s="714"/>
      <c r="U29" s="715"/>
      <c r="V29" s="714"/>
      <c r="W29" s="715"/>
      <c r="X29" s="1541"/>
      <c r="Y29" s="3332"/>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2"/>
      <c r="Q30" s="1538" t="str">
        <f t="shared" si="8"/>
        <v>土地级别</v>
      </c>
      <c r="R30" s="714" t="s">
        <v>17</v>
      </c>
      <c r="S30" s="715">
        <f t="shared" si="10"/>
        <v>100</v>
      </c>
      <c r="T30" s="714" t="s">
        <v>17</v>
      </c>
      <c r="U30" s="715">
        <f t="shared" si="11"/>
        <v>100</v>
      </c>
      <c r="V30" s="714" t="s">
        <v>17</v>
      </c>
      <c r="W30" s="715">
        <f t="shared" si="12"/>
        <v>100</v>
      </c>
      <c r="X30" s="1541"/>
      <c r="Y30" s="3332"/>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2"/>
      <c r="Q31" s="1538">
        <f t="shared" si="8"/>
        <v>111</v>
      </c>
      <c r="R31" s="714" t="s">
        <v>17</v>
      </c>
      <c r="S31" s="715">
        <f t="shared" si="10"/>
        <v>100</v>
      </c>
      <c r="T31" s="714" t="s">
        <v>17</v>
      </c>
      <c r="U31" s="715">
        <f t="shared" si="11"/>
        <v>100</v>
      </c>
      <c r="V31" s="714" t="s">
        <v>17</v>
      </c>
      <c r="W31" s="715">
        <f t="shared" si="12"/>
        <v>100</v>
      </c>
      <c r="X31" s="1541"/>
      <c r="Y31" s="3332"/>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87" t="s">
        <v>2387</v>
      </c>
      <c r="Q32" s="1538">
        <f t="shared" si="8"/>
        <v>111</v>
      </c>
      <c r="R32" s="714" t="s">
        <v>17</v>
      </c>
      <c r="S32" s="715">
        <f t="shared" si="10"/>
        <v>100</v>
      </c>
      <c r="T32" s="714" t="s">
        <v>17</v>
      </c>
      <c r="U32" s="715">
        <f t="shared" si="11"/>
        <v>100</v>
      </c>
      <c r="V32" s="714" t="s">
        <v>17</v>
      </c>
      <c r="W32" s="715">
        <f t="shared" si="12"/>
        <v>100</v>
      </c>
      <c r="X32" s="1541"/>
      <c r="Y32" s="3336"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36"/>
      <c r="Q33" s="1538">
        <f t="shared" si="8"/>
        <v>111</v>
      </c>
      <c r="R33" s="717" t="s">
        <v>17</v>
      </c>
      <c r="S33" s="718">
        <f t="shared" si="10"/>
        <v>100</v>
      </c>
      <c r="T33" s="717" t="s">
        <v>17</v>
      </c>
      <c r="U33" s="718">
        <f t="shared" si="11"/>
        <v>100</v>
      </c>
      <c r="V33" s="717" t="s">
        <v>17</v>
      </c>
      <c r="W33" s="718">
        <f t="shared" si="12"/>
        <v>100</v>
      </c>
      <c r="X33" s="719"/>
      <c r="Y33" s="3336"/>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36"/>
      <c r="Q34" s="1538" t="str">
        <f>B34</f>
        <v>宗地面积</v>
      </c>
      <c r="R34" s="714" t="s">
        <v>17</v>
      </c>
      <c r="S34" s="715" t="e">
        <f t="shared" si="10"/>
        <v>#N/A</v>
      </c>
      <c r="T34" s="714" t="s">
        <v>17</v>
      </c>
      <c r="U34" s="715" t="e">
        <f t="shared" si="11"/>
        <v>#N/A</v>
      </c>
      <c r="V34" s="714" t="s">
        <v>17</v>
      </c>
      <c r="W34" s="715" t="e">
        <f t="shared" si="12"/>
        <v>#N/A</v>
      </c>
      <c r="X34" s="1541"/>
      <c r="Y34" s="3336"/>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336"/>
      <c r="Q35" s="1538" t="str">
        <f t="shared" ref="Q35:Q40" si="14">B35</f>
        <v>宗地形状</v>
      </c>
      <c r="R35" s="714" t="s">
        <v>17</v>
      </c>
      <c r="S35" s="715">
        <f t="shared" si="10"/>
        <v>100</v>
      </c>
      <c r="T35" s="714" t="s">
        <v>17</v>
      </c>
      <c r="U35" s="715">
        <f t="shared" si="11"/>
        <v>100</v>
      </c>
      <c r="V35" s="714" t="s">
        <v>17</v>
      </c>
      <c r="W35" s="715">
        <f t="shared" si="12"/>
        <v>100</v>
      </c>
      <c r="X35" s="1541"/>
      <c r="Y35" s="3336"/>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336"/>
      <c r="Q36" s="1538" t="str">
        <f t="shared" si="14"/>
        <v>宗地开发程度</v>
      </c>
      <c r="R36" s="710" t="s">
        <v>17</v>
      </c>
      <c r="S36" s="711">
        <f t="shared" si="10"/>
        <v>100</v>
      </c>
      <c r="T36" s="710" t="s">
        <v>17</v>
      </c>
      <c r="U36" s="711">
        <f t="shared" si="11"/>
        <v>100</v>
      </c>
      <c r="V36" s="710" t="s">
        <v>17</v>
      </c>
      <c r="W36" s="711">
        <f t="shared" si="12"/>
        <v>100</v>
      </c>
      <c r="X36" s="712"/>
      <c r="Y36" s="3336"/>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336" t="s">
        <v>2387</v>
      </c>
      <c r="Q37" s="1538" t="str">
        <f t="shared" si="14"/>
        <v>工程地质条件</v>
      </c>
      <c r="R37" s="714" t="s">
        <v>17</v>
      </c>
      <c r="S37" s="715">
        <f t="shared" si="10"/>
        <v>100</v>
      </c>
      <c r="T37" s="714" t="s">
        <v>17</v>
      </c>
      <c r="U37" s="715">
        <f t="shared" si="11"/>
        <v>100</v>
      </c>
      <c r="V37" s="714" t="s">
        <v>17</v>
      </c>
      <c r="W37" s="715">
        <f t="shared" si="12"/>
        <v>100</v>
      </c>
      <c r="X37" s="1541"/>
      <c r="Y37" s="3336"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36"/>
      <c r="Q38" s="1538">
        <f t="shared" si="14"/>
        <v>111</v>
      </c>
      <c r="R38" s="714" t="s">
        <v>17</v>
      </c>
      <c r="S38" s="715">
        <f t="shared" si="10"/>
        <v>100</v>
      </c>
      <c r="T38" s="714" t="s">
        <v>17</v>
      </c>
      <c r="U38" s="715">
        <f t="shared" si="11"/>
        <v>100</v>
      </c>
      <c r="V38" s="714" t="s">
        <v>17</v>
      </c>
      <c r="W38" s="715">
        <f t="shared" si="12"/>
        <v>100</v>
      </c>
      <c r="X38" s="1541"/>
      <c r="Y38" s="3336"/>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36"/>
      <c r="Q39" s="1538">
        <f t="shared" si="14"/>
        <v>111</v>
      </c>
      <c r="R39" s="714" t="s">
        <v>17</v>
      </c>
      <c r="S39" s="715">
        <f t="shared" si="10"/>
        <v>100</v>
      </c>
      <c r="T39" s="714" t="s">
        <v>17</v>
      </c>
      <c r="U39" s="715">
        <f t="shared" si="11"/>
        <v>100</v>
      </c>
      <c r="V39" s="714" t="s">
        <v>17</v>
      </c>
      <c r="W39" s="715">
        <f t="shared" si="12"/>
        <v>100</v>
      </c>
      <c r="X39" s="1541"/>
      <c r="Y39" s="3336"/>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36"/>
      <c r="Q40" s="1538">
        <f t="shared" si="14"/>
        <v>111</v>
      </c>
      <c r="R40" s="717" t="s">
        <v>17</v>
      </c>
      <c r="S40" s="718">
        <f t="shared" si="10"/>
        <v>100</v>
      </c>
      <c r="T40" s="717" t="s">
        <v>17</v>
      </c>
      <c r="U40" s="718">
        <f t="shared" si="11"/>
        <v>100</v>
      </c>
      <c r="V40" s="717" t="s">
        <v>17</v>
      </c>
      <c r="W40" s="718">
        <f t="shared" si="12"/>
        <v>100</v>
      </c>
      <c r="X40" s="719"/>
      <c r="Y40" s="3336"/>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3"/>
      <c r="M41" s="2945"/>
      <c r="N41" s="2945"/>
      <c r="O41" s="2954"/>
      <c r="P41" s="3329" t="str">
        <f>A41</f>
        <v>成交单价</v>
      </c>
      <c r="Q41" s="3329"/>
      <c r="R41" s="3360">
        <f>E41</f>
        <v>0</v>
      </c>
      <c r="S41" s="3360"/>
      <c r="T41" s="3360">
        <f>G41</f>
        <v>0</v>
      </c>
      <c r="U41" s="3360"/>
      <c r="V41" s="3360">
        <f>I41</f>
        <v>0</v>
      </c>
      <c r="W41" s="3360"/>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3"/>
      <c r="M42" s="2945"/>
      <c r="N42" s="2945"/>
      <c r="O42" s="2954"/>
      <c r="P42" s="3329" t="str">
        <f>A42</f>
        <v>比较价值（元/平方米）</v>
      </c>
      <c r="Q42" s="3329"/>
      <c r="R42" s="3389" t="e">
        <f>ROUND(PRODUCT(R41,AA7:AA40),0)</f>
        <v>#DIV/0!</v>
      </c>
      <c r="S42" s="3389"/>
      <c r="T42" s="3389" t="e">
        <f>ROUND(PRODUCT(T41,AB7:AB40),0)</f>
        <v>#DIV/0!</v>
      </c>
      <c r="U42" s="3389"/>
      <c r="V42" s="3389" t="e">
        <f>ROUND(PRODUCT(V41,AC7:AC40),0)</f>
        <v>#DIV/0!</v>
      </c>
      <c r="W42" s="3389"/>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3"/>
      <c r="M43" s="2945"/>
      <c r="N43" s="2945"/>
      <c r="O43" s="2954"/>
      <c r="P43" s="3326" t="str">
        <f>A43</f>
        <v>估价对象XX用房的比较价值（楼面单价，元/平方米）</v>
      </c>
      <c r="Q43" s="3327"/>
      <c r="R43" s="3390" t="e">
        <f>ROUND(IF(D42="简单平均",AVERAGE(R42:W42),R42*F42+T42*H42+V42*J42),0)</f>
        <v>#DIV/0!</v>
      </c>
      <c r="S43" s="3390"/>
      <c r="T43" s="3390"/>
      <c r="U43" s="3390"/>
      <c r="V43" s="3390"/>
      <c r="W43" s="339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2580</v>
      </c>
      <c r="B50" s="641" t="s">
        <v>2581</v>
      </c>
      <c r="C50" s="2171" t="s">
        <v>2582</v>
      </c>
      <c r="D50" s="2172" t="s">
        <v>2583</v>
      </c>
      <c r="E50" s="642" t="s">
        <v>2584</v>
      </c>
      <c r="F50" s="643" t="s">
        <v>2585</v>
      </c>
      <c r="G50" s="3344" t="s">
        <v>2586</v>
      </c>
      <c r="H50" s="3391"/>
      <c r="I50" s="1542" t="s">
        <v>2623</v>
      </c>
      <c r="J50" s="1542">
        <f>项目基本情况!F35</f>
        <v>0</v>
      </c>
      <c r="K50" s="2174" t="s">
        <v>2588</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2589</v>
      </c>
      <c r="B51" s="645" t="e">
        <f>C43</f>
        <v>#DIV/0!</v>
      </c>
      <c r="C51" s="646">
        <v>1</v>
      </c>
      <c r="D51" s="1075">
        <v>1</v>
      </c>
      <c r="E51" s="646">
        <f>'数据-汇总表'!E8+'数据-汇总表'!E9</f>
        <v>11966.17</v>
      </c>
      <c r="F51" s="647" t="e">
        <f t="shared" ref="F51:F60" si="15">ROUND(B51*E51/10000,0)</f>
        <v>#DIV/0!</v>
      </c>
      <c r="G51" s="3340"/>
      <c r="H51" s="3329"/>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2590</v>
      </c>
      <c r="B52" s="224" t="e">
        <f>ROUND($C$43*C52*D52,0)</f>
        <v>#DIV/0!</v>
      </c>
      <c r="C52" s="176">
        <f t="shared" ref="C52:C60" si="16">IF($C$50="北京市系数",I52,J52)</f>
        <v>0.7</v>
      </c>
      <c r="D52" s="1076">
        <v>0.25</v>
      </c>
      <c r="E52" s="650"/>
      <c r="F52" s="647" t="e">
        <f t="shared" si="15"/>
        <v>#DIV/0!</v>
      </c>
      <c r="G52" s="3392" t="s">
        <v>2591</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2592</v>
      </c>
      <c r="B53" s="224" t="e">
        <f t="shared" ref="B53:B60" si="17">ROUND($C$43*C53*D53,0)</f>
        <v>#DIV/0!</v>
      </c>
      <c r="C53" s="176">
        <f t="shared" si="16"/>
        <v>0.4</v>
      </c>
      <c r="D53" s="1076">
        <v>0.25</v>
      </c>
      <c r="E53" s="650"/>
      <c r="F53" s="647" t="e">
        <f t="shared" si="15"/>
        <v>#DIV/0!</v>
      </c>
      <c r="G53" s="3392"/>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2593</v>
      </c>
      <c r="B54" s="224" t="e">
        <f t="shared" si="17"/>
        <v>#DIV/0!</v>
      </c>
      <c r="C54" s="176">
        <f t="shared" si="16"/>
        <v>0.28000000000000003</v>
      </c>
      <c r="D54" s="1076">
        <v>0.25</v>
      </c>
      <c r="E54" s="650"/>
      <c r="F54" s="647" t="e">
        <f t="shared" si="15"/>
        <v>#DIV/0!</v>
      </c>
      <c r="G54" s="3392"/>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2594</v>
      </c>
      <c r="B55" s="224" t="e">
        <f t="shared" si="17"/>
        <v>#DIV/0!</v>
      </c>
      <c r="C55" s="176">
        <f t="shared" si="16"/>
        <v>0.25</v>
      </c>
      <c r="D55" s="1076">
        <v>0.25</v>
      </c>
      <c r="E55" s="650"/>
      <c r="F55" s="647" t="e">
        <f t="shared" si="15"/>
        <v>#DIV/0!</v>
      </c>
      <c r="G55" s="3392"/>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2595</v>
      </c>
      <c r="B56" s="224" t="e">
        <f t="shared" si="17"/>
        <v>#DIV/0!</v>
      </c>
      <c r="C56" s="176">
        <f t="shared" si="16"/>
        <v>0.25</v>
      </c>
      <c r="D56" s="1076">
        <v>0.25</v>
      </c>
      <c r="E56" s="223">
        <f>'数据-汇总表'!E11</f>
        <v>0</v>
      </c>
      <c r="F56" s="647" t="e">
        <f t="shared" si="15"/>
        <v>#DIV/0!</v>
      </c>
      <c r="G56" s="2175" t="s">
        <v>2596</v>
      </c>
      <c r="H56" s="1018" t="str">
        <f>项目基本情况!C37</f>
        <v>六级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六级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2601</v>
      </c>
      <c r="B59" s="224" t="e">
        <f t="shared" si="17"/>
        <v>#DIV/0!</v>
      </c>
      <c r="C59" s="176">
        <f t="shared" si="16"/>
        <v>0.2</v>
      </c>
      <c r="D59" s="1076">
        <v>0.25</v>
      </c>
      <c r="E59" s="223">
        <f>'数据-汇总表'!E14</f>
        <v>0</v>
      </c>
      <c r="F59" s="647" t="e">
        <f t="shared" si="15"/>
        <v>#DIV/0!</v>
      </c>
      <c r="G59" s="2175" t="s">
        <v>2591</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2602</v>
      </c>
      <c r="B60" s="224" t="e">
        <f t="shared" si="17"/>
        <v>#DIV/0!</v>
      </c>
      <c r="C60" s="176">
        <f t="shared" si="16"/>
        <v>0.2</v>
      </c>
      <c r="D60" s="1076">
        <v>0.25</v>
      </c>
      <c r="E60" s="223">
        <f>'数据-汇总表'!E15</f>
        <v>0</v>
      </c>
      <c r="F60" s="647" t="e">
        <f t="shared" si="15"/>
        <v>#DIV/0!</v>
      </c>
      <c r="G60" s="2176" t="s">
        <v>2596</v>
      </c>
      <c r="H60" s="1028" t="str">
        <f>项目基本情况!C37</f>
        <v>六级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2603</v>
      </c>
      <c r="B61" s="652" t="s">
        <v>28</v>
      </c>
      <c r="C61" s="652" t="s">
        <v>29</v>
      </c>
      <c r="D61" s="652" t="s">
        <v>997</v>
      </c>
      <c r="E61" s="652">
        <f>IF(B41="楼面地价",SUM(E51:E60),'数据-汇总表'!D3)</f>
        <v>2411.61</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4"/>
      <c r="Q63" s="2954"/>
      <c r="R63" s="2954"/>
      <c r="S63" s="2954"/>
      <c r="T63" s="2954"/>
      <c r="U63" s="2954"/>
      <c r="V63" s="2954"/>
      <c r="W63" s="2954"/>
      <c r="X63" s="2954"/>
      <c r="Y63" s="2954"/>
      <c r="Z63" s="2954"/>
      <c r="AA63" s="2954"/>
      <c r="AB63" s="2954"/>
      <c r="AC63" s="2954"/>
      <c r="AD63" s="2954"/>
      <c r="AE63" s="2954"/>
    </row>
    <row r="64" spans="1:31" ht="21.75" thickBot="1">
      <c r="A64" s="703" t="s">
        <v>2496</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2407</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2372</v>
      </c>
      <c r="B68" s="467"/>
      <c r="C68" s="479" t="s">
        <v>2474</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2410</v>
      </c>
      <c r="B70" s="485" t="s">
        <v>2376</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2379</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2381</v>
      </c>
      <c r="B83" s="485" t="s">
        <v>2527</v>
      </c>
      <c r="C83" s="530" t="s">
        <v>2419</v>
      </c>
      <c r="D83" s="530" t="s">
        <v>2420</v>
      </c>
      <c r="E83" s="530" t="s">
        <v>2421</v>
      </c>
      <c r="F83" s="530" t="s">
        <v>2422</v>
      </c>
      <c r="G83" s="530" t="s">
        <v>2423</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2424</v>
      </c>
      <c r="C85" s="535" t="s">
        <v>2419</v>
      </c>
      <c r="D85" s="535" t="s">
        <v>2420</v>
      </c>
      <c r="E85" s="535" t="s">
        <v>2421</v>
      </c>
      <c r="F85" s="535" t="s">
        <v>2422</v>
      </c>
      <c r="G85" s="535" t="s">
        <v>2423</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2513</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2572</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2614</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2616</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2617</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J1" zoomScale="90" zoomScaleNormal="80" zoomScaleSheetLayoutView="90" workbookViewId="0">
      <selection activeCell="V2" sqref="V2:V3"/>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0</v>
      </c>
      <c r="C2" s="2187" t="s">
        <v>2635</v>
      </c>
      <c r="D2" s="2188" t="s">
        <v>2636</v>
      </c>
      <c r="E2" s="2189" t="s">
        <v>1343</v>
      </c>
      <c r="F2" s="2188" t="s">
        <v>2637</v>
      </c>
      <c r="G2" s="2190" t="str">
        <f>IF(E2="商业",项目基本情况!B37,IF(E2="办公",项目基本情况!C37,IF(E2="住宅",项目基本情况!D37,项目基本情况!E37)))</f>
        <v>六级</v>
      </c>
      <c r="H2" s="2188" t="s">
        <v>2638</v>
      </c>
      <c r="I2" s="2190" t="str">
        <f>IF(E2="商业",项目基本情况!B38,IF(E2="办公",项目基本情况!C38,IF(E2="住宅",项目基本情况!D38,项目基本情况!E38)))</f>
        <v>Ⅵ-20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26137</v>
      </c>
      <c r="U2" s="1375">
        <f>信息!K36</f>
        <v>600.01</v>
      </c>
      <c r="V2" s="1374">
        <f ca="1">ROUND(T2*U2/10000,0)</f>
        <v>1568</v>
      </c>
      <c r="W2" s="1378"/>
      <c r="X2" s="1378"/>
      <c r="Y2" s="1378"/>
      <c r="Z2" s="1378"/>
      <c r="AA2" s="1378"/>
      <c r="AB2" s="1378"/>
      <c r="AC2" s="1379"/>
      <c r="AD2" s="1380"/>
      <c r="AE2" s="1380"/>
      <c r="AF2" s="1380"/>
      <c r="AG2" s="1380"/>
      <c r="AH2" s="1380"/>
      <c r="AI2" s="1380"/>
      <c r="AJ2" s="1381"/>
    </row>
    <row r="3" spans="1:36" ht="15.75">
      <c r="A3" s="209" t="s">
        <v>2640</v>
      </c>
      <c r="B3" s="210" t="e">
        <f ca="1">ROUND(B2*10000/D1,0)</f>
        <v>#DIV/0!</v>
      </c>
      <c r="C3" s="2187" t="s">
        <v>2641</v>
      </c>
      <c r="D3" s="2188" t="s">
        <v>2642</v>
      </c>
      <c r="E3" s="3457" t="s">
        <v>3137</v>
      </c>
      <c r="F3" s="2194" t="s">
        <v>3140</v>
      </c>
      <c r="G3" s="855">
        <f>IF(F3="宗地容积率",'数据-汇总表'!I4,IF(F3="估价对象容积率",'数据-汇总表'!I6,'数据-汇总表'!I7))</f>
        <v>2.8</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18761</v>
      </c>
      <c r="U3" s="1375">
        <f>信息!K37</f>
        <v>808.08</v>
      </c>
      <c r="V3" s="1374">
        <f t="shared" ref="V3:V16" ca="1" si="1">ROUND(T3*U3/10000,0)</f>
        <v>1516</v>
      </c>
      <c r="W3" s="1378"/>
      <c r="X3" s="1378"/>
      <c r="Y3" s="1378"/>
      <c r="Z3" s="1378"/>
      <c r="AA3" s="1378"/>
      <c r="AB3" s="1378"/>
      <c r="AC3" s="1379"/>
      <c r="AD3" s="1380"/>
      <c r="AE3" s="1380"/>
      <c r="AF3" s="1380"/>
      <c r="AG3" s="1380"/>
      <c r="AH3" s="1380"/>
      <c r="AI3" s="1380"/>
      <c r="AJ3" s="1381"/>
    </row>
    <row r="4" spans="1:36" ht="15.75">
      <c r="A4" s="3400"/>
      <c r="B4" s="3401"/>
      <c r="C4" s="3401"/>
      <c r="D4" s="3402"/>
      <c r="E4" s="3402"/>
      <c r="F4" s="3402"/>
      <c r="G4" s="3402"/>
      <c r="H4" s="3402"/>
      <c r="I4" s="3402"/>
      <c r="J4" s="3403"/>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15136</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10340</v>
      </c>
      <c r="D5" s="1525">
        <f>ROUND(C6+C16,0)</f>
        <v>10340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12145</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10340</v>
      </c>
      <c r="D6" s="2207" t="s">
        <v>2651</v>
      </c>
      <c r="E6" s="2208"/>
      <c r="F6" s="2208"/>
      <c r="G6" s="2209"/>
      <c r="H6" s="2209"/>
      <c r="I6" s="2209"/>
      <c r="J6" s="2210"/>
      <c r="K6" s="1570"/>
      <c r="L6" s="2192" t="s">
        <v>2652</v>
      </c>
      <c r="M6" s="995">
        <f>SUMPRODUCT((区片价!B110:B157=I2)*(区片价!C3:F3=E2)*(区片价!C110:F157))</f>
        <v>10340</v>
      </c>
      <c r="N6" s="997">
        <f>SUMPRODUCT((因素修正幅度!B110:B157=I2)*(因素修正幅度!C3:F3=E2)*(因素修正幅度!C110:F157))</f>
        <v>0.13</v>
      </c>
      <c r="O6" s="1280"/>
      <c r="P6" s="1280"/>
      <c r="Q6" s="1280"/>
      <c r="R6" s="1374">
        <v>5</v>
      </c>
      <c r="S6" s="1374">
        <f>ROUND(IF(G3&gt;1,IF(R6&lt;7,SUMPRODUCT((B93:B98=R6)*(C92:N92=G2)*(C93:N98)),SUMIF(C92:N92,G2,C100:N100)),IF(R6&lt;7,SUMPRODUCT((B102:B107=R6)*(C92:N92=G2)*(C102:N107)),SUMIF(C92:N92,G2,C109:N109))),4)</f>
        <v>0.73709999999999998</v>
      </c>
      <c r="T6" s="1374">
        <f t="shared" ca="1" si="0"/>
        <v>10342</v>
      </c>
      <c r="U6" s="1375"/>
      <c r="V6" s="1374">
        <f t="shared" ca="1" si="1"/>
        <v>0</v>
      </c>
      <c r="W6" s="1378"/>
      <c r="X6" s="1378"/>
      <c r="Y6" s="1378"/>
      <c r="Z6" s="1378"/>
      <c r="AA6" s="1378"/>
      <c r="AB6" s="1378"/>
      <c r="AC6" s="2201"/>
      <c r="AD6" s="2202"/>
      <c r="AE6" s="2202"/>
      <c r="AF6" s="2202"/>
      <c r="AG6" s="2202"/>
      <c r="AH6" s="2202"/>
      <c r="AI6" s="2202"/>
      <c r="AJ6" s="2203"/>
    </row>
    <row r="7" spans="1:36" ht="24">
      <c r="A7" s="3404"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9094</v>
      </c>
      <c r="U7" s="1375"/>
      <c r="V7" s="1374">
        <f t="shared" ca="1" si="1"/>
        <v>0</v>
      </c>
      <c r="W7" s="1544" t="s">
        <v>2656</v>
      </c>
      <c r="X7" s="1376" t="str">
        <f>G2</f>
        <v>六级</v>
      </c>
      <c r="Y7" s="1376" t="s">
        <v>2657</v>
      </c>
      <c r="Z7" s="1377">
        <f>G3</f>
        <v>2.8</v>
      </c>
      <c r="AA7" s="1378"/>
      <c r="AB7" s="1378"/>
      <c r="AC7" s="1379"/>
      <c r="AD7" s="1380"/>
      <c r="AE7" s="1380"/>
      <c r="AF7" s="1380"/>
      <c r="AG7" s="1380"/>
      <c r="AH7" s="1380"/>
      <c r="AI7" s="1380"/>
      <c r="AJ7" s="1381"/>
    </row>
    <row r="8" spans="1:36" ht="25.5">
      <c r="A8" s="3405"/>
      <c r="B8" s="175" t="s">
        <v>2658</v>
      </c>
      <c r="C8" s="2216" t="s">
        <v>3138</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97" t="s">
        <v>2661</v>
      </c>
      <c r="X8" s="339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405"/>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99"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5"/>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9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5"/>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99" t="s">
        <v>2685</v>
      </c>
      <c r="X11" s="1386" t="s">
        <v>2686</v>
      </c>
      <c r="Y11" s="1387">
        <f>$G$3</f>
        <v>2.8</v>
      </c>
      <c r="Z11" s="1387">
        <f t="shared" ref="Z11:AJ11" si="3">$G$3</f>
        <v>2.8</v>
      </c>
      <c r="AA11" s="1387">
        <f t="shared" si="3"/>
        <v>2.8</v>
      </c>
      <c r="AB11" s="1387">
        <f t="shared" si="3"/>
        <v>2.8</v>
      </c>
      <c r="AC11" s="1387">
        <f t="shared" si="3"/>
        <v>2.8</v>
      </c>
      <c r="AD11" s="1387">
        <f t="shared" si="3"/>
        <v>2.8</v>
      </c>
      <c r="AE11" s="1387">
        <f t="shared" si="3"/>
        <v>2.8</v>
      </c>
      <c r="AF11" s="1387">
        <f t="shared" si="3"/>
        <v>2.8</v>
      </c>
      <c r="AG11" s="1387">
        <f t="shared" si="3"/>
        <v>2.8</v>
      </c>
      <c r="AH11" s="1387">
        <f t="shared" si="3"/>
        <v>2.8</v>
      </c>
      <c r="AI11" s="1387">
        <f t="shared" si="3"/>
        <v>2.8</v>
      </c>
      <c r="AJ11" s="1387">
        <f t="shared" si="3"/>
        <v>2.8</v>
      </c>
    </row>
    <row r="12" spans="1:36" ht="25.5" thickBot="1">
      <c r="A12" s="3404"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9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6"/>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399"/>
      <c r="X13" s="1388"/>
      <c r="Y13" s="1385">
        <f>(-0.163*(Y12^2)-0.59*Y12+7617)*(10^(-4))/Y11</f>
        <v>0.27203571428571433</v>
      </c>
      <c r="Z13" s="1385">
        <f t="shared" ref="Z13:AJ13" si="5">(-0.163*(Z12^2)-0.59*Z12+7617)*(10^(-4))/Z11</f>
        <v>0.27203571428571433</v>
      </c>
      <c r="AA13" s="1385">
        <f t="shared" si="5"/>
        <v>0.27203571428571433</v>
      </c>
      <c r="AB13" s="1385">
        <f t="shared" si="5"/>
        <v>0.27203571428571433</v>
      </c>
      <c r="AC13" s="1385">
        <f t="shared" si="5"/>
        <v>0.27203571428571433</v>
      </c>
      <c r="AD13" s="1385">
        <f t="shared" si="5"/>
        <v>0.27203571428571433</v>
      </c>
      <c r="AE13" s="1385">
        <f t="shared" si="5"/>
        <v>0.27203571428571433</v>
      </c>
      <c r="AF13" s="1385">
        <f t="shared" si="5"/>
        <v>0.27203571428571433</v>
      </c>
      <c r="AG13" s="1385">
        <f t="shared" si="5"/>
        <v>0.27203571428571433</v>
      </c>
      <c r="AH13" s="1385">
        <f t="shared" si="5"/>
        <v>0.27203571428571433</v>
      </c>
      <c r="AI13" s="1385">
        <f t="shared" si="5"/>
        <v>0.27203571428571433</v>
      </c>
      <c r="AJ13" s="1385">
        <f t="shared" si="5"/>
        <v>0.27203571428571433</v>
      </c>
    </row>
    <row r="14" spans="1:36" ht="15">
      <c r="A14" s="3406"/>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thickBot="1">
      <c r="A15" s="3407"/>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404" t="s">
        <v>2704</v>
      </c>
      <c r="B16" s="2211" t="s">
        <v>2705</v>
      </c>
      <c r="C16" s="2373">
        <f>ROUND(IF(F17="与级别开发程度一致",0,(G17-E17)/C17),0)</f>
        <v>0</v>
      </c>
      <c r="D16" s="3420" t="s">
        <v>2709</v>
      </c>
      <c r="E16" s="3421"/>
      <c r="F16" s="3420" t="s">
        <v>2706</v>
      </c>
      <c r="G16" s="3421"/>
      <c r="H16" s="2243"/>
      <c r="I16" s="2243"/>
      <c r="J16" s="2377"/>
      <c r="K16" s="2243"/>
      <c r="L16" s="2243"/>
      <c r="M16" s="2243"/>
      <c r="N16" s="2243"/>
      <c r="O16" s="2244"/>
      <c r="P16" s="2185"/>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408"/>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3139</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f>(26137*600.01+18761*808.08)/10000</f>
        <v>3084.2850250000001</v>
      </c>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7.75" thickBot="1">
      <c r="A19" s="2248" t="s">
        <v>809</v>
      </c>
      <c r="B19" s="2249" t="s">
        <v>2712</v>
      </c>
      <c r="C19" s="863">
        <f>ROUND(IF(H19="按公示增长率计算",SUMPRODUCT((地价!A3:A33=YEAR(G19)&amp;"-"&amp;ROUNDUP(MONTH(G19)/3,0))*(地价!X2:AB2=E2)*(地价!X3:AB33)),IF(H19="地价指数",M20/M19,(1+I19)^O19)),4)</f>
        <v>1.3411</v>
      </c>
      <c r="D19" s="2253" t="s">
        <v>2713</v>
      </c>
      <c r="E19" s="864">
        <v>41640</v>
      </c>
      <c r="F19" s="2253" t="s">
        <v>2714</v>
      </c>
      <c r="G19" s="865">
        <f>'数据-取费表'!B2</f>
        <v>44218</v>
      </c>
      <c r="H19" s="2254" t="s">
        <v>3141</v>
      </c>
      <c r="I19" s="866" t="str">
        <f>IF(H19="季度增幅（自定义）",SUMIF(N21:N24,E2,O21:O24),"")</f>
        <v/>
      </c>
      <c r="J19" s="2251"/>
      <c r="K19" s="1287"/>
      <c r="L19" s="2255" t="s">
        <v>2715</v>
      </c>
      <c r="M19" s="1498">
        <f>ROUND(SUMIF(地价!B2:F2,E2,地价!B33:F33),0)</f>
        <v>258</v>
      </c>
      <c r="N19" s="2256" t="s">
        <v>2716</v>
      </c>
      <c r="O19" s="867">
        <f>ROUNDDOWN(DATEDIF(E19,G19,"M")/3,0)</f>
        <v>28</v>
      </c>
      <c r="P19" s="1284"/>
      <c r="Q19" s="1286"/>
      <c r="R19" s="1286"/>
      <c r="S19" s="1284">
        <f>10340*1*1.3411*0.9573*1.8629*1.0569</f>
        <v>26136.847312357113</v>
      </c>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2717</v>
      </c>
      <c r="C20" s="868">
        <f ca="1">ROUND(POWER(1+G20,J20-I20)*(POWER(1+G20,I20)-1)/(POWER(1+G20,J20)-1),4)</f>
        <v>0.95730000000000004</v>
      </c>
      <c r="D20" s="2260" t="s">
        <v>2718</v>
      </c>
      <c r="E20" s="1507">
        <f ca="1">存贷款利率!D4/100</f>
        <v>4.3499999999999997E-2</v>
      </c>
      <c r="F20" s="2260" t="s">
        <v>2710</v>
      </c>
      <c r="G20" s="873">
        <f ca="1">SUMIF(M26:P26,E2,M28:P28)</f>
        <v>5.3999999999999999E-2</v>
      </c>
      <c r="H20" s="2260" t="s">
        <v>2719</v>
      </c>
      <c r="I20" s="874">
        <f>SUMIF('数据-取费表'!C6:C15,E2,'数据-取费表'!F6:F15)/COUNTIF('数据-取费表'!C6:C15,E2)</f>
        <v>34.909999999999997</v>
      </c>
      <c r="J20" s="875">
        <f>IF(E2="住宅",70,IF(E2="商业",40,50))</f>
        <v>40</v>
      </c>
      <c r="K20" s="1287"/>
      <c r="L20" s="2261" t="s">
        <v>2720</v>
      </c>
      <c r="M20" s="1499">
        <f>ROUND(SUMPRODUCT((地价!A4:A33=YEAR(G19)&amp;"-"&amp;ROUNDUP(MONTH(G19)/3,0))*(地价!B2:F2=E2)*(地价!B4:F33)),0)</f>
        <v>346</v>
      </c>
      <c r="N20" s="2262" t="s">
        <v>2721</v>
      </c>
      <c r="O20" s="2263" t="s">
        <v>2722</v>
      </c>
      <c r="P20" s="2264" t="s">
        <v>2723</v>
      </c>
      <c r="Q20" s="3019"/>
      <c r="R20" s="1286"/>
      <c r="S20" s="1284">
        <f>10340*1*1.3411*0.9573*1.3372*1.0569</f>
        <v>18761.174634217583</v>
      </c>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3153</v>
      </c>
      <c r="C21" s="876">
        <f>IF(B21="容积率修正",IF(G3&lt;=10,D22,J22),C23)</f>
        <v>0.96160000000000001</v>
      </c>
      <c r="D21" s="2267"/>
      <c r="E21" s="2267"/>
      <c r="F21" s="2267"/>
      <c r="G21" s="2267"/>
      <c r="H21" s="2267"/>
      <c r="I21" s="2267"/>
      <c r="J21" s="2268"/>
      <c r="K21" s="1287"/>
      <c r="L21" s="3019"/>
      <c r="M21" s="3019"/>
      <c r="N21" s="2269" t="s">
        <v>2724</v>
      </c>
      <c r="O21" s="1335"/>
      <c r="P21" s="1336">
        <f>SUMPRODUCT((地价!A3:A33=YEAR(G19)&amp;"-"&amp;ROUNDUP(MONTH(G19)/3,0))*(地价!AD2:AH2=N21)*(地价!AD3:AH33))</f>
        <v>1.0999999999999999E-2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2725</v>
      </c>
      <c r="B22" s="2270" t="s">
        <v>2726</v>
      </c>
      <c r="C22" s="1538" t="s">
        <v>2727</v>
      </c>
      <c r="D22" s="1538">
        <f>IF(E22=G22,F22,IF(G3&lt;=10,ROUND(F22+(H22-F22)*(G3-E22)/(G22-E22),4),"——"))</f>
        <v>0.96160000000000001</v>
      </c>
      <c r="E22" s="855">
        <f>ROUNDDOWN(G3,1)</f>
        <v>2.8</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855">
        <f>ROUNDUP(G3,1)</f>
        <v>2.8</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538" t="s">
        <v>155</v>
      </c>
      <c r="J22" s="877" t="str">
        <f>IF(G3&gt;10,D113,"——")</f>
        <v>——</v>
      </c>
      <c r="K22" s="1287"/>
      <c r="L22" s="3019"/>
      <c r="M22" s="3019"/>
      <c r="N22" s="2269" t="s">
        <v>2728</v>
      </c>
      <c r="O22" s="1335"/>
      <c r="P22" s="1336">
        <f>SUMPRODUCT((地价!A3:A33=YEAR(G19)&amp;"-"&amp;ROUNDUP(MONTH(G19)/3,0))*(地价!AD2:AH2=N22)*(地价!AD3:AH33))</f>
        <v>1.0999999999999999E-2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1.0569</v>
      </c>
      <c r="D24" s="2250"/>
      <c r="E24" s="2277"/>
      <c r="F24" s="2277"/>
      <c r="G24" s="2277"/>
      <c r="H24" s="2277"/>
      <c r="I24" s="2277"/>
      <c r="J24" s="2278"/>
      <c r="K24" s="1287"/>
      <c r="L24" s="3019"/>
      <c r="M24" s="3019"/>
      <c r="N24" s="2279" t="s">
        <v>2733</v>
      </c>
      <c r="O24" s="1337"/>
      <c r="P24" s="1338">
        <f>SUMPRODUCT((地价!A3:A33=YEAR(G19)&amp;"-"&amp;ROUNDUP(MONTH(G19)/3,0))*(地价!AD2:AH2=N24)*(地价!AD3:AH33))</f>
        <v>1.1900000000000001E-2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2734</v>
      </c>
      <c r="C25" s="869"/>
      <c r="D25" s="2214"/>
      <c r="E25" s="2214"/>
      <c r="F25" s="2281"/>
      <c r="G25" s="2214"/>
      <c r="H25" s="2214"/>
      <c r="I25" s="2214"/>
      <c r="J25" s="2215"/>
      <c r="K25" s="1280"/>
      <c r="L25" s="2185"/>
      <c r="M25" s="2185"/>
      <c r="N25" s="3014" t="s">
        <v>2735</v>
      </c>
      <c r="O25" s="3015"/>
      <c r="P25" s="3016">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0</v>
      </c>
      <c r="D26" s="2283"/>
      <c r="E26" s="2239"/>
      <c r="F26" s="2284"/>
      <c r="G26" s="2239"/>
      <c r="H26" s="2239"/>
      <c r="I26" s="2239"/>
      <c r="J26" s="2285"/>
      <c r="K26" s="1280"/>
      <c r="L26" s="3017" t="s">
        <v>2636</v>
      </c>
      <c r="M26" s="2212" t="s">
        <v>2700</v>
      </c>
      <c r="N26" s="2212" t="s">
        <v>2701</v>
      </c>
      <c r="O26" s="2212" t="s">
        <v>2702</v>
      </c>
      <c r="P26" s="3018"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13491</v>
      </c>
      <c r="D29" s="2298"/>
      <c r="E29" s="879">
        <f ca="1">ROUND(C29*D29/10000,0)</f>
        <v>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3373</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17"/>
      <c r="B33" s="2314" t="s">
        <v>2750</v>
      </c>
      <c r="C33" s="180">
        <f ca="1">ROUND(D5*C19*C20*C24*F33,0)</f>
        <v>9821</v>
      </c>
      <c r="D33" s="2298"/>
      <c r="E33" s="176">
        <f ca="1">ROUND(C33*D33/10000,0)</f>
        <v>0</v>
      </c>
      <c r="F33" s="176">
        <f>SUMIF(修正!A45:A56,G2,修正!B45:B56)</f>
        <v>0.7</v>
      </c>
      <c r="G33" s="176">
        <f t="shared" ref="G33" ca="1" si="6">ROUND(IF(E2="工业",C33*$M$39,C33*$M$38),0)</f>
        <v>2455</v>
      </c>
      <c r="H33" s="176">
        <f>D33</f>
        <v>0</v>
      </c>
      <c r="I33" s="176">
        <f ca="1">ROUND(G33*H33/10000,0)</f>
        <v>0</v>
      </c>
      <c r="J33" s="3422"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18"/>
      <c r="B34" s="2231" t="s">
        <v>2751</v>
      </c>
      <c r="C34" s="180">
        <f ca="1">ROUND(D5*C19*C20*C24*F34,0)</f>
        <v>5612</v>
      </c>
      <c r="D34" s="2298"/>
      <c r="E34" s="176">
        <f t="shared" ref="E34:E39" ca="1" si="7">ROUND(C34*D34/10000,0)</f>
        <v>0</v>
      </c>
      <c r="F34" s="176">
        <f>SUMIF(修正!A45:A56,G2,修正!C45:C56)</f>
        <v>0.4</v>
      </c>
      <c r="G34" s="176">
        <f ca="1">ROUND(IF(E2="工业",C34*$M$39,C34*$M$38),0)</f>
        <v>1403</v>
      </c>
      <c r="H34" s="176">
        <f t="shared" ref="H34:H39" si="8">D34</f>
        <v>0</v>
      </c>
      <c r="I34" s="176">
        <f t="shared" ref="I34:I39" ca="1" si="9">ROUND(G34*H34/10000,0)</f>
        <v>0</v>
      </c>
      <c r="J34" s="341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18"/>
      <c r="B35" s="2231" t="s">
        <v>2752</v>
      </c>
      <c r="C35" s="180">
        <f ca="1">ROUND(D5*C19*C20*C24*F35,0)</f>
        <v>3928</v>
      </c>
      <c r="D35" s="2298"/>
      <c r="E35" s="176">
        <f t="shared" ca="1" si="7"/>
        <v>0</v>
      </c>
      <c r="F35" s="176">
        <f>SUMIF(修正!A45:A56,G2,修正!D45:D56)</f>
        <v>0.28000000000000003</v>
      </c>
      <c r="G35" s="176">
        <f ca="1">ROUND(IF(E2="工业",C35*$M$39,C35*$M$38),0)</f>
        <v>982</v>
      </c>
      <c r="H35" s="176">
        <f t="shared" si="8"/>
        <v>0</v>
      </c>
      <c r="I35" s="176">
        <f t="shared" ca="1" si="9"/>
        <v>0</v>
      </c>
      <c r="J35" s="341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19"/>
      <c r="B36" s="2231" t="s">
        <v>2753</v>
      </c>
      <c r="C36" s="180">
        <f ca="1">ROUND(D5*C19*C20*C24*F36,0)</f>
        <v>3508</v>
      </c>
      <c r="D36" s="2298"/>
      <c r="E36" s="176">
        <f t="shared" ca="1" si="7"/>
        <v>0</v>
      </c>
      <c r="F36" s="176">
        <f>SUMIF(修正!A45:A56,G2,修正!E45:E56)</f>
        <v>0.25</v>
      </c>
      <c r="G36" s="176">
        <f ca="1">ROUND(IF(E2="工业",C36*$M$39,C36*$M$38),0)</f>
        <v>877</v>
      </c>
      <c r="H36" s="176">
        <f t="shared" si="8"/>
        <v>0</v>
      </c>
      <c r="I36" s="176">
        <f t="shared" ca="1" si="9"/>
        <v>0</v>
      </c>
      <c r="J36" s="341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3508</v>
      </c>
      <c r="D37" s="2298"/>
      <c r="E37" s="176">
        <f t="shared" ca="1" si="7"/>
        <v>0</v>
      </c>
      <c r="F37" s="180">
        <f>SUMIF(修正!A45:A56,G2,修正!F45:F56)</f>
        <v>0.25</v>
      </c>
      <c r="G37" s="176">
        <f ca="1">ROUND(IF(E2="工业",C37*$M$39,C37*$M$38),0)</f>
        <v>877</v>
      </c>
      <c r="H37" s="176">
        <f t="shared" si="8"/>
        <v>0</v>
      </c>
      <c r="I37" s="176">
        <f t="shared" ca="1" si="9"/>
        <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v>
      </c>
      <c r="D41" s="176" t="s">
        <v>2710</v>
      </c>
      <c r="E41" s="2371">
        <f ca="1">G20</f>
        <v>5.3999999999999999E-2</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1.0569</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24.75">
      <c r="A48" s="2331" t="s">
        <v>2769</v>
      </c>
      <c r="B48" s="2334" t="str">
        <f>估价对象房地状况!C4</f>
        <v>一般</v>
      </c>
      <c r="C48" s="2236" t="s">
        <v>3146</v>
      </c>
      <c r="D48" s="1196">
        <f t="shared" ref="D48:D56" si="10">SUMIF($J$47:$N$47,C48,J48:N48)</f>
        <v>0</v>
      </c>
      <c r="E48" s="760">
        <f>ROUND(SUM(D48:D56),4)</f>
        <v>5.6899999999999999E-2</v>
      </c>
      <c r="F48" s="2002">
        <f>IF(E2="商业",SUMIF(L1:L12,G2,N1:N12),"——")</f>
        <v>0.13</v>
      </c>
      <c r="G48" s="1194">
        <f>H48</f>
        <v>2.1399999999999999E-2</v>
      </c>
      <c r="H48" s="1198">
        <f t="shared" ref="H48:H56" si="11">IFERROR(ROUNDDOWN($F$48*I48/2,4),"——")</f>
        <v>2.1399999999999999E-2</v>
      </c>
      <c r="I48" s="759">
        <v>0.33</v>
      </c>
      <c r="J48" s="1195">
        <f t="shared" ref="J48:J56" si="12">K48+$G48</f>
        <v>4.2799999999999998E-2</v>
      </c>
      <c r="K48" s="1195">
        <f t="shared" ref="K48:K56" si="13">$L48+$G48</f>
        <v>2.1399999999999999E-2</v>
      </c>
      <c r="L48" s="1195">
        <v>0</v>
      </c>
      <c r="M48" s="1195">
        <f t="shared" ref="M48:N56" si="14">L48-$G48</f>
        <v>-2.1399999999999999E-2</v>
      </c>
      <c r="N48" s="1195">
        <f t="shared" si="14"/>
        <v>-4.2799999999999998E-2</v>
      </c>
      <c r="AA48" s="1281"/>
      <c r="AB48" s="1281"/>
      <c r="AC48" s="1281"/>
      <c r="AD48" s="1281"/>
      <c r="AE48" s="1281"/>
      <c r="AF48" s="1281"/>
      <c r="AG48" s="1281"/>
      <c r="AH48" s="1281"/>
      <c r="AI48" s="1281"/>
      <c r="AJ48" s="1281"/>
      <c r="AK48" s="1281"/>
    </row>
    <row r="49" spans="1:37" s="1280" customFormat="1" ht="14.25">
      <c r="A49" s="2331" t="s">
        <v>2770</v>
      </c>
      <c r="B49" s="2335" t="str">
        <f>估价对象房地状况!C18</f>
        <v>好</v>
      </c>
      <c r="C49" s="2236" t="s">
        <v>3150</v>
      </c>
      <c r="D49" s="1196">
        <f t="shared" si="10"/>
        <v>3.2399999999999998E-2</v>
      </c>
      <c r="E49" s="761"/>
      <c r="F49" s="2002"/>
      <c r="G49" s="1194">
        <f t="shared" ref="G49:G56" si="15">H49</f>
        <v>1.6199999999999999E-2</v>
      </c>
      <c r="H49" s="1198">
        <f t="shared" si="11"/>
        <v>1.6199999999999999E-2</v>
      </c>
      <c r="I49" s="759">
        <v>0.25</v>
      </c>
      <c r="J49" s="1195">
        <f t="shared" si="12"/>
        <v>3.2399999999999998E-2</v>
      </c>
      <c r="K49" s="1195">
        <f t="shared" si="13"/>
        <v>1.6199999999999999E-2</v>
      </c>
      <c r="L49" s="1195">
        <v>0</v>
      </c>
      <c r="M49" s="1195">
        <f t="shared" si="14"/>
        <v>-1.6199999999999999E-2</v>
      </c>
      <c r="N49" s="1195">
        <f t="shared" si="14"/>
        <v>-3.2399999999999998E-2</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t="s">
        <v>3151</v>
      </c>
      <c r="D50" s="1196">
        <f t="shared" si="10"/>
        <v>3.2000000000000002E-3</v>
      </c>
      <c r="E50" s="761"/>
      <c r="F50" s="2002"/>
      <c r="G50" s="1194">
        <f t="shared" si="15"/>
        <v>3.2000000000000002E-3</v>
      </c>
      <c r="H50" s="1198">
        <f t="shared" si="11"/>
        <v>3.2000000000000002E-3</v>
      </c>
      <c r="I50" s="759">
        <v>0.05</v>
      </c>
      <c r="J50" s="1195">
        <f t="shared" si="12"/>
        <v>6.4000000000000003E-3</v>
      </c>
      <c r="K50" s="1195">
        <f t="shared" si="13"/>
        <v>3.2000000000000002E-3</v>
      </c>
      <c r="L50" s="1195">
        <v>0</v>
      </c>
      <c r="M50" s="1195">
        <f t="shared" si="14"/>
        <v>-3.2000000000000002E-3</v>
      </c>
      <c r="N50" s="1195">
        <f t="shared" si="14"/>
        <v>-6.4000000000000003E-3</v>
      </c>
      <c r="AA50" s="1281"/>
      <c r="AB50" s="1281"/>
      <c r="AC50" s="1281"/>
      <c r="AD50" s="1281"/>
      <c r="AE50" s="1281"/>
      <c r="AF50" s="1281"/>
      <c r="AG50" s="1281"/>
      <c r="AH50" s="1281"/>
      <c r="AI50" s="1281"/>
      <c r="AJ50" s="1281"/>
      <c r="AK50" s="1281"/>
    </row>
    <row r="51" spans="1:37" s="1280" customFormat="1" ht="36.75">
      <c r="A51" s="2331" t="s">
        <v>2772</v>
      </c>
      <c r="B51" s="2336" t="s">
        <v>2773</v>
      </c>
      <c r="C51" s="2236" t="s">
        <v>3151</v>
      </c>
      <c r="D51" s="1196">
        <f t="shared" si="10"/>
        <v>3.2000000000000002E-3</v>
      </c>
      <c r="E51" s="761"/>
      <c r="F51" s="2002"/>
      <c r="G51" s="1194">
        <f t="shared" si="15"/>
        <v>3.2000000000000002E-3</v>
      </c>
      <c r="H51" s="1198">
        <f t="shared" si="11"/>
        <v>3.2000000000000002E-3</v>
      </c>
      <c r="I51" s="759">
        <v>0.05</v>
      </c>
      <c r="J51" s="1195">
        <f t="shared" si="12"/>
        <v>6.4000000000000003E-3</v>
      </c>
      <c r="K51" s="1195">
        <f t="shared" si="13"/>
        <v>3.2000000000000002E-3</v>
      </c>
      <c r="L51" s="1195">
        <v>0</v>
      </c>
      <c r="M51" s="1195">
        <f t="shared" si="14"/>
        <v>-3.2000000000000002E-3</v>
      </c>
      <c r="N51" s="1195">
        <f t="shared" si="14"/>
        <v>-6.4000000000000003E-3</v>
      </c>
      <c r="AA51" s="1281"/>
      <c r="AB51" s="1281"/>
      <c r="AC51" s="1281"/>
      <c r="AD51" s="1281"/>
      <c r="AE51" s="1281"/>
      <c r="AF51" s="1281"/>
      <c r="AG51" s="1281"/>
      <c r="AH51" s="1281"/>
      <c r="AI51" s="1281"/>
      <c r="AJ51" s="1281"/>
      <c r="AK51" s="1281"/>
    </row>
    <row r="52" spans="1:37" s="1280" customFormat="1" ht="24">
      <c r="A52" s="2331" t="s">
        <v>2774</v>
      </c>
      <c r="B52" s="3105" t="str">
        <f>估价对象房地状况!C24</f>
        <v>次干道</v>
      </c>
      <c r="C52" s="2236" t="s">
        <v>3146</v>
      </c>
      <c r="D52" s="1196">
        <f t="shared" si="10"/>
        <v>0</v>
      </c>
      <c r="E52" s="761"/>
      <c r="F52" s="2002"/>
      <c r="G52" s="1194">
        <f t="shared" si="15"/>
        <v>5.1999999999999998E-3</v>
      </c>
      <c r="H52" s="1198">
        <f t="shared" si="11"/>
        <v>5.1999999999999998E-3</v>
      </c>
      <c r="I52" s="759">
        <v>0.08</v>
      </c>
      <c r="J52" s="1195">
        <f t="shared" si="12"/>
        <v>1.04E-2</v>
      </c>
      <c r="K52" s="1195">
        <f t="shared" si="13"/>
        <v>5.1999999999999998E-3</v>
      </c>
      <c r="L52" s="1195">
        <v>0</v>
      </c>
      <c r="M52" s="1195">
        <f t="shared" si="14"/>
        <v>-5.1999999999999998E-3</v>
      </c>
      <c r="N52" s="1195">
        <f t="shared" si="14"/>
        <v>-1.04E-2</v>
      </c>
      <c r="AA52" s="1281"/>
      <c r="AB52" s="1281"/>
      <c r="AC52" s="1281"/>
      <c r="AD52" s="1281"/>
      <c r="AE52" s="1281"/>
      <c r="AF52" s="1281"/>
      <c r="AG52" s="1281"/>
      <c r="AH52" s="1281"/>
      <c r="AI52" s="1281"/>
      <c r="AJ52" s="1281"/>
      <c r="AK52" s="1281"/>
    </row>
    <row r="53" spans="1:37" s="1280" customFormat="1" ht="24">
      <c r="A53" s="2331" t="s">
        <v>2775</v>
      </c>
      <c r="B53" s="2337" t="s">
        <v>2776</v>
      </c>
      <c r="C53" s="2236" t="s">
        <v>3151</v>
      </c>
      <c r="D53" s="1196">
        <f t="shared" si="10"/>
        <v>1.9E-3</v>
      </c>
      <c r="E53" s="761"/>
      <c r="F53" s="2002"/>
      <c r="G53" s="1194">
        <f t="shared" si="15"/>
        <v>1.9E-3</v>
      </c>
      <c r="H53" s="1198">
        <f t="shared" si="11"/>
        <v>1.9E-3</v>
      </c>
      <c r="I53" s="759">
        <v>0.03</v>
      </c>
      <c r="J53" s="1195">
        <f t="shared" si="12"/>
        <v>3.8E-3</v>
      </c>
      <c r="K53" s="1195">
        <f t="shared" si="13"/>
        <v>1.9E-3</v>
      </c>
      <c r="L53" s="1195">
        <v>0</v>
      </c>
      <c r="M53" s="1195">
        <f t="shared" si="14"/>
        <v>-1.9E-3</v>
      </c>
      <c r="N53" s="1195">
        <f t="shared" si="14"/>
        <v>-3.8E-3</v>
      </c>
      <c r="AA53" s="1281"/>
      <c r="AB53" s="1281"/>
      <c r="AC53" s="1281"/>
      <c r="AD53" s="1281"/>
      <c r="AE53" s="1281"/>
      <c r="AF53" s="1281"/>
      <c r="AG53" s="1281"/>
      <c r="AH53" s="1281"/>
      <c r="AI53" s="1281"/>
      <c r="AJ53" s="1281"/>
      <c r="AK53" s="1281"/>
    </row>
    <row r="54" spans="1:37" s="1280" customFormat="1" ht="24">
      <c r="A54" s="2338" t="s">
        <v>2777</v>
      </c>
      <c r="B54" s="1496" t="str">
        <f>估价对象房地状况!C21</f>
        <v>较好</v>
      </c>
      <c r="C54" s="2236" t="s">
        <v>3151</v>
      </c>
      <c r="D54" s="1196">
        <f t="shared" si="10"/>
        <v>3.2000000000000002E-3</v>
      </c>
      <c r="E54" s="761"/>
      <c r="F54" s="2002"/>
      <c r="G54" s="1194">
        <f t="shared" si="15"/>
        <v>3.2000000000000002E-3</v>
      </c>
      <c r="H54" s="1198">
        <f t="shared" si="11"/>
        <v>3.2000000000000002E-3</v>
      </c>
      <c r="I54" s="759">
        <v>0.05</v>
      </c>
      <c r="J54" s="1195">
        <f t="shared" si="12"/>
        <v>6.4000000000000003E-3</v>
      </c>
      <c r="K54" s="1195">
        <f t="shared" si="13"/>
        <v>3.2000000000000002E-3</v>
      </c>
      <c r="L54" s="1195">
        <v>0</v>
      </c>
      <c r="M54" s="1195">
        <f t="shared" si="14"/>
        <v>-3.2000000000000002E-3</v>
      </c>
      <c r="N54" s="1195">
        <f t="shared" si="14"/>
        <v>-6.4000000000000003E-3</v>
      </c>
      <c r="AA54" s="1281"/>
      <c r="AB54" s="1281"/>
      <c r="AC54" s="1281"/>
      <c r="AD54" s="1281"/>
      <c r="AE54" s="1281"/>
      <c r="AF54" s="1281"/>
      <c r="AG54" s="1281"/>
      <c r="AH54" s="1281"/>
      <c r="AI54" s="1281"/>
      <c r="AJ54" s="1281"/>
      <c r="AK54" s="1281"/>
    </row>
    <row r="55" spans="1:37" s="1280" customFormat="1" ht="24">
      <c r="A55" s="2338" t="s">
        <v>2778</v>
      </c>
      <c r="B55" s="2335" t="str">
        <f>估价对象房地状况!C22</f>
        <v>七通</v>
      </c>
      <c r="C55" s="2236" t="s">
        <v>3150</v>
      </c>
      <c r="D55" s="1196">
        <f t="shared" si="10"/>
        <v>1.2999999999999999E-2</v>
      </c>
      <c r="E55" s="761"/>
      <c r="F55" s="2002"/>
      <c r="G55" s="1194">
        <f t="shared" si="15"/>
        <v>6.4999999999999997E-3</v>
      </c>
      <c r="H55" s="1198">
        <f t="shared" si="11"/>
        <v>6.4999999999999997E-3</v>
      </c>
      <c r="I55" s="759">
        <v>0.1</v>
      </c>
      <c r="J55" s="1195">
        <f t="shared" si="12"/>
        <v>1.2999999999999999E-2</v>
      </c>
      <c r="K55" s="1195">
        <f t="shared" si="13"/>
        <v>6.4999999999999997E-3</v>
      </c>
      <c r="L55" s="1195">
        <v>0</v>
      </c>
      <c r="M55" s="1195">
        <f t="shared" si="14"/>
        <v>-6.4999999999999997E-3</v>
      </c>
      <c r="N55" s="1195">
        <f t="shared" si="14"/>
        <v>-1.2999999999999999E-2</v>
      </c>
      <c r="AA55" s="1281"/>
      <c r="AB55" s="1281"/>
      <c r="AC55" s="1281"/>
      <c r="AD55" s="1281"/>
      <c r="AE55" s="1281"/>
      <c r="AF55" s="1281"/>
      <c r="AG55" s="1281"/>
      <c r="AH55" s="1281"/>
      <c r="AI55" s="1281"/>
      <c r="AJ55" s="1281"/>
      <c r="AK55" s="1281"/>
    </row>
    <row r="56" spans="1:37" s="1280" customFormat="1" ht="24.75" thickBot="1">
      <c r="A56" s="2339" t="s">
        <v>2779</v>
      </c>
      <c r="B56" s="2340" t="str">
        <f>估价对象房地状况!C20</f>
        <v>一般</v>
      </c>
      <c r="C56" s="2236" t="s">
        <v>3146</v>
      </c>
      <c r="D56" s="1196">
        <f t="shared" si="10"/>
        <v>0</v>
      </c>
      <c r="E56" s="764"/>
      <c r="F56" s="2002"/>
      <c r="G56" s="1194">
        <f t="shared" si="15"/>
        <v>3.8999999999999998E-3</v>
      </c>
      <c r="H56" s="1198">
        <f t="shared" si="11"/>
        <v>3.8999999999999998E-3</v>
      </c>
      <c r="I56" s="763">
        <v>0.06</v>
      </c>
      <c r="J56" s="1195">
        <f t="shared" si="12"/>
        <v>7.7999999999999996E-3</v>
      </c>
      <c r="K56" s="1195">
        <f t="shared" si="13"/>
        <v>3.8999999999999998E-3</v>
      </c>
      <c r="L56" s="1195">
        <v>0</v>
      </c>
      <c r="M56" s="1195">
        <f t="shared" si="14"/>
        <v>-3.8999999999999998E-3</v>
      </c>
      <c r="N56" s="1195">
        <f t="shared" si="14"/>
        <v>-7.7999999999999996E-3</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24">
      <c r="A59" s="2331" t="s">
        <v>2782</v>
      </c>
      <c r="B59" s="2334" t="str">
        <f>估价对象房地状况!C17</f>
        <v>一般</v>
      </c>
      <c r="C59" s="2236"/>
      <c r="D59" s="1196">
        <f t="shared" ref="D59:D67" si="16">SUMIF($J$58:$N$58,C59,J59:N59)</f>
        <v>0</v>
      </c>
      <c r="E59" s="760">
        <f>ROUND(SUM(D59:D67),4)</f>
        <v>0</v>
      </c>
      <c r="F59" s="2002"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14.25">
      <c r="A60" s="2331" t="s">
        <v>2770</v>
      </c>
      <c r="B60" s="2335" t="str">
        <f>估价对象房地状况!C18</f>
        <v>好</v>
      </c>
      <c r="C60" s="2236"/>
      <c r="D60" s="1196">
        <f t="shared" si="16"/>
        <v>0</v>
      </c>
      <c r="E60" s="761"/>
      <c r="F60" s="2002"/>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6"/>
        <v>0</v>
      </c>
      <c r="E61" s="761"/>
      <c r="F61" s="2002"/>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6"/>
        <v>0</v>
      </c>
      <c r="E62" s="761"/>
      <c r="F62" s="2002"/>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31" t="s">
        <v>2774</v>
      </c>
      <c r="B63" s="2335" t="str">
        <f>估价对象房地状况!C24</f>
        <v>次干道</v>
      </c>
      <c r="C63" s="2236"/>
      <c r="D63" s="1196">
        <f t="shared" si="16"/>
        <v>0</v>
      </c>
      <c r="E63" s="761"/>
      <c r="F63" s="2002"/>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6"/>
        <v>0</v>
      </c>
      <c r="E64" s="761"/>
      <c r="F64" s="2002"/>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4">
      <c r="A65" s="2331" t="s">
        <v>2777</v>
      </c>
      <c r="B65" s="1496" t="str">
        <f>估价对象房地状况!C21</f>
        <v>较好</v>
      </c>
      <c r="C65" s="2236"/>
      <c r="D65" s="1196">
        <f t="shared" si="16"/>
        <v>0</v>
      </c>
      <c r="E65" s="761"/>
      <c r="F65" s="2002"/>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4">
      <c r="A66" s="2331" t="s">
        <v>2778</v>
      </c>
      <c r="B66" s="1496" t="str">
        <f>估价对象房地状况!C22</f>
        <v>七通</v>
      </c>
      <c r="C66" s="2236"/>
      <c r="D66" s="1196">
        <f t="shared" si="16"/>
        <v>0</v>
      </c>
      <c r="E66" s="761"/>
      <c r="F66" s="2002"/>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24.75" thickBot="1">
      <c r="A67" s="2339" t="s">
        <v>2779</v>
      </c>
      <c r="B67" s="2341" t="str">
        <f>估价对象房地状况!C20</f>
        <v>一般</v>
      </c>
      <c r="C67" s="2236"/>
      <c r="D67" s="1196">
        <f t="shared" si="16"/>
        <v>0</v>
      </c>
      <c r="E67" s="764"/>
      <c r="F67" s="2002"/>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31" t="s">
        <v>2770</v>
      </c>
      <c r="B71" s="2335" t="str">
        <f>估价对象房地状况!C18</f>
        <v>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2785</v>
      </c>
      <c r="B73" s="2335" t="str">
        <f>估价对象房地状况!C24</f>
        <v>次干道</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31" t="s">
        <v>2777</v>
      </c>
      <c r="B74" s="1496" t="str">
        <f>估价对象房地状况!C21</f>
        <v>较好</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31" t="s">
        <v>2778</v>
      </c>
      <c r="B75" s="1496" t="str">
        <f>估价对象房地状况!C22</f>
        <v>七通</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24">
      <c r="A77" s="2331" t="s">
        <v>2779</v>
      </c>
      <c r="B77" s="2334" t="str">
        <f>估价对象房地状况!C20</f>
        <v>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409" t="s">
        <v>2791</v>
      </c>
      <c r="B90" s="3409"/>
      <c r="C90" s="3409"/>
      <c r="D90" s="3409"/>
      <c r="E90" s="3409"/>
      <c r="F90" s="3409"/>
      <c r="G90" s="3409"/>
      <c r="H90" s="3409"/>
      <c r="I90" s="3409"/>
      <c r="J90" s="3409"/>
      <c r="K90" s="2345"/>
      <c r="L90" s="2345"/>
      <c r="M90" s="2345"/>
      <c r="N90" s="2345"/>
    </row>
    <row r="91" spans="1:37">
      <c r="A91" s="3411" t="s">
        <v>2792</v>
      </c>
      <c r="B91" s="3411" t="s">
        <v>2793</v>
      </c>
      <c r="C91" s="2299" t="s">
        <v>2794</v>
      </c>
      <c r="D91" s="2300"/>
      <c r="E91" s="2300"/>
      <c r="F91" s="2300"/>
      <c r="G91" s="2300"/>
      <c r="H91" s="2300"/>
      <c r="I91" s="2300"/>
      <c r="J91" s="2346"/>
      <c r="K91" s="2347"/>
      <c r="L91" s="2347"/>
      <c r="M91" s="2347"/>
      <c r="N91" s="2347"/>
    </row>
    <row r="92" spans="1:37">
      <c r="A92" s="3411"/>
      <c r="B92" s="341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412"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1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1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1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1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1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13"/>
      <c r="B99" s="2348" t="s">
        <v>2678</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414"/>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12" t="s">
        <v>2796</v>
      </c>
      <c r="B101" s="2352" t="s">
        <v>2797</v>
      </c>
      <c r="C101" s="2353">
        <f>$G$3</f>
        <v>2.8</v>
      </c>
      <c r="D101" s="2353">
        <f t="shared" ref="D101:N101" si="32">$G$3</f>
        <v>2.8</v>
      </c>
      <c r="E101" s="2353">
        <f t="shared" si="32"/>
        <v>2.8</v>
      </c>
      <c r="F101" s="2353">
        <f t="shared" si="32"/>
        <v>2.8</v>
      </c>
      <c r="G101" s="2353">
        <f t="shared" si="32"/>
        <v>2.8</v>
      </c>
      <c r="H101" s="2353">
        <f t="shared" si="32"/>
        <v>2.8</v>
      </c>
      <c r="I101" s="2353">
        <f t="shared" si="32"/>
        <v>2.8</v>
      </c>
      <c r="J101" s="2353">
        <f t="shared" si="32"/>
        <v>2.8</v>
      </c>
      <c r="K101" s="2353">
        <f t="shared" si="32"/>
        <v>2.8</v>
      </c>
      <c r="L101" s="2353">
        <f t="shared" si="32"/>
        <v>2.8</v>
      </c>
      <c r="M101" s="2353">
        <f t="shared" si="32"/>
        <v>2.8</v>
      </c>
      <c r="N101" s="2353">
        <f t="shared" si="32"/>
        <v>2.8</v>
      </c>
    </row>
    <row r="102" spans="1:14">
      <c r="A102" s="3413"/>
      <c r="B102" s="2348">
        <v>1</v>
      </c>
      <c r="C102" s="2349">
        <f>1.9362/C101</f>
        <v>0.6915</v>
      </c>
      <c r="D102" s="2349">
        <f>1.9362/D101</f>
        <v>0.6915</v>
      </c>
      <c r="E102" s="2349">
        <f>1.8629/E101</f>
        <v>0.66532142857142862</v>
      </c>
      <c r="F102" s="2349">
        <f>1.8629/F101</f>
        <v>0.66532142857142862</v>
      </c>
      <c r="G102" s="2349">
        <f>1.8629/G101</f>
        <v>0.66532142857142862</v>
      </c>
      <c r="H102" s="2349">
        <f>1.8629/H101</f>
        <v>0.66532142857142862</v>
      </c>
      <c r="I102" s="2349">
        <f>1.8629/I101</f>
        <v>0.66532142857142862</v>
      </c>
      <c r="J102" s="2349">
        <f>1.942/J101</f>
        <v>0.69357142857142862</v>
      </c>
      <c r="K102" s="2349">
        <f>1.942/K101</f>
        <v>0.69357142857142862</v>
      </c>
      <c r="L102" s="2349">
        <f>1.942/L101</f>
        <v>0.69357142857142862</v>
      </c>
      <c r="M102" s="2349">
        <f>1.942/M101</f>
        <v>0.69357142857142862</v>
      </c>
      <c r="N102" s="2349">
        <f>1.942/N101</f>
        <v>0.69357142857142862</v>
      </c>
    </row>
    <row r="103" spans="1:14">
      <c r="A103" s="3413"/>
      <c r="B103" s="2348">
        <v>2</v>
      </c>
      <c r="C103" s="2349">
        <f>1.4198/C101</f>
        <v>0.50707142857142862</v>
      </c>
      <c r="D103" s="2349">
        <f>1.4198/D101</f>
        <v>0.50707142857142862</v>
      </c>
      <c r="E103" s="2349">
        <f>1.3372/E101</f>
        <v>0.47757142857142859</v>
      </c>
      <c r="F103" s="2349">
        <f>1.3372/F101</f>
        <v>0.47757142857142859</v>
      </c>
      <c r="G103" s="2349">
        <f>1.3372/G101</f>
        <v>0.47757142857142859</v>
      </c>
      <c r="H103" s="2349">
        <f>1.3372/H101</f>
        <v>0.47757142857142859</v>
      </c>
      <c r="I103" s="2349">
        <f>1.3372/I101</f>
        <v>0.47757142857142859</v>
      </c>
      <c r="J103" s="2349">
        <f>1.2799/J101</f>
        <v>0.45710714285714288</v>
      </c>
      <c r="K103" s="2349">
        <f>1.2799/K101</f>
        <v>0.45710714285714288</v>
      </c>
      <c r="L103" s="2349">
        <f>1.2799/L101</f>
        <v>0.45710714285714288</v>
      </c>
      <c r="M103" s="2349">
        <f>1.2799/M101</f>
        <v>0.45710714285714288</v>
      </c>
      <c r="N103" s="2349">
        <f>1.2799/N101</f>
        <v>0.45710714285714288</v>
      </c>
    </row>
    <row r="104" spans="1:14">
      <c r="A104" s="3413"/>
      <c r="B104" s="2348">
        <v>3</v>
      </c>
      <c r="C104" s="2349">
        <f>1.1594/C101</f>
        <v>0.41407142857142859</v>
      </c>
      <c r="D104" s="2349">
        <f>1.1594/D101</f>
        <v>0.41407142857142859</v>
      </c>
      <c r="E104" s="2349">
        <f>1.0788/E101</f>
        <v>0.38528571428571429</v>
      </c>
      <c r="F104" s="2349">
        <f>1.0788/F101</f>
        <v>0.38528571428571429</v>
      </c>
      <c r="G104" s="2349">
        <f>1.0788/G101</f>
        <v>0.38528571428571429</v>
      </c>
      <c r="H104" s="2349">
        <f>1.0788/H101</f>
        <v>0.38528571428571429</v>
      </c>
      <c r="I104" s="2349">
        <f>1.0788/I101</f>
        <v>0.38528571428571429</v>
      </c>
      <c r="J104" s="2349">
        <f>1.0072/J101</f>
        <v>0.35971428571428576</v>
      </c>
      <c r="K104" s="2349">
        <f>1.0072/K101</f>
        <v>0.35971428571428576</v>
      </c>
      <c r="L104" s="2349">
        <f>1.0072/L101</f>
        <v>0.35971428571428576</v>
      </c>
      <c r="M104" s="2349">
        <f>1.0072/M101</f>
        <v>0.35971428571428576</v>
      </c>
      <c r="N104" s="2349">
        <f>1.0072/N101</f>
        <v>0.35971428571428576</v>
      </c>
    </row>
    <row r="105" spans="1:14">
      <c r="A105" s="3413"/>
      <c r="B105" s="2348">
        <v>4</v>
      </c>
      <c r="C105" s="2349">
        <f>0.9622/C101</f>
        <v>0.34364285714285719</v>
      </c>
      <c r="D105" s="2349">
        <f>0.9622/D101</f>
        <v>0.34364285714285719</v>
      </c>
      <c r="E105" s="2349">
        <f>0.8656/E101</f>
        <v>0.30914285714285716</v>
      </c>
      <c r="F105" s="2349">
        <f>0.8656/F101</f>
        <v>0.30914285714285716</v>
      </c>
      <c r="G105" s="2349">
        <f>0.8656/G101</f>
        <v>0.30914285714285716</v>
      </c>
      <c r="H105" s="2349">
        <f>0.8656/H101</f>
        <v>0.30914285714285716</v>
      </c>
      <c r="I105" s="2349">
        <f>0.8656/I101</f>
        <v>0.30914285714285716</v>
      </c>
      <c r="J105" s="2349">
        <f>0.7525/J101</f>
        <v>0.26874999999999999</v>
      </c>
      <c r="K105" s="2349">
        <f>0.7525/K101</f>
        <v>0.26874999999999999</v>
      </c>
      <c r="L105" s="2349">
        <f>0.7525/L101</f>
        <v>0.26874999999999999</v>
      </c>
      <c r="M105" s="2349">
        <f>0.7525/M101</f>
        <v>0.26874999999999999</v>
      </c>
      <c r="N105" s="2349">
        <f>0.7525/N101</f>
        <v>0.26874999999999999</v>
      </c>
    </row>
    <row r="106" spans="1:14">
      <c r="A106" s="3413"/>
      <c r="B106" s="2348">
        <v>5</v>
      </c>
      <c r="C106" s="2349">
        <f>0.8417/C101</f>
        <v>0.30060714285714285</v>
      </c>
      <c r="D106" s="2349">
        <f>0.8417/D101</f>
        <v>0.30060714285714285</v>
      </c>
      <c r="E106" s="2349">
        <f>0.7371/E101</f>
        <v>0.26324999999999998</v>
      </c>
      <c r="F106" s="2349">
        <f>0.7371/F101</f>
        <v>0.26324999999999998</v>
      </c>
      <c r="G106" s="2349">
        <f>0.7371/G101</f>
        <v>0.26324999999999998</v>
      </c>
      <c r="H106" s="2349">
        <f>0.7371/H101</f>
        <v>0.26324999999999998</v>
      </c>
      <c r="I106" s="2349">
        <f>0.7371/I101</f>
        <v>0.26324999999999998</v>
      </c>
      <c r="J106" s="2349">
        <f>0.5659/J101</f>
        <v>0.20210714285714285</v>
      </c>
      <c r="K106" s="2349">
        <f>0.5659/K101</f>
        <v>0.20210714285714285</v>
      </c>
      <c r="L106" s="2349">
        <f>0.5659/L101</f>
        <v>0.20210714285714285</v>
      </c>
      <c r="M106" s="2349">
        <f>0.5659/M101</f>
        <v>0.20210714285714285</v>
      </c>
      <c r="N106" s="2349">
        <f>0.5659/N101</f>
        <v>0.20210714285714285</v>
      </c>
    </row>
    <row r="107" spans="1:14">
      <c r="A107" s="3413"/>
      <c r="B107" s="2348">
        <v>6</v>
      </c>
      <c r="C107" s="2349">
        <f>0.7608/C101</f>
        <v>0.27171428571428574</v>
      </c>
      <c r="D107" s="2349">
        <f>0.7608/D101</f>
        <v>0.27171428571428574</v>
      </c>
      <c r="E107" s="2349">
        <f>0.6482/E101</f>
        <v>0.23150000000000001</v>
      </c>
      <c r="F107" s="2349">
        <f>0.6482/F101</f>
        <v>0.23150000000000001</v>
      </c>
      <c r="G107" s="2349">
        <f>0.6482/G101</f>
        <v>0.23150000000000001</v>
      </c>
      <c r="H107" s="2349">
        <f>0.6482/H101</f>
        <v>0.23150000000000001</v>
      </c>
      <c r="I107" s="2349">
        <f>0.6482/I101</f>
        <v>0.23150000000000001</v>
      </c>
      <c r="J107" s="2349">
        <f>0.4525/J101</f>
        <v>0.16160714285714287</v>
      </c>
      <c r="K107" s="2349">
        <f>0.4525/K101</f>
        <v>0.16160714285714287</v>
      </c>
      <c r="L107" s="2349">
        <f>0.4525/L101</f>
        <v>0.16160714285714287</v>
      </c>
      <c r="M107" s="2349">
        <f>0.4525/M101</f>
        <v>0.16160714285714287</v>
      </c>
      <c r="N107" s="2349">
        <f>0.4525/N101</f>
        <v>0.16160714285714287</v>
      </c>
    </row>
    <row r="108" spans="1:14">
      <c r="A108" s="3413"/>
      <c r="B108" s="3415" t="s">
        <v>2798</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414"/>
      <c r="B109" s="3416"/>
      <c r="C109" s="2351">
        <f>(-0.163*(C108^2)-0.59*C108+7617)*(10^(-4))/C101</f>
        <v>0.27203571428571433</v>
      </c>
      <c r="D109" s="2351">
        <f>(-0.163*(D108^2)-0.59*D108+7617)*(10^(-4))/D101</f>
        <v>0.27203571428571433</v>
      </c>
      <c r="E109" s="2351">
        <f>(-0.161*(E108^2)-7.509*E108+6533)*(10^(-4))/E101</f>
        <v>0.2333214285714286</v>
      </c>
      <c r="F109" s="2351">
        <f>(-0.161*(F108^2)-7.509*F108+6533)*(10^(-4))/F101</f>
        <v>0.2333214285714286</v>
      </c>
      <c r="G109" s="2351">
        <f>(-0.161*(G108^2)-7.509*G108+6533)*(10^(-4))/G101</f>
        <v>0.2333214285714286</v>
      </c>
      <c r="H109" s="2351">
        <f>(-0.161*(H108^2)-7.509*H108+6533)*(10^(-4))/H101</f>
        <v>0.2333214285714286</v>
      </c>
      <c r="I109" s="2351">
        <f>(-0.161*(I108^2)-7.509*I108+6533)*(10^(-4))/I101</f>
        <v>0.2333214285714286</v>
      </c>
      <c r="J109" s="2351">
        <f>(-0.214*(J108^2)-21.991*J108+4665)*(10^(-4))/J101</f>
        <v>0.16660714285714287</v>
      </c>
      <c r="K109" s="2351">
        <f>(-0.214*(K108^2)-21.991*K108+4665)*(10^(-4))/K101</f>
        <v>0.16660714285714287</v>
      </c>
      <c r="L109" s="2351">
        <f>(-0.214*(L108^2)-21.991*L108+4665)*(10^(-4))/L101</f>
        <v>0.16660714285714287</v>
      </c>
      <c r="M109" s="2351">
        <f>(-0.214*(M108^2)-21.991*M108+4665)*(10^(-4))/M101</f>
        <v>0.16660714285714287</v>
      </c>
      <c r="N109" s="2351">
        <f>(-0.214*(N108^2)-21.991*N108+4665)*(10^(-4))/N101</f>
        <v>0.16660714285714287</v>
      </c>
    </row>
    <row r="110" spans="1:14">
      <c r="A110" s="3410" t="s">
        <v>2799</v>
      </c>
      <c r="B110" s="3410"/>
      <c r="C110" s="3410"/>
      <c r="D110" s="3410"/>
      <c r="E110" s="3410"/>
      <c r="F110" s="3410"/>
      <c r="G110" s="3410"/>
      <c r="H110" s="3410"/>
      <c r="I110" s="3410"/>
      <c r="J110" s="3410"/>
      <c r="K110" s="2354"/>
      <c r="L110" s="2354"/>
      <c r="M110" s="2354"/>
      <c r="N110" s="2354"/>
    </row>
    <row r="112" spans="1:14" ht="13.5" thickBot="1"/>
    <row r="113" spans="1:13" ht="25.5" thickBot="1">
      <c r="A113" s="842" t="s">
        <v>2800</v>
      </c>
      <c r="B113" s="1197">
        <f>G3</f>
        <v>2.8</v>
      </c>
      <c r="C113" s="843" t="s">
        <v>2801</v>
      </c>
      <c r="D113" s="844">
        <f>SUMPRODUCT((A115:A118=F113)*(B114:M114=H113)*B115:M118)</f>
        <v>0.80259999999999998</v>
      </c>
      <c r="E113" s="2190" t="s">
        <v>2636</v>
      </c>
      <c r="F113" s="2356" t="str">
        <f>E2</f>
        <v>商业</v>
      </c>
      <c r="G113" s="2190" t="s">
        <v>2637</v>
      </c>
      <c r="H113" s="2356" t="str">
        <f>G2</f>
        <v>六级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0.90720000000000001</v>
      </c>
      <c r="C115" s="849">
        <f>B115</f>
        <v>0.90720000000000001</v>
      </c>
      <c r="D115" s="849">
        <f>ROUND(0.8331-0.0109*B113,4)</f>
        <v>0.80259999999999998</v>
      </c>
      <c r="E115" s="849">
        <f>D115</f>
        <v>0.80259999999999998</v>
      </c>
      <c r="F115" s="849">
        <f>E115</f>
        <v>0.80259999999999998</v>
      </c>
      <c r="G115" s="849">
        <f>F115</f>
        <v>0.80259999999999998</v>
      </c>
      <c r="H115" s="849">
        <f>G115</f>
        <v>0.80259999999999998</v>
      </c>
      <c r="I115" s="849">
        <f>ROUND(0.689-0.0155*B113,4)</f>
        <v>0.64559999999999995</v>
      </c>
      <c r="J115" s="849">
        <f t="shared" ref="J115:M118" si="34">I115</f>
        <v>0.64559999999999995</v>
      </c>
      <c r="K115" s="849">
        <f t="shared" si="34"/>
        <v>0.64559999999999995</v>
      </c>
      <c r="L115" s="849">
        <f t="shared" si="34"/>
        <v>0.64559999999999995</v>
      </c>
      <c r="M115" s="850">
        <f t="shared" si="34"/>
        <v>0.64559999999999995</v>
      </c>
    </row>
    <row r="116" spans="1:13">
      <c r="A116" s="848" t="s">
        <v>2701</v>
      </c>
      <c r="B116" s="849">
        <f>ROUND(0.949-0.012*B113,4)</f>
        <v>0.91539999999999999</v>
      </c>
      <c r="C116" s="849">
        <f>B116</f>
        <v>0.91539999999999999</v>
      </c>
      <c r="D116" s="849">
        <f>ROUND(0.8567-0.013*B113,4)</f>
        <v>0.82030000000000003</v>
      </c>
      <c r="E116" s="849">
        <f t="shared" ref="E116:H117" si="35">D116</f>
        <v>0.82030000000000003</v>
      </c>
      <c r="F116" s="849">
        <f t="shared" si="35"/>
        <v>0.82030000000000003</v>
      </c>
      <c r="G116" s="849">
        <f t="shared" si="35"/>
        <v>0.82030000000000003</v>
      </c>
      <c r="H116" s="849">
        <f t="shared" si="35"/>
        <v>0.82030000000000003</v>
      </c>
      <c r="I116" s="849">
        <f>ROUND(0.7694-0.014*B113,4)</f>
        <v>0.73019999999999996</v>
      </c>
      <c r="J116" s="849">
        <f t="shared" si="34"/>
        <v>0.73019999999999996</v>
      </c>
      <c r="K116" s="849">
        <f t="shared" si="34"/>
        <v>0.73019999999999996</v>
      </c>
      <c r="L116" s="849">
        <f t="shared" si="34"/>
        <v>0.73019999999999996</v>
      </c>
      <c r="M116" s="850">
        <f t="shared" si="34"/>
        <v>0.73019999999999996</v>
      </c>
    </row>
    <row r="117" spans="1:13">
      <c r="A117" s="848" t="s">
        <v>2702</v>
      </c>
      <c r="B117" s="849">
        <f>ROUND(0.8808-0.006*B113,4)</f>
        <v>0.86399999999999999</v>
      </c>
      <c r="C117" s="849">
        <f>B117</f>
        <v>0.86399999999999999</v>
      </c>
      <c r="D117" s="849">
        <f>ROUND(0.8748-0.008*B113,4)</f>
        <v>0.85240000000000005</v>
      </c>
      <c r="E117" s="849">
        <f t="shared" si="35"/>
        <v>0.85240000000000005</v>
      </c>
      <c r="F117" s="849">
        <f t="shared" si="35"/>
        <v>0.85240000000000005</v>
      </c>
      <c r="G117" s="849">
        <f t="shared" si="35"/>
        <v>0.85240000000000005</v>
      </c>
      <c r="H117" s="849">
        <f t="shared" si="35"/>
        <v>0.85240000000000005</v>
      </c>
      <c r="I117" s="849">
        <f>ROUND(0.7412-0.0095*B113,4)</f>
        <v>0.71460000000000001</v>
      </c>
      <c r="J117" s="849">
        <f t="shared" si="34"/>
        <v>0.71460000000000001</v>
      </c>
      <c r="K117" s="849">
        <f t="shared" si="34"/>
        <v>0.71460000000000001</v>
      </c>
      <c r="L117" s="849">
        <f t="shared" si="34"/>
        <v>0.71460000000000001</v>
      </c>
      <c r="M117" s="850">
        <f t="shared" si="34"/>
        <v>0.71460000000000001</v>
      </c>
    </row>
    <row r="118" spans="1:13" ht="13.5" thickBot="1">
      <c r="A118" s="670" t="s">
        <v>2703</v>
      </c>
      <c r="B118" s="851">
        <f>ROUND(0.7275-0.01*B113,4)</f>
        <v>0.69950000000000001</v>
      </c>
      <c r="C118" s="851">
        <f>B118</f>
        <v>0.69950000000000001</v>
      </c>
      <c r="D118" s="851">
        <f>ROUND(0.7043-0.012*B113,4)</f>
        <v>0.67069999999999996</v>
      </c>
      <c r="E118" s="851">
        <f>D118</f>
        <v>0.67069999999999996</v>
      </c>
      <c r="F118" s="851">
        <f>E118</f>
        <v>0.67069999999999996</v>
      </c>
      <c r="G118" s="851">
        <f>ROUND(0.6299-0.0122*B113,4)</f>
        <v>0.59570000000000001</v>
      </c>
      <c r="H118" s="851">
        <f>G118</f>
        <v>0.59570000000000001</v>
      </c>
      <c r="I118" s="851">
        <f>ROUND(0.5667-0.0136*B113,4)</f>
        <v>0.52859999999999996</v>
      </c>
      <c r="J118" s="851">
        <f t="shared" si="34"/>
        <v>0.52859999999999996</v>
      </c>
      <c r="K118" s="851">
        <f t="shared" si="34"/>
        <v>0.52859999999999996</v>
      </c>
      <c r="L118" s="851">
        <f t="shared" si="34"/>
        <v>0.52859999999999996</v>
      </c>
      <c r="M118" s="852">
        <f t="shared" si="34"/>
        <v>0.52859999999999996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5544C-6815-4911-BCAF-10966EB24310}">
  <sheetPr>
    <tabColor rgb="FF92D050"/>
  </sheetPr>
  <dimension ref="A1:AK83"/>
  <sheetViews>
    <sheetView view="pageBreakPreview" topLeftCell="E37" zoomScale="90" zoomScaleNormal="70" zoomScaleSheetLayoutView="90" workbookViewId="0">
      <selection activeCell="H42" sqref="H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70</v>
      </c>
      <c r="E1" s="1549" t="s">
        <v>1352</v>
      </c>
      <c r="F1" s="1193">
        <f ca="1">J53</f>
        <v>34.909999999999997</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4078</v>
      </c>
      <c r="C2" s="1573" t="s">
        <v>1481</v>
      </c>
      <c r="D2" s="1573"/>
      <c r="E2" s="1574"/>
      <c r="F2" s="1575"/>
      <c r="G2" s="2935"/>
      <c r="H2" s="2924"/>
      <c r="I2" s="2924"/>
      <c r="J2" s="2924"/>
      <c r="K2" s="2925"/>
      <c r="L2" s="2924"/>
      <c r="M2" s="2924"/>
    </row>
    <row r="3" spans="1:37" ht="18" customHeight="1" thickBot="1">
      <c r="A3" s="1576" t="s">
        <v>1482</v>
      </c>
      <c r="B3" s="1577">
        <f ca="1">IF(ISERROR(B2*10000/F43),0,ROUND(B2*10000/F43,0))</f>
        <v>28961</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236</v>
      </c>
      <c r="D5" s="1550" t="s">
        <v>1367</v>
      </c>
      <c r="E5" s="1203"/>
      <c r="F5" s="1204"/>
      <c r="G5" s="1570"/>
      <c r="H5" s="305">
        <v>1</v>
      </c>
      <c r="I5" s="306" t="s">
        <v>1366</v>
      </c>
      <c r="J5" s="1202">
        <f ca="1">J6+J10+J12</f>
        <v>0</v>
      </c>
      <c r="K5" s="1550" t="s">
        <v>1367</v>
      </c>
      <c r="L5" s="1203"/>
      <c r="M5" s="1204"/>
    </row>
    <row r="6" spans="1:37" ht="18" customHeight="1">
      <c r="A6" s="1201" t="s">
        <v>1003</v>
      </c>
      <c r="B6" s="3300" t="s">
        <v>1368</v>
      </c>
      <c r="C6" s="1206">
        <f ca="1">ROUND(F6*F8*F7*(1-F9)/10000,0)</f>
        <v>236</v>
      </c>
      <c r="D6" s="160" t="s">
        <v>2850</v>
      </c>
      <c r="E6" s="308" t="s">
        <v>1370</v>
      </c>
      <c r="F6" s="309">
        <f ca="1">INDIRECT("'数据-取费表'!u"&amp;$G$1)</f>
        <v>5.0999999999999996</v>
      </c>
      <c r="G6" s="1570"/>
      <c r="H6" s="1201" t="s">
        <v>1003</v>
      </c>
      <c r="I6" s="3300" t="s">
        <v>1368</v>
      </c>
      <c r="J6" s="307">
        <f ca="1">ROUND(M6*M8*M7*(1-M9)/10000,0)</f>
        <v>0</v>
      </c>
      <c r="K6" s="160" t="s">
        <v>2849</v>
      </c>
      <c r="L6" s="308" t="s">
        <v>1370</v>
      </c>
      <c r="M6" s="309">
        <f ca="1">INDIRECT("'数据-取费表'!z"&amp;$G$1)</f>
        <v>0</v>
      </c>
    </row>
    <row r="7" spans="1:37" ht="18" customHeight="1">
      <c r="A7" s="1205"/>
      <c r="B7" s="3301"/>
      <c r="C7" s="1207"/>
      <c r="D7" s="313"/>
      <c r="E7" s="3055" t="s">
        <v>1371</v>
      </c>
      <c r="F7" s="309">
        <f ca="1">IF(INDIRECT("'数据-取费表'!ah"&amp;$G$1)="",INDIRECT("'数据-取费表'!k"&amp;$G$1),INDIRECT("'数据-取费表'!ah"&amp;$G$1))</f>
        <v>1408.09</v>
      </c>
      <c r="G7" s="1570"/>
      <c r="H7" s="310"/>
      <c r="I7" s="3301"/>
      <c r="J7" s="312"/>
      <c r="K7" s="313"/>
      <c r="L7" s="308" t="s">
        <v>1371</v>
      </c>
      <c r="M7" s="309">
        <f ca="1">F7</f>
        <v>1408.09</v>
      </c>
    </row>
    <row r="8" spans="1:37" ht="18" customHeight="1">
      <c r="A8" s="310"/>
      <c r="B8" s="3301"/>
      <c r="C8" s="312"/>
      <c r="D8" s="313"/>
      <c r="E8" s="308" t="s">
        <v>1372</v>
      </c>
      <c r="F8" s="309">
        <f ca="1">INDIRECT("'数据-取费表'!ai"&amp;$G$1)</f>
        <v>365</v>
      </c>
      <c r="G8" s="1570"/>
      <c r="H8" s="310"/>
      <c r="I8" s="3301"/>
      <c r="J8" s="312"/>
      <c r="K8" s="313"/>
      <c r="L8" s="308" t="s">
        <v>1372</v>
      </c>
      <c r="M8" s="309">
        <f ca="1">INDIRECT("'数据-取费表'!ai"&amp;$G$1)</f>
        <v>365</v>
      </c>
    </row>
    <row r="9" spans="1:37" ht="18" customHeight="1">
      <c r="A9" s="310"/>
      <c r="B9" s="3302"/>
      <c r="C9" s="312"/>
      <c r="D9" s="313"/>
      <c r="E9" s="308" t="s">
        <v>1373</v>
      </c>
      <c r="F9" s="318">
        <f ca="1">INDIRECT("'数据-取费表'!w"&amp;$G$1)</f>
        <v>0.1</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t="s">
        <v>3161</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751</v>
      </c>
      <c r="D13" s="3044" t="s">
        <v>1380</v>
      </c>
      <c r="E13" s="3044"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493</v>
      </c>
      <c r="D14" s="3048" t="s">
        <v>1383</v>
      </c>
      <c r="E14" s="3046"/>
      <c r="F14" s="325"/>
      <c r="G14" s="1570"/>
      <c r="H14" s="1113" t="s">
        <v>1003</v>
      </c>
      <c r="I14" s="308" t="s">
        <v>1384</v>
      </c>
      <c r="J14" s="24">
        <f ca="1">C29</f>
        <v>751</v>
      </c>
      <c r="K14" s="3054"/>
      <c r="L14" s="916"/>
      <c r="M14" s="917"/>
    </row>
    <row r="15" spans="1:37" s="1583" customFormat="1" ht="18" customHeight="1" thickBot="1">
      <c r="A15" s="1113" t="s">
        <v>1004</v>
      </c>
      <c r="B15" s="308" t="s">
        <v>1385</v>
      </c>
      <c r="C15" s="24">
        <f ca="1">ROUND(C14*F15,0)</f>
        <v>15</v>
      </c>
      <c r="D15" s="3045" t="s">
        <v>1386</v>
      </c>
      <c r="E15" s="3045"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17</v>
      </c>
      <c r="K16" s="1247" t="s">
        <v>1390</v>
      </c>
      <c r="L16" s="3050"/>
      <c r="M16" s="1204"/>
    </row>
    <row r="17" spans="1:37" s="1583" customFormat="1" ht="18" customHeight="1">
      <c r="A17" s="1113" t="s">
        <v>1355</v>
      </c>
      <c r="B17" s="308" t="s">
        <v>1391</v>
      </c>
      <c r="C17" s="24">
        <f ca="1">ROUND(F17*(F43+INDIRECT("'数据-取费表'!S"&amp;$G$1))/10000,0)</f>
        <v>28</v>
      </c>
      <c r="D17" s="308" t="s">
        <v>1392</v>
      </c>
      <c r="E17" s="308" t="s">
        <v>1393</v>
      </c>
      <c r="F17" s="26">
        <f>'数据-取费表'!B35</f>
        <v>200</v>
      </c>
      <c r="G17" s="1582"/>
      <c r="H17" s="1113" t="s">
        <v>1003</v>
      </c>
      <c r="I17" s="308" t="s">
        <v>1394</v>
      </c>
      <c r="J17" s="2536">
        <f ca="1">ROUND(IF(AND(项目基本情况!B11="自然人",项目基本情况!B10="北京市"),J6*M17/(1+'数据-取费表'!C42),J18+J19+J20),0)</f>
        <v>6</v>
      </c>
      <c r="K17" s="3048" t="s">
        <v>1395</v>
      </c>
      <c r="L17" s="3047"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7</v>
      </c>
      <c r="D18" s="308" t="s">
        <v>1386</v>
      </c>
      <c r="E18" s="308" t="s">
        <v>1387</v>
      </c>
      <c r="F18" s="328">
        <f>'数据-取费表'!B36</f>
        <v>1.4999999999999999E-2</v>
      </c>
      <c r="G18" s="1582"/>
      <c r="H18" s="1113" t="s">
        <v>1002</v>
      </c>
      <c r="I18" s="308" t="s">
        <v>1398</v>
      </c>
      <c r="J18" s="24">
        <f ca="1">ROUND(J6*M18/(1+'数据-取费表'!C42),2)</f>
        <v>0</v>
      </c>
      <c r="K18" s="3047"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543</v>
      </c>
      <c r="D19" s="136" t="s">
        <v>1401</v>
      </c>
      <c r="E19" s="3065"/>
      <c r="F19" s="26"/>
      <c r="G19" s="1570"/>
      <c r="H19" s="1113" t="s">
        <v>1004</v>
      </c>
      <c r="I19" s="308" t="s">
        <v>1402</v>
      </c>
      <c r="J19" s="24">
        <f ca="1">IF(K19="按租金收入计税",ROUND(J6*M19/(1+'数据-取费表'!C42),2),ROUND(C29*M19*0.7,2))</f>
        <v>6.31</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11</v>
      </c>
      <c r="D20" s="329" t="s">
        <v>1405</v>
      </c>
      <c r="E20" s="308" t="s">
        <v>1387</v>
      </c>
      <c r="F20" s="328">
        <f>'数据-取费表'!B37</f>
        <v>0.02</v>
      </c>
      <c r="G20" s="1582"/>
      <c r="H20" s="1113" t="s">
        <v>1354</v>
      </c>
      <c r="I20" s="160" t="s">
        <v>1406</v>
      </c>
      <c r="J20" s="25">
        <f ca="1">ROUND(M20*M21/10000,2)</f>
        <v>0.09</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283.77999999999997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5"/>
      <c r="F22" s="26"/>
      <c r="G22" s="1570"/>
      <c r="H22" s="1113" t="s">
        <v>1007</v>
      </c>
      <c r="I22" s="308" t="s">
        <v>1414</v>
      </c>
      <c r="J22" s="24">
        <f ca="1">ROUND(J14*M22,1)</f>
        <v>11.3</v>
      </c>
      <c r="K22" s="3047"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27</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3047"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f ca="1">ROUND(J5*M24,1)</f>
        <v>0</v>
      </c>
      <c r="K24" s="1252" t="s">
        <v>1424</v>
      </c>
      <c r="L24" s="1250" t="s">
        <v>1387</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65"/>
      <c r="F25" s="26"/>
      <c r="G25" s="1570"/>
      <c r="H25" s="1239" t="s">
        <v>999</v>
      </c>
      <c r="I25" s="1254" t="s">
        <v>1428</v>
      </c>
      <c r="J25" s="316">
        <f ca="1">J5-J16</f>
        <v>-17</v>
      </c>
      <c r="K25" s="1255" t="s">
        <v>1429</v>
      </c>
      <c r="L25" s="1256"/>
      <c r="M25" s="1257"/>
    </row>
    <row r="26" spans="1:37">
      <c r="A26" s="1113" t="s">
        <v>1002</v>
      </c>
      <c r="B26" s="308" t="s">
        <v>1430</v>
      </c>
      <c r="C26" s="24">
        <f ca="1">ROUND((C19+C20)*F26,0)</f>
        <v>111</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045"/>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751</v>
      </c>
      <c r="D29" s="1252"/>
      <c r="E29" s="1250"/>
      <c r="F29" s="1253"/>
      <c r="G29" s="1582"/>
      <c r="H29" s="340" t="s">
        <v>1001</v>
      </c>
      <c r="I29" s="341" t="s">
        <v>1444</v>
      </c>
      <c r="J29" s="342">
        <f ca="1">ROUND(J26/(1+F40)^F41,0)</f>
        <v>0</v>
      </c>
      <c r="K29" s="343" t="s">
        <v>1445</v>
      </c>
      <c r="L29" s="344"/>
      <c r="M29" s="345">
        <f ca="1">INDIRECT("'数据-取费表'!k"&amp;$G$1)</f>
        <v>1408.09</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57</v>
      </c>
      <c r="D30" s="1247" t="s">
        <v>1390</v>
      </c>
      <c r="E30" s="3050"/>
      <c r="F30" s="1204"/>
      <c r="G30" s="1570"/>
      <c r="H30" s="2926"/>
      <c r="I30" s="1584"/>
      <c r="J30" s="1585"/>
      <c r="K30" s="2702"/>
      <c r="L30" s="2927"/>
      <c r="M30" s="2928"/>
    </row>
    <row r="31" spans="1:37" ht="18" customHeight="1">
      <c r="A31" s="1113" t="s">
        <v>1003</v>
      </c>
      <c r="B31" s="308" t="s">
        <v>1394</v>
      </c>
      <c r="C31" s="2536">
        <f ca="1">ROUND(IF(AND(项目基本情况!B11="自然人",项目基本情况!B10="北京市"),C6*F31/(1+'数据-取费表'!C42),C32+C33+C34),0)</f>
        <v>40</v>
      </c>
      <c r="D31" s="3048" t="s">
        <v>1395</v>
      </c>
      <c r="E31" s="3047" t="s">
        <v>1446</v>
      </c>
      <c r="F31" s="2535" t="str">
        <f>IF(项目基本情况!B11="企业","——",IF('数据-取费表'!B10="住宅",IF(F6*F7*F8/12/(1+'数据-取费表'!F30)&gt;100000,4%,2.5%),IF(F6*F7*F8/12/(1+'数据-取费表'!F30)&gt;100000,12%,7%)))</f>
        <v>——</v>
      </c>
      <c r="G31" s="1570"/>
      <c r="H31" s="3039" t="s">
        <v>3052</v>
      </c>
      <c r="I31" s="1584"/>
      <c r="J31" s="1585"/>
      <c r="K31" s="2702"/>
      <c r="L31" s="2927"/>
      <c r="M31" s="2928"/>
    </row>
    <row r="32" spans="1:37" ht="18" customHeight="1">
      <c r="A32" s="1113" t="s">
        <v>1002</v>
      </c>
      <c r="B32" s="308" t="s">
        <v>1398</v>
      </c>
      <c r="C32" s="24">
        <f ca="1">IF(项目基本情况!B11="自然人","——",ROUND(C6*F32/(1+'数据-取费表'!C42),2))</f>
        <v>12.59</v>
      </c>
      <c r="D32" s="3047" t="s">
        <v>1399</v>
      </c>
      <c r="E32" s="308" t="s">
        <v>1387</v>
      </c>
      <c r="F32" s="337">
        <f>'数据-取费表'!B41</f>
        <v>5.6000000000000001E-2</v>
      </c>
      <c r="G32" s="1570"/>
      <c r="H32" s="2926"/>
      <c r="I32" s="1584"/>
      <c r="J32" s="1585"/>
      <c r="K32" s="2702"/>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26.97</v>
      </c>
      <c r="D33" s="1556" t="s">
        <v>3162</v>
      </c>
      <c r="E33" s="308" t="s">
        <v>1387</v>
      </c>
      <c r="F33" s="328">
        <f>IF(D33="按票据","——",IF(D33="按租金收入计税",'数据-取费表'!B51,'数据-取费表'!B50))</f>
        <v>0.12</v>
      </c>
      <c r="G33" s="1570"/>
      <c r="H33" s="2929"/>
      <c r="I33" s="1584"/>
      <c r="J33" s="1585"/>
      <c r="K33" s="2930"/>
      <c r="L33" s="2929"/>
      <c r="M33" s="2929"/>
    </row>
    <row r="34" spans="1:18" ht="18" customHeight="1">
      <c r="A34" s="1201" t="s">
        <v>1354</v>
      </c>
      <c r="B34" s="160" t="s">
        <v>1406</v>
      </c>
      <c r="C34" s="25">
        <f ca="1">IF(项目基本情况!B11="自然人","——",ROUND(F34*F35/10000,2))</f>
        <v>0.09</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283.77999999999997</v>
      </c>
      <c r="G35" s="1570"/>
      <c r="H35" s="2926"/>
      <c r="I35" s="1584"/>
      <c r="J35" s="1585"/>
      <c r="K35" s="2930"/>
      <c r="L35" s="2929"/>
      <c r="M35" s="2929"/>
    </row>
    <row r="36" spans="1:18" ht="18" customHeight="1">
      <c r="A36" s="1262" t="s">
        <v>1007</v>
      </c>
      <c r="B36" s="308" t="s">
        <v>1414</v>
      </c>
      <c r="C36" s="24">
        <f ca="1">ROUND(C29*F36,1)</f>
        <v>11.3</v>
      </c>
      <c r="D36" s="3047" t="s">
        <v>1447</v>
      </c>
      <c r="E36" s="308" t="s">
        <v>1387</v>
      </c>
      <c r="F36" s="334">
        <f ca="1">INDIRECT("'数据-取费表'!Ak"&amp;$G$1)</f>
        <v>1.4999999999999999E-2</v>
      </c>
      <c r="G36" s="1570"/>
      <c r="H36" s="2929"/>
      <c r="I36" s="1584"/>
      <c r="J36" s="1585"/>
      <c r="K36" s="2770"/>
      <c r="L36" s="2929"/>
      <c r="M36" s="2929"/>
    </row>
    <row r="37" spans="1:18" ht="18" customHeight="1">
      <c r="A37" s="1113" t="s">
        <v>1043</v>
      </c>
      <c r="B37" s="308" t="s">
        <v>1418</v>
      </c>
      <c r="C37" s="24">
        <f ca="1">ROUND(C13*F37,1)</f>
        <v>1.1000000000000001</v>
      </c>
      <c r="D37" s="3047" t="s">
        <v>1419</v>
      </c>
      <c r="E37" s="308" t="s">
        <v>1387</v>
      </c>
      <c r="F37" s="336">
        <f ca="1">INDIRECT("'数据-取费表'!Al"&amp;$G$1)</f>
        <v>1.5E-3</v>
      </c>
      <c r="G37" s="1570"/>
      <c r="H37" s="2929"/>
      <c r="I37" s="1584"/>
      <c r="J37" s="1585"/>
      <c r="K37" s="2770"/>
      <c r="L37" s="2929"/>
      <c r="M37" s="2929"/>
    </row>
    <row r="38" spans="1:18" ht="18" customHeight="1" thickBot="1">
      <c r="A38" s="1249" t="s">
        <v>1357</v>
      </c>
      <c r="B38" s="1250" t="s">
        <v>1404</v>
      </c>
      <c r="C38" s="1251">
        <f ca="1">ROUND(C5*F38,1)</f>
        <v>4.7</v>
      </c>
      <c r="D38" s="1252" t="s">
        <v>1424</v>
      </c>
      <c r="E38" s="1250" t="s">
        <v>1387</v>
      </c>
      <c r="F38" s="1246">
        <f ca="1">INDIRECT("'数据-取费表'!Am"&amp;$G$1)</f>
        <v>0.02</v>
      </c>
      <c r="G38" s="1570"/>
      <c r="H38" s="2929"/>
      <c r="I38" s="1584"/>
      <c r="J38" s="1585"/>
      <c r="K38" s="2933"/>
      <c r="L38" s="2929"/>
      <c r="M38" s="2929"/>
    </row>
    <row r="39" spans="1:18" ht="24.6" customHeight="1" thickTop="1">
      <c r="A39" s="1239" t="s">
        <v>999</v>
      </c>
      <c r="B39" s="1254" t="s">
        <v>1428</v>
      </c>
      <c r="C39" s="316">
        <f ca="1">C5-C30</f>
        <v>179</v>
      </c>
      <c r="D39" s="1255" t="s">
        <v>1429</v>
      </c>
      <c r="E39" s="1256"/>
      <c r="F39" s="1257"/>
      <c r="G39" s="1570"/>
      <c r="H39" s="2929"/>
      <c r="I39" s="1584"/>
      <c r="J39" s="1585"/>
      <c r="K39" s="2933"/>
      <c r="L39" s="2929"/>
      <c r="M39" s="2929"/>
    </row>
    <row r="40" spans="1:18" ht="18" customHeight="1">
      <c r="A40" s="305" t="s">
        <v>1000</v>
      </c>
      <c r="B40" s="306" t="s">
        <v>1450</v>
      </c>
      <c r="C40" s="307">
        <f ca="1">ROUND(C39*(1-((1+F42)/(1+F40))^F41)/(F40-F42),0)</f>
        <v>4060</v>
      </c>
      <c r="D40" s="330" t="s">
        <v>1434</v>
      </c>
      <c r="E40" s="308" t="s">
        <v>1435</v>
      </c>
      <c r="F40" s="318">
        <f ca="1">INDIRECT("'数据-取费表'!I"&amp;$G$1)</f>
        <v>5.5E-2</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34.909999999999997</v>
      </c>
      <c r="G41" s="1570"/>
      <c r="H41" s="1353"/>
      <c r="I41" s="1584"/>
      <c r="J41" s="1585"/>
      <c r="K41" s="2770"/>
      <c r="L41" s="1353"/>
      <c r="M41" s="1353"/>
    </row>
    <row r="42" spans="1:18" ht="18" customHeight="1">
      <c r="A42" s="314"/>
      <c r="B42" s="315"/>
      <c r="C42" s="316"/>
      <c r="D42" s="333"/>
      <c r="E42" s="308" t="s">
        <v>1442</v>
      </c>
      <c r="F42" s="318">
        <f ca="1">INDIRECT("'数据-取费表'!v"&amp;$G$1)</f>
        <v>0.03</v>
      </c>
      <c r="G42" s="1570"/>
      <c r="H42" s="1353">
        <f>751*40.2%/(1+8.5%)^ 34.91</f>
        <v>17.499024132116315</v>
      </c>
      <c r="I42" s="1584"/>
      <c r="J42" s="1585"/>
      <c r="K42" s="2770"/>
      <c r="L42" s="1353"/>
      <c r="M42" s="1353"/>
    </row>
    <row r="43" spans="1:18" ht="18" customHeight="1" thickBot="1">
      <c r="A43" s="340" t="s">
        <v>1001</v>
      </c>
      <c r="B43" s="341" t="s">
        <v>1452</v>
      </c>
      <c r="C43" s="342">
        <f ca="1">ROUND(C40*10000/F43,0)</f>
        <v>28833</v>
      </c>
      <c r="D43" s="343" t="s">
        <v>1453</v>
      </c>
      <c r="E43" s="344" t="s">
        <v>1454</v>
      </c>
      <c r="F43" s="345">
        <f ca="1">INDIRECT("'数据-取费表'!k"&amp;$G$1)</f>
        <v>1408.09</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f ca="1">C68-C40</f>
        <v>-5213</v>
      </c>
      <c r="D46" s="1592" t="str">
        <f>C2</f>
        <v>万元</v>
      </c>
      <c r="E46" s="1586"/>
      <c r="F46" s="1586"/>
      <c r="I46" s="1593" t="s">
        <v>1486</v>
      </c>
      <c r="J46" s="1594"/>
      <c r="K46" s="1595"/>
      <c r="L46" s="1596">
        <f ca="1">IF(M47="住宅",0,IF(L48&gt;J51,L60,J60))</f>
        <v>18</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3163</v>
      </c>
      <c r="K47" s="1602" t="s">
        <v>1492</v>
      </c>
      <c r="L47" s="1603">
        <f ca="1">INDIRECT("'数据-取费表'!d"&amp;$G$1)</f>
        <v>40</v>
      </c>
      <c r="M47" s="1566" t="str">
        <f>IF(ISNUMBER(FIND("住宅",C1)),"住宅","非住宅")</f>
        <v>非住宅</v>
      </c>
      <c r="O47" s="1604" t="s">
        <v>1008</v>
      </c>
      <c r="P47" s="1605" t="s">
        <v>1493</v>
      </c>
      <c r="Q47" s="1606">
        <f ca="1">C40+J29</f>
        <v>4060</v>
      </c>
      <c r="R47" s="1606" t="s">
        <v>1494</v>
      </c>
    </row>
    <row r="48" spans="1:18" s="1570" customFormat="1" ht="28.5" thickBot="1">
      <c r="A48" s="1270" t="s">
        <v>1103</v>
      </c>
      <c r="B48" s="306" t="s">
        <v>1366</v>
      </c>
      <c r="C48" s="3064">
        <f ca="1">C49+C53+C55</f>
        <v>0</v>
      </c>
      <c r="D48" s="1272"/>
      <c r="E48" s="1273"/>
      <c r="F48" s="1093"/>
      <c r="G48" s="731"/>
      <c r="H48" s="732"/>
      <c r="I48" s="1607" t="s">
        <v>1495</v>
      </c>
      <c r="J48" s="1608" t="s">
        <v>3164</v>
      </c>
      <c r="K48" s="1609" t="s">
        <v>1496</v>
      </c>
      <c r="L48" s="1610">
        <f ca="1">INDIRECT("'数据-取费表'!f"&amp;$G$1)</f>
        <v>34.909999999999997</v>
      </c>
      <c r="O48" s="1604" t="s">
        <v>1009</v>
      </c>
      <c r="P48" s="1605" t="s">
        <v>1497</v>
      </c>
      <c r="Q48" s="1606">
        <f ca="1">J60</f>
        <v>18</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2020</v>
      </c>
      <c r="K49" s="1609" t="s">
        <v>1500</v>
      </c>
      <c r="L49" s="1613"/>
      <c r="O49" s="1614" t="s">
        <v>1010</v>
      </c>
      <c r="P49" s="1605" t="s">
        <v>1501</v>
      </c>
      <c r="Q49" s="1606">
        <f ca="1">C29</f>
        <v>751</v>
      </c>
      <c r="R49" s="1606" t="s">
        <v>1494</v>
      </c>
    </row>
    <row r="50" spans="1:18" s="1570" customFormat="1" ht="13.5" thickBot="1">
      <c r="A50" s="1107"/>
      <c r="B50" s="1110"/>
      <c r="C50" s="1278"/>
      <c r="D50" s="1084"/>
      <c r="E50" s="1187" t="s">
        <v>1371</v>
      </c>
      <c r="F50" s="1188">
        <f ca="1">F7</f>
        <v>1408.09</v>
      </c>
      <c r="H50" s="732"/>
      <c r="I50" s="1607" t="s">
        <v>1502</v>
      </c>
      <c r="J50" s="1615">
        <f>SUMPRODUCT((I63:I65=J47)*(J62:L62=J48)*(J63:L65))</f>
        <v>60</v>
      </c>
      <c r="K50" s="1609" t="s">
        <v>1503</v>
      </c>
      <c r="L50" s="1613"/>
      <c r="M50" s="1616"/>
      <c r="O50" s="1614" t="s">
        <v>1011</v>
      </c>
      <c r="P50" s="1605" t="s">
        <v>1504</v>
      </c>
      <c r="Q50" s="1617">
        <f ca="1">J58</f>
        <v>0.40200000000000002</v>
      </c>
      <c r="R50" s="1606"/>
    </row>
    <row r="51" spans="1:18" s="1570" customFormat="1" ht="13.5" thickBot="1">
      <c r="A51" s="1108"/>
      <c r="B51" s="1110"/>
      <c r="C51" s="1111"/>
      <c r="D51" s="1084"/>
      <c r="E51" s="1112" t="s">
        <v>1372</v>
      </c>
      <c r="F51" s="309">
        <f ca="1">F8</f>
        <v>365</v>
      </c>
      <c r="I51" s="1618" t="s">
        <v>1505</v>
      </c>
      <c r="J51" s="1619">
        <f>IF(J49="",J50,J49+J50-YEAR('数据-取费表'!B2))</f>
        <v>59</v>
      </c>
      <c r="K51" s="1620" t="s">
        <v>1506</v>
      </c>
      <c r="L51" s="1621">
        <f ca="1">ROUND(-PV(INDIRECT("'数据-取费表'!h"&amp;$G$1),J51,(C39-C13*C76),0),0)</f>
        <v>2172</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34.909999999999997</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34.909999999999997</v>
      </c>
      <c r="K53" s="3303" t="s">
        <v>1513</v>
      </c>
      <c r="L53" s="3304"/>
      <c r="O53" s="1604" t="s">
        <v>1014</v>
      </c>
      <c r="P53" s="1605" t="s">
        <v>1514</v>
      </c>
      <c r="Q53" s="1606">
        <f ca="1">Q47+Q48</f>
        <v>4078</v>
      </c>
      <c r="R53" s="1606" t="s">
        <v>1015</v>
      </c>
    </row>
    <row r="54" spans="1:18" s="1570" customFormat="1" ht="13.5" thickBot="1">
      <c r="A54" s="1315"/>
      <c r="B54" s="1553" t="s">
        <v>1353</v>
      </c>
      <c r="C54" s="1090"/>
      <c r="D54" s="1552"/>
      <c r="E54" s="3051"/>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51"/>
      <c r="F55" s="1626"/>
      <c r="I55" s="1629" t="s">
        <v>1516</v>
      </c>
      <c r="J55" s="1630">
        <f ca="1">ROUND(IF(J47="钢混",J57/J50,1-(1-2%)*(J50-J57)/J50),3)</f>
        <v>0.40200000000000002</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751</v>
      </c>
      <c r="D56" s="1633"/>
      <c r="E56" s="1634"/>
      <c r="F56" s="1626"/>
      <c r="I56" s="1635" t="s">
        <v>1519</v>
      </c>
      <c r="J56" s="1636" t="s">
        <v>3165</v>
      </c>
      <c r="K56" s="1607" t="s">
        <v>1520</v>
      </c>
      <c r="L56" s="1610" t="str">
        <f ca="1">IF(L48&lt;J51,"——",L48-J53)</f>
        <v>——</v>
      </c>
      <c r="O56" s="1604" t="s">
        <v>1008</v>
      </c>
      <c r="P56" s="1605" t="s">
        <v>1493</v>
      </c>
      <c r="Q56" s="1606">
        <f ca="1">C40+J29</f>
        <v>4060</v>
      </c>
      <c r="R56" s="1606" t="s">
        <v>1494</v>
      </c>
    </row>
    <row r="57" spans="1:18" s="1570" customFormat="1" ht="24.75" thickBot="1">
      <c r="A57" s="1637"/>
      <c r="B57" s="1081" t="s">
        <v>1443</v>
      </c>
      <c r="C57" s="244">
        <f ca="1">C29</f>
        <v>751</v>
      </c>
      <c r="D57" s="1638"/>
      <c r="E57" s="1639"/>
      <c r="F57" s="1640"/>
      <c r="I57" s="1641" t="s">
        <v>1521</v>
      </c>
      <c r="J57" s="1642">
        <f ca="1">IF(OR(M47="住宅",J51&lt;L48,J56="是"),"——",J51-L48)</f>
        <v>24.090000000000003</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75</v>
      </c>
      <c r="D58" s="1091" t="s">
        <v>1390</v>
      </c>
      <c r="E58" s="1092"/>
      <c r="F58" s="1093"/>
      <c r="I58" s="1641" t="s">
        <v>1525</v>
      </c>
      <c r="J58" s="1643">
        <f ca="1">IF(J55&lt;0.4,0.4,J55)</f>
        <v>0.40200000000000002</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63</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302</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18</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1402</v>
      </c>
      <c r="C61" s="24">
        <f ca="1">IF(项目基本情况!B11="自然人","——",IF(D61="按租金收入计税",ROUND(C48*F61,2),IF(D61="按房产原值计税",ROUND(C57*F61*0.7,2),INDIRECT("'数据-取费表'!Aj"&amp;$G$1))))</f>
        <v>63.08</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1406</v>
      </c>
      <c r="C62" s="25">
        <f ca="1">IF(项目基本情况!B11="自然人","——",ROUND(F62*F63/10000,2))</f>
        <v>0.09</v>
      </c>
      <c r="D62" s="1096" t="s">
        <v>1407</v>
      </c>
      <c r="E62" s="1081" t="s">
        <v>1408</v>
      </c>
      <c r="F62" s="331">
        <f t="shared" si="0"/>
        <v>3</v>
      </c>
      <c r="I62" s="1648" t="s">
        <v>1535</v>
      </c>
      <c r="J62" s="1649" t="s">
        <v>1536</v>
      </c>
      <c r="K62" s="1649" t="s">
        <v>1537</v>
      </c>
      <c r="L62" s="1649" t="s">
        <v>1538</v>
      </c>
      <c r="M62" s="1650" t="s">
        <v>1539</v>
      </c>
      <c r="O62" s="1604" t="s">
        <v>1014</v>
      </c>
      <c r="P62" s="1605" t="s">
        <v>1514</v>
      </c>
      <c r="Q62" s="1606">
        <f ca="1">Q56+Q57</f>
        <v>4060</v>
      </c>
      <c r="R62" s="1606" t="s">
        <v>1015</v>
      </c>
    </row>
    <row r="63" spans="1:18" s="1570" customFormat="1" ht="13.5" thickBot="1">
      <c r="A63" s="332"/>
      <c r="B63" s="1087"/>
      <c r="C63" s="29"/>
      <c r="D63" s="1097"/>
      <c r="E63" s="1081" t="s">
        <v>1412</v>
      </c>
      <c r="F63" s="309">
        <f t="shared" ca="1" si="0"/>
        <v>283.77999999999997</v>
      </c>
      <c r="I63" s="1648" t="s">
        <v>1541</v>
      </c>
      <c r="J63" s="1649">
        <v>70</v>
      </c>
      <c r="K63" s="1649">
        <v>50</v>
      </c>
      <c r="L63" s="1649">
        <v>80</v>
      </c>
      <c r="M63" s="1651">
        <v>0.02</v>
      </c>
      <c r="O63" s="1589" t="s">
        <v>1542</v>
      </c>
      <c r="P63" s="1567"/>
      <c r="Q63" s="1567"/>
      <c r="R63" s="1567"/>
    </row>
    <row r="64" spans="1:18" s="1570" customFormat="1" ht="13.5" thickBot="1">
      <c r="A64" s="1113" t="s">
        <v>1007</v>
      </c>
      <c r="B64" s="1081" t="s">
        <v>1414</v>
      </c>
      <c r="C64" s="24">
        <f ca="1">ROUND(C57*F64,1)</f>
        <v>11.3</v>
      </c>
      <c r="D64" s="1095" t="s">
        <v>1447</v>
      </c>
      <c r="E64" s="1081" t="s">
        <v>1387</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1.1000000000000001</v>
      </c>
      <c r="D65" s="1095" t="s">
        <v>1419</v>
      </c>
      <c r="E65" s="1081" t="s">
        <v>1387</v>
      </c>
      <c r="F65" s="336">
        <f t="shared" ca="1" si="0"/>
        <v>1.5E-3</v>
      </c>
      <c r="I65" s="1648" t="s">
        <v>1544</v>
      </c>
      <c r="J65" s="1649">
        <v>40</v>
      </c>
      <c r="K65" s="1649">
        <v>30</v>
      </c>
      <c r="L65" s="1649">
        <v>50</v>
      </c>
      <c r="M65" s="1651">
        <v>0.02</v>
      </c>
      <c r="O65" s="1604" t="s">
        <v>1008</v>
      </c>
      <c r="P65" s="1605" t="s">
        <v>1493</v>
      </c>
      <c r="Q65" s="1606">
        <f ca="1">C40+J29</f>
        <v>4060</v>
      </c>
      <c r="R65" s="1606" t="s">
        <v>1494</v>
      </c>
    </row>
    <row r="66" spans="1:18" s="1570" customFormat="1" ht="16.5" thickBot="1">
      <c r="A66" s="1113" t="s">
        <v>1469</v>
      </c>
      <c r="B66" s="1081" t="s">
        <v>1404</v>
      </c>
      <c r="C66" s="24">
        <f ca="1">ROUND(C48*F66,1)</f>
        <v>0</v>
      </c>
      <c r="D66" s="1095" t="s">
        <v>1424</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-75</v>
      </c>
      <c r="D67" s="1094" t="s">
        <v>1429</v>
      </c>
      <c r="E67" s="1099"/>
      <c r="F67" s="1100"/>
      <c r="O67" s="1614" t="s">
        <v>1010</v>
      </c>
      <c r="P67" s="1605" t="s">
        <v>1527</v>
      </c>
      <c r="Q67" s="1652">
        <f ca="1">L51</f>
        <v>2172</v>
      </c>
      <c r="R67" s="1606" t="s">
        <v>1547</v>
      </c>
    </row>
    <row r="68" spans="1:18" s="1570" customFormat="1" ht="16.5" thickBot="1">
      <c r="A68" s="1078" t="s">
        <v>1000</v>
      </c>
      <c r="B68" s="1079" t="s">
        <v>1450</v>
      </c>
      <c r="C68" s="307">
        <f ca="1">ROUND(C67*(1-((1+F70)/(1+F68))^F69)/(F68-F70),0)</f>
        <v>-1153</v>
      </c>
      <c r="D68" s="1096" t="s">
        <v>1434</v>
      </c>
      <c r="E68" s="1081" t="s">
        <v>1435</v>
      </c>
      <c r="F68" s="318">
        <f ca="1">F40</f>
        <v>5.5E-2</v>
      </c>
      <c r="O68" s="1614" t="s">
        <v>1011</v>
      </c>
      <c r="P68" s="1653" t="s">
        <v>1548</v>
      </c>
      <c r="Q68" s="1606">
        <f ca="1">ROUND(Q69-Q70*Q71,0)</f>
        <v>119</v>
      </c>
      <c r="R68" s="1606" t="s">
        <v>1019</v>
      </c>
    </row>
    <row r="69" spans="1:18" s="1570" customFormat="1" ht="13.5" thickBot="1">
      <c r="A69" s="1082"/>
      <c r="B69" s="1083"/>
      <c r="C69" s="312"/>
      <c r="D69" s="1101" t="s">
        <v>1438</v>
      </c>
      <c r="E69" s="1081" t="s">
        <v>1439</v>
      </c>
      <c r="F69" s="339">
        <f ca="1">F41</f>
        <v>34.909999999999997</v>
      </c>
      <c r="O69" s="1614" t="s">
        <v>1016</v>
      </c>
      <c r="P69" s="1653" t="s">
        <v>1549</v>
      </c>
      <c r="Q69" s="1606">
        <f ca="1">C39</f>
        <v>179</v>
      </c>
      <c r="R69" s="1606" t="s">
        <v>1494</v>
      </c>
    </row>
    <row r="70" spans="1:18" s="1570" customFormat="1" ht="13.5" thickBot="1">
      <c r="A70" s="1085"/>
      <c r="B70" s="1086"/>
      <c r="C70" s="316"/>
      <c r="D70" s="1097"/>
      <c r="E70" s="1081" t="s">
        <v>1442</v>
      </c>
      <c r="F70" s="1185"/>
      <c r="O70" s="1614" t="s">
        <v>1017</v>
      </c>
      <c r="P70" s="1653" t="s">
        <v>1550</v>
      </c>
      <c r="Q70" s="1606">
        <f ca="1">C13</f>
        <v>751</v>
      </c>
      <c r="R70" s="1606" t="s">
        <v>1494</v>
      </c>
    </row>
    <row r="71" spans="1:18" s="1570" customFormat="1" ht="13.5" thickBot="1">
      <c r="A71" s="1102" t="s">
        <v>1001</v>
      </c>
      <c r="B71" s="1103" t="s">
        <v>1452</v>
      </c>
      <c r="C71" s="342">
        <f ca="1">ROUND(C68*10000/F71,0)</f>
        <v>-8188</v>
      </c>
      <c r="D71" s="1104" t="s">
        <v>1453</v>
      </c>
      <c r="E71" s="1105" t="s">
        <v>1454</v>
      </c>
      <c r="F71" s="345">
        <f ca="1">F43</f>
        <v>1408.09</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60</v>
      </c>
      <c r="D75" s="1570"/>
      <c r="E75" s="1570"/>
      <c r="F75" s="1570"/>
      <c r="K75" s="1588"/>
      <c r="L75" s="1570"/>
      <c r="O75" s="1604" t="s">
        <v>1014</v>
      </c>
      <c r="P75" s="1605" t="s">
        <v>1514</v>
      </c>
      <c r="Q75" s="1606">
        <f ca="1">Q65+Q66</f>
        <v>4060</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0.66500000000000004</v>
      </c>
    </row>
    <row r="80" spans="1:18">
      <c r="B80" s="346" t="s">
        <v>1476</v>
      </c>
      <c r="C80" s="280">
        <f ca="1">ROUND(C75/C39,3)</f>
        <v>0.33500000000000002</v>
      </c>
    </row>
    <row r="81" spans="2:3">
      <c r="B81" s="276" t="s">
        <v>1477</v>
      </c>
      <c r="C81" s="244"/>
    </row>
    <row r="82" spans="2:3">
      <c r="B82" s="279" t="s">
        <v>1478</v>
      </c>
      <c r="C82" s="281">
        <f ca="1">1-C83</f>
        <v>0.81499999999999995</v>
      </c>
    </row>
    <row r="83" spans="2:3">
      <c r="B83" s="279" t="s">
        <v>1479</v>
      </c>
      <c r="C83" s="280">
        <f ca="1">ROUND(C13/C40,3)</f>
        <v>0.185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xr:uid="{E1FBC6D8-039B-4646-8B16-045B58D1ADD5}">
      <formula1>"在建（套用方法）,土地（套用方法）,——"</formula1>
    </dataValidation>
    <dataValidation type="list" allowBlank="1" showInputMessage="1" showErrorMessage="1" sqref="M10 F10 F53" xr:uid="{E44BB030-0388-4111-8BA9-A6A3EF5B66EA}">
      <formula1>"押一,押二,押三,自定义"</formula1>
    </dataValidation>
    <dataValidation type="list" allowBlank="1" showInputMessage="1" showErrorMessage="1" sqref="L55" xr:uid="{08966BA9-008A-42EC-87E4-9758E7ADC798}">
      <formula1>"比较法,基准地价,收益还原"</formula1>
    </dataValidation>
    <dataValidation type="list" allowBlank="1" showInputMessage="1" showErrorMessage="1" sqref="J56" xr:uid="{75C95050-1420-4A4B-978A-6F653ADF9361}">
      <formula1>判定</formula1>
    </dataValidation>
    <dataValidation type="list" allowBlank="1" showInputMessage="1" showErrorMessage="1" sqref="J48" xr:uid="{C7BFD870-E435-4FFD-BEAA-EA4D64AACF09}">
      <formula1>"非生产用房,生产用房,受腐蚀的生产用房"</formula1>
    </dataValidation>
    <dataValidation type="list" allowBlank="1" showInputMessage="1" showErrorMessage="1" sqref="J47" xr:uid="{0C786E3C-8D72-4FF3-B920-302AB5840CD2}">
      <formula1>"钢,钢混,砖混"</formula1>
    </dataValidation>
    <dataValidation type="list" allowBlank="1" showInputMessage="1" showErrorMessage="1" sqref="C1" xr:uid="{2F8A5EBF-8F3D-4C1C-AB65-BE37C9A6D7EF}">
      <formula1>项目类型</formula1>
    </dataValidation>
    <dataValidation type="list" allowBlank="1" showInputMessage="1" showErrorMessage="1" sqref="D33 D61" xr:uid="{ABFA25D9-9E88-46BC-B3DE-1C5F742933F5}">
      <formula1>"按租金收入计税,按房产原值计税,按票据"</formula1>
    </dataValidation>
    <dataValidation type="list" allowBlank="1" showInputMessage="1" showErrorMessage="1" sqref="K19" xr:uid="{2E834F52-9D99-41C8-8420-B3B4DA2FCEBF}">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3" t="s">
        <v>183</v>
      </c>
      <c r="B18" s="821" t="s">
        <v>560</v>
      </c>
      <c r="C18" s="822" t="s">
        <v>561</v>
      </c>
      <c r="D18" s="823"/>
      <c r="E18" s="821">
        <v>1</v>
      </c>
      <c r="F18" s="824" t="s">
        <v>562</v>
      </c>
      <c r="G18" s="825"/>
      <c r="H18" s="817"/>
      <c r="I18" s="817"/>
    </row>
    <row r="19" spans="1:9" s="826" customFormat="1" ht="19.5" customHeight="1">
      <c r="A19" s="3423"/>
      <c r="B19" s="3423" t="s">
        <v>563</v>
      </c>
      <c r="C19" s="822" t="s">
        <v>564</v>
      </c>
      <c r="D19" s="823"/>
      <c r="E19" s="821">
        <v>0.9</v>
      </c>
      <c r="F19" s="824" t="s">
        <v>565</v>
      </c>
      <c r="G19" s="825"/>
      <c r="H19" s="817"/>
      <c r="I19" s="817"/>
    </row>
    <row r="20" spans="1:9" s="826" customFormat="1" ht="19.5" customHeight="1">
      <c r="A20" s="3423"/>
      <c r="B20" s="3423"/>
      <c r="C20" s="822" t="s">
        <v>566</v>
      </c>
      <c r="D20" s="823"/>
      <c r="E20" s="821">
        <v>1.1000000000000001</v>
      </c>
      <c r="F20" s="824" t="s">
        <v>567</v>
      </c>
      <c r="G20" s="825"/>
      <c r="H20" s="817"/>
      <c r="I20" s="817"/>
    </row>
    <row r="21" spans="1:9" s="826" customFormat="1" ht="19.5" customHeight="1">
      <c r="A21" s="3423"/>
      <c r="B21" s="3423"/>
      <c r="C21" s="822" t="s">
        <v>568</v>
      </c>
      <c r="D21" s="823"/>
      <c r="E21" s="821">
        <v>0.8</v>
      </c>
      <c r="F21" s="824" t="s">
        <v>569</v>
      </c>
      <c r="G21" s="825"/>
      <c r="H21" s="817"/>
      <c r="I21" s="817"/>
    </row>
    <row r="22" spans="1:9" s="826" customFormat="1" ht="19.5" customHeight="1">
      <c r="A22" s="3423"/>
      <c r="B22" s="3423"/>
      <c r="C22" s="822" t="s">
        <v>570</v>
      </c>
      <c r="D22" s="823"/>
      <c r="E22" s="821">
        <v>0.5</v>
      </c>
      <c r="F22" s="824"/>
      <c r="G22" s="825"/>
      <c r="H22" s="817"/>
      <c r="I22" s="817"/>
    </row>
    <row r="23" spans="1:9" s="826" customFormat="1" ht="19.5" customHeight="1">
      <c r="A23" s="3423" t="s">
        <v>184</v>
      </c>
      <c r="B23" s="821" t="s">
        <v>560</v>
      </c>
      <c r="C23" s="822" t="s">
        <v>571</v>
      </c>
      <c r="D23" s="823"/>
      <c r="E23" s="821">
        <v>1</v>
      </c>
      <c r="F23" s="824" t="s">
        <v>572</v>
      </c>
      <c r="G23" s="825"/>
      <c r="H23" s="817"/>
      <c r="I23" s="817"/>
    </row>
    <row r="24" spans="1:9" s="826" customFormat="1" ht="19.5" customHeight="1">
      <c r="A24" s="3423"/>
      <c r="B24" s="3423" t="s">
        <v>563</v>
      </c>
      <c r="C24" s="822" t="s">
        <v>573</v>
      </c>
      <c r="D24" s="823"/>
      <c r="E24" s="821">
        <v>0.5</v>
      </c>
      <c r="F24" s="824"/>
      <c r="G24" s="825"/>
      <c r="H24" s="817"/>
      <c r="I24" s="817"/>
    </row>
    <row r="25" spans="1:9" s="826" customFormat="1" ht="19.5" customHeight="1">
      <c r="A25" s="3423"/>
      <c r="B25" s="3423"/>
      <c r="C25" s="822" t="s">
        <v>574</v>
      </c>
      <c r="D25" s="823"/>
      <c r="E25" s="821">
        <v>1.1000000000000001</v>
      </c>
      <c r="F25" s="824"/>
      <c r="G25" s="825"/>
      <c r="H25" s="817"/>
      <c r="I25" s="817"/>
    </row>
    <row r="26" spans="1:9" s="826" customFormat="1" ht="19.5" customHeight="1">
      <c r="A26" s="3423"/>
      <c r="B26" s="3423"/>
      <c r="C26" s="822" t="s">
        <v>575</v>
      </c>
      <c r="D26" s="823"/>
      <c r="E26" s="821">
        <v>1.1000000000000001</v>
      </c>
      <c r="F26" s="824"/>
      <c r="G26" s="825"/>
      <c r="H26" s="817"/>
      <c r="I26" s="817"/>
    </row>
    <row r="27" spans="1:9" s="826" customFormat="1" ht="19.5" customHeight="1">
      <c r="A27" s="3423"/>
      <c r="B27" s="3423"/>
      <c r="C27" s="822" t="s">
        <v>576</v>
      </c>
      <c r="D27" s="823"/>
      <c r="E27" s="821">
        <v>0.9</v>
      </c>
      <c r="F27" s="824" t="s">
        <v>577</v>
      </c>
      <c r="G27" s="825"/>
      <c r="H27" s="817"/>
      <c r="I27" s="817"/>
    </row>
    <row r="28" spans="1:9" s="826" customFormat="1" ht="19.5" customHeight="1">
      <c r="A28" s="3423"/>
      <c r="B28" s="3423"/>
      <c r="C28" s="822" t="s">
        <v>578</v>
      </c>
      <c r="D28" s="823"/>
      <c r="E28" s="821">
        <v>0.9</v>
      </c>
      <c r="F28" s="824" t="s">
        <v>579</v>
      </c>
      <c r="G28" s="825"/>
      <c r="H28" s="817"/>
      <c r="I28" s="817"/>
    </row>
    <row r="29" spans="1:9" s="826" customFormat="1" ht="19.5" customHeight="1">
      <c r="A29" s="3423"/>
      <c r="B29" s="3423"/>
      <c r="C29" s="822" t="s">
        <v>580</v>
      </c>
      <c r="D29" s="823"/>
      <c r="E29" s="821">
        <v>0.9</v>
      </c>
      <c r="F29" s="824" t="s">
        <v>581</v>
      </c>
      <c r="G29" s="825"/>
      <c r="H29" s="817"/>
      <c r="I29" s="817"/>
    </row>
    <row r="30" spans="1:9" s="826" customFormat="1" ht="19.5" customHeight="1">
      <c r="A30" s="3423"/>
      <c r="B30" s="3423"/>
      <c r="C30" s="822" t="s">
        <v>582</v>
      </c>
      <c r="D30" s="823"/>
      <c r="E30" s="821">
        <v>0.9</v>
      </c>
      <c r="F30" s="824" t="s">
        <v>583</v>
      </c>
      <c r="G30" s="825"/>
      <c r="H30" s="817"/>
      <c r="I30" s="817"/>
    </row>
    <row r="31" spans="1:9" s="826" customFormat="1" ht="19.5" customHeight="1">
      <c r="A31" s="3423"/>
      <c r="B31" s="3423"/>
      <c r="C31" s="822" t="s">
        <v>584</v>
      </c>
      <c r="D31" s="823"/>
      <c r="E31" s="821">
        <v>0.8</v>
      </c>
      <c r="F31" s="824" t="s">
        <v>585</v>
      </c>
      <c r="G31" s="825"/>
      <c r="H31" s="817"/>
      <c r="I31" s="817"/>
    </row>
    <row r="32" spans="1:9" s="826" customFormat="1" ht="19.5" customHeight="1">
      <c r="A32" s="3423"/>
      <c r="B32" s="3423"/>
      <c r="C32" s="822" t="s">
        <v>586</v>
      </c>
      <c r="D32" s="823"/>
      <c r="E32" s="821">
        <v>0.8</v>
      </c>
      <c r="F32" s="824" t="s">
        <v>587</v>
      </c>
      <c r="G32" s="825"/>
      <c r="H32" s="817"/>
      <c r="I32" s="817"/>
    </row>
    <row r="33" spans="1:9" s="826" customFormat="1" ht="19.5" customHeight="1">
      <c r="A33" s="3423" t="s">
        <v>185</v>
      </c>
      <c r="B33" s="821" t="s">
        <v>560</v>
      </c>
      <c r="C33" s="822" t="s">
        <v>588</v>
      </c>
      <c r="D33" s="823"/>
      <c r="E33" s="821">
        <v>1</v>
      </c>
      <c r="F33" s="824" t="s">
        <v>589</v>
      </c>
      <c r="G33" s="825"/>
      <c r="H33" s="817"/>
      <c r="I33" s="817"/>
    </row>
    <row r="34" spans="1:9" s="826" customFormat="1" ht="19.5" customHeight="1">
      <c r="A34" s="3423"/>
      <c r="B34" s="821" t="s">
        <v>563</v>
      </c>
      <c r="C34" s="822" t="s">
        <v>590</v>
      </c>
      <c r="D34" s="823"/>
      <c r="E34" s="821">
        <v>1.5</v>
      </c>
      <c r="F34" s="824" t="s">
        <v>591</v>
      </c>
      <c r="G34" s="825"/>
      <c r="H34" s="817"/>
      <c r="I34" s="817"/>
    </row>
    <row r="35" spans="1:9" s="826" customFormat="1" ht="19.5" customHeight="1">
      <c r="A35" s="3423" t="s">
        <v>186</v>
      </c>
      <c r="B35" s="821" t="s">
        <v>560</v>
      </c>
      <c r="C35" s="822" t="s">
        <v>592</v>
      </c>
      <c r="D35" s="823"/>
      <c r="E35" s="821">
        <v>1</v>
      </c>
      <c r="F35" s="824" t="s">
        <v>593</v>
      </c>
      <c r="G35" s="825"/>
      <c r="H35" s="817"/>
      <c r="I35" s="817"/>
    </row>
    <row r="36" spans="1:9" s="826" customFormat="1" ht="19.5" customHeight="1">
      <c r="A36" s="3423"/>
      <c r="B36" s="3423" t="s">
        <v>563</v>
      </c>
      <c r="C36" s="822" t="s">
        <v>594</v>
      </c>
      <c r="D36" s="823"/>
      <c r="E36" s="821">
        <v>1</v>
      </c>
      <c r="F36" s="824" t="s">
        <v>595</v>
      </c>
      <c r="G36" s="825"/>
      <c r="H36" s="817"/>
      <c r="I36" s="817"/>
    </row>
    <row r="37" spans="1:9" s="826" customFormat="1" ht="19.5" customHeight="1">
      <c r="A37" s="3423"/>
      <c r="B37" s="3423"/>
      <c r="C37" s="822" t="s">
        <v>596</v>
      </c>
      <c r="D37" s="823"/>
      <c r="E37" s="821">
        <v>1.5</v>
      </c>
      <c r="F37" s="824" t="s">
        <v>597</v>
      </c>
      <c r="G37" s="825"/>
      <c r="H37" s="817"/>
      <c r="I37" s="817"/>
    </row>
    <row r="38" spans="1:9" s="826" customFormat="1" ht="19.5" customHeight="1">
      <c r="A38" s="3423"/>
      <c r="B38" s="3423"/>
      <c r="C38" s="822" t="s">
        <v>598</v>
      </c>
      <c r="D38" s="823"/>
      <c r="E38" s="821">
        <v>1</v>
      </c>
      <c r="F38" s="824" t="s">
        <v>599</v>
      </c>
      <c r="G38" s="825"/>
      <c r="H38" s="817"/>
      <c r="I38" s="817"/>
    </row>
    <row r="39" spans="1:9" s="826" customFormat="1" ht="19.5" customHeight="1">
      <c r="A39" s="3423"/>
      <c r="B39" s="34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3" t="s">
        <v>614</v>
      </c>
      <c r="C61" s="757" t="s">
        <v>615</v>
      </c>
      <c r="D61" s="757" t="s">
        <v>616</v>
      </c>
      <c r="E61" s="834">
        <v>0.5</v>
      </c>
      <c r="F61" s="821">
        <v>80</v>
      </c>
    </row>
    <row r="62" spans="1:8" s="817" customFormat="1" ht="24">
      <c r="A62" s="821">
        <v>2</v>
      </c>
      <c r="B62" s="3423"/>
      <c r="C62" s="757" t="s">
        <v>617</v>
      </c>
      <c r="D62" s="757" t="s">
        <v>618</v>
      </c>
      <c r="E62" s="834">
        <v>0.5</v>
      </c>
      <c r="F62" s="821">
        <v>80</v>
      </c>
    </row>
    <row r="63" spans="1:8" s="817" customFormat="1" ht="36">
      <c r="A63" s="821">
        <v>3</v>
      </c>
      <c r="B63" s="3423"/>
      <c r="C63" s="757" t="s">
        <v>619</v>
      </c>
      <c r="D63" s="757" t="s">
        <v>620</v>
      </c>
      <c r="E63" s="834">
        <v>0.5</v>
      </c>
      <c r="F63" s="821">
        <v>80</v>
      </c>
    </row>
    <row r="64" spans="1:8" s="817" customFormat="1" ht="36">
      <c r="A64" s="821">
        <v>4</v>
      </c>
      <c r="B64" s="3423"/>
      <c r="C64" s="757" t="s">
        <v>621</v>
      </c>
      <c r="D64" s="757" t="s">
        <v>622</v>
      </c>
      <c r="E64" s="834">
        <v>0.4</v>
      </c>
      <c r="F64" s="821">
        <v>60</v>
      </c>
    </row>
    <row r="65" spans="1:6" s="817" customFormat="1" ht="36">
      <c r="A65" s="821">
        <v>5</v>
      </c>
      <c r="B65" s="3423"/>
      <c r="C65" s="757" t="s">
        <v>623</v>
      </c>
      <c r="D65" s="757" t="s">
        <v>624</v>
      </c>
      <c r="E65" s="834">
        <v>0.2</v>
      </c>
      <c r="F65" s="821">
        <v>30</v>
      </c>
    </row>
    <row r="66" spans="1:6" s="817" customFormat="1" ht="36">
      <c r="A66" s="821">
        <v>6</v>
      </c>
      <c r="B66" s="3423"/>
      <c r="C66" s="757" t="s">
        <v>625</v>
      </c>
      <c r="D66" s="757" t="s">
        <v>626</v>
      </c>
      <c r="E66" s="834">
        <v>0.3</v>
      </c>
      <c r="F66" s="821">
        <v>50</v>
      </c>
    </row>
    <row r="67" spans="1:6" s="817" customFormat="1" ht="36">
      <c r="A67" s="821">
        <v>7</v>
      </c>
      <c r="B67" s="3423"/>
      <c r="C67" s="757" t="s">
        <v>627</v>
      </c>
      <c r="D67" s="757" t="s">
        <v>628</v>
      </c>
      <c r="E67" s="834">
        <v>0.2</v>
      </c>
      <c r="F67" s="821">
        <v>30</v>
      </c>
    </row>
    <row r="68" spans="1:6" s="817" customFormat="1" ht="36">
      <c r="A68" s="821">
        <v>8</v>
      </c>
      <c r="B68" s="3423"/>
      <c r="C68" s="757" t="s">
        <v>629</v>
      </c>
      <c r="D68" s="757" t="s">
        <v>630</v>
      </c>
      <c r="E68" s="834">
        <v>0.2</v>
      </c>
      <c r="F68" s="821">
        <v>30</v>
      </c>
    </row>
    <row r="69" spans="1:6" s="817" customFormat="1" ht="36">
      <c r="A69" s="821">
        <v>9</v>
      </c>
      <c r="B69" s="3423"/>
      <c r="C69" s="757" t="s">
        <v>631</v>
      </c>
      <c r="D69" s="757" t="s">
        <v>632</v>
      </c>
      <c r="E69" s="834">
        <v>0.2</v>
      </c>
      <c r="F69" s="821">
        <v>30</v>
      </c>
    </row>
    <row r="70" spans="1:6" s="817" customFormat="1" ht="48">
      <c r="A70" s="821">
        <v>10</v>
      </c>
      <c r="B70" s="3423"/>
      <c r="C70" s="757" t="s">
        <v>633</v>
      </c>
      <c r="D70" s="757" t="s">
        <v>634</v>
      </c>
      <c r="E70" s="834">
        <v>0.2</v>
      </c>
      <c r="F70" s="821">
        <v>30</v>
      </c>
    </row>
    <row r="71" spans="1:6" s="817" customFormat="1" ht="48">
      <c r="A71" s="821">
        <v>11</v>
      </c>
      <c r="B71" s="3423"/>
      <c r="C71" s="757" t="s">
        <v>635</v>
      </c>
      <c r="D71" s="757" t="s">
        <v>636</v>
      </c>
      <c r="E71" s="834">
        <v>0.2</v>
      </c>
      <c r="F71" s="821">
        <v>30</v>
      </c>
    </row>
    <row r="72" spans="1:6" s="817" customFormat="1" ht="36">
      <c r="A72" s="821">
        <v>12</v>
      </c>
      <c r="B72" s="3423"/>
      <c r="C72" s="757" t="s">
        <v>637</v>
      </c>
      <c r="D72" s="757" t="s">
        <v>638</v>
      </c>
      <c r="E72" s="834">
        <v>0.5</v>
      </c>
      <c r="F72" s="821">
        <v>80</v>
      </c>
    </row>
    <row r="73" spans="1:6" s="817" customFormat="1" ht="24">
      <c r="A73" s="821">
        <v>13</v>
      </c>
      <c r="B73" s="3423"/>
      <c r="C73" s="757" t="s">
        <v>639</v>
      </c>
      <c r="D73" s="757" t="s">
        <v>640</v>
      </c>
      <c r="E73" s="834">
        <v>0.4</v>
      </c>
      <c r="F73" s="821">
        <v>60</v>
      </c>
    </row>
    <row r="74" spans="1:6" s="817" customFormat="1" ht="24">
      <c r="A74" s="821">
        <v>14</v>
      </c>
      <c r="B74" s="3423"/>
      <c r="C74" s="757" t="s">
        <v>641</v>
      </c>
      <c r="D74" s="757" t="s">
        <v>642</v>
      </c>
      <c r="E74" s="834">
        <v>0.2</v>
      </c>
      <c r="F74" s="821">
        <v>30</v>
      </c>
    </row>
    <row r="75" spans="1:6" s="817" customFormat="1" ht="24">
      <c r="A75" s="821">
        <v>15</v>
      </c>
      <c r="B75" s="3423"/>
      <c r="C75" s="757" t="s">
        <v>643</v>
      </c>
      <c r="D75" s="757" t="s">
        <v>644</v>
      </c>
      <c r="E75" s="834">
        <v>0.2</v>
      </c>
      <c r="F75" s="821">
        <v>30</v>
      </c>
    </row>
    <row r="76" spans="1:6" s="817" customFormat="1" ht="24">
      <c r="A76" s="821">
        <v>16</v>
      </c>
      <c r="B76" s="3423" t="s">
        <v>645</v>
      </c>
      <c r="C76" s="757" t="s">
        <v>646</v>
      </c>
      <c r="D76" s="757" t="s">
        <v>647</v>
      </c>
      <c r="E76" s="834">
        <v>0.5</v>
      </c>
      <c r="F76" s="821">
        <v>80</v>
      </c>
    </row>
    <row r="77" spans="1:6" s="817" customFormat="1" ht="24">
      <c r="A77" s="821">
        <v>17</v>
      </c>
      <c r="B77" s="3423"/>
      <c r="C77" s="757" t="s">
        <v>648</v>
      </c>
      <c r="D77" s="757" t="s">
        <v>649</v>
      </c>
      <c r="E77" s="834">
        <v>0.5</v>
      </c>
      <c r="F77" s="821">
        <v>80</v>
      </c>
    </row>
    <row r="78" spans="1:6" s="817" customFormat="1" ht="24">
      <c r="A78" s="821">
        <v>18</v>
      </c>
      <c r="B78" s="3423"/>
      <c r="C78" s="757" t="s">
        <v>650</v>
      </c>
      <c r="D78" s="757" t="s">
        <v>651</v>
      </c>
      <c r="E78" s="834">
        <v>0.2</v>
      </c>
      <c r="F78" s="821">
        <v>30</v>
      </c>
    </row>
    <row r="79" spans="1:6" s="817" customFormat="1" ht="24">
      <c r="A79" s="821">
        <v>19</v>
      </c>
      <c r="B79" s="3423"/>
      <c r="C79" s="757" t="s">
        <v>652</v>
      </c>
      <c r="D79" s="757" t="s">
        <v>653</v>
      </c>
      <c r="E79" s="834">
        <v>0.5</v>
      </c>
      <c r="F79" s="821">
        <v>80</v>
      </c>
    </row>
    <row r="80" spans="1:6" s="817" customFormat="1" ht="36">
      <c r="A80" s="821">
        <v>20</v>
      </c>
      <c r="B80" s="3423"/>
      <c r="C80" s="757" t="s">
        <v>654</v>
      </c>
      <c r="D80" s="757" t="s">
        <v>655</v>
      </c>
      <c r="E80" s="834">
        <v>0.2</v>
      </c>
      <c r="F80" s="821">
        <v>30</v>
      </c>
    </row>
    <row r="81" spans="1:6" s="817" customFormat="1" ht="36">
      <c r="A81" s="821">
        <v>21</v>
      </c>
      <c r="B81" s="3423"/>
      <c r="C81" s="757" t="s">
        <v>656</v>
      </c>
      <c r="D81" s="757" t="s">
        <v>657</v>
      </c>
      <c r="E81" s="834">
        <v>0.2</v>
      </c>
      <c r="F81" s="821">
        <v>30</v>
      </c>
    </row>
    <row r="82" spans="1:6" s="817" customFormat="1" ht="48">
      <c r="A82" s="821">
        <v>22</v>
      </c>
      <c r="B82" s="3423"/>
      <c r="C82" s="757" t="s">
        <v>658</v>
      </c>
      <c r="D82" s="757" t="s">
        <v>659</v>
      </c>
      <c r="E82" s="834">
        <v>0.2</v>
      </c>
      <c r="F82" s="821">
        <v>30</v>
      </c>
    </row>
    <row r="83" spans="1:6" s="817" customFormat="1" ht="48">
      <c r="A83" s="821">
        <v>23</v>
      </c>
      <c r="B83" s="3423"/>
      <c r="C83" s="757" t="s">
        <v>660</v>
      </c>
      <c r="D83" s="757" t="s">
        <v>661</v>
      </c>
      <c r="E83" s="834">
        <v>0.2</v>
      </c>
      <c r="F83" s="821">
        <v>30</v>
      </c>
    </row>
    <row r="84" spans="1:6" s="817" customFormat="1" ht="36">
      <c r="A84" s="821">
        <v>24</v>
      </c>
      <c r="B84" s="3423"/>
      <c r="C84" s="757" t="s">
        <v>662</v>
      </c>
      <c r="D84" s="757" t="s">
        <v>663</v>
      </c>
      <c r="E84" s="834">
        <v>0.2</v>
      </c>
      <c r="F84" s="821">
        <v>30</v>
      </c>
    </row>
    <row r="85" spans="1:6" s="817" customFormat="1" ht="36">
      <c r="A85" s="821">
        <v>25</v>
      </c>
      <c r="B85" s="3423"/>
      <c r="C85" s="757" t="s">
        <v>664</v>
      </c>
      <c r="D85" s="757" t="s">
        <v>665</v>
      </c>
      <c r="E85" s="834">
        <v>0.5</v>
      </c>
      <c r="F85" s="821">
        <v>80</v>
      </c>
    </row>
    <row r="86" spans="1:6" s="817" customFormat="1" ht="36">
      <c r="A86" s="821">
        <v>26</v>
      </c>
      <c r="B86" s="3423"/>
      <c r="C86" s="757" t="s">
        <v>666</v>
      </c>
      <c r="D86" s="757" t="s">
        <v>667</v>
      </c>
      <c r="E86" s="834">
        <v>0.2</v>
      </c>
      <c r="F86" s="821">
        <v>30</v>
      </c>
    </row>
    <row r="87" spans="1:6" s="817" customFormat="1" ht="36">
      <c r="A87" s="821">
        <v>27</v>
      </c>
      <c r="B87" s="3423"/>
      <c r="C87" s="757" t="s">
        <v>668</v>
      </c>
      <c r="D87" s="757" t="s">
        <v>669</v>
      </c>
      <c r="E87" s="834">
        <v>0.2</v>
      </c>
      <c r="F87" s="821">
        <v>30</v>
      </c>
    </row>
    <row r="88" spans="1:6" s="817" customFormat="1" ht="36">
      <c r="A88" s="821">
        <v>28</v>
      </c>
      <c r="B88" s="3423"/>
      <c r="C88" s="757" t="s">
        <v>670</v>
      </c>
      <c r="D88" s="757" t="s">
        <v>671</v>
      </c>
      <c r="E88" s="834">
        <v>0.2</v>
      </c>
      <c r="F88" s="821">
        <v>30</v>
      </c>
    </row>
    <row r="89" spans="1:6" s="817" customFormat="1" ht="24">
      <c r="A89" s="821">
        <v>29</v>
      </c>
      <c r="B89" s="3423"/>
      <c r="C89" s="757" t="s">
        <v>672</v>
      </c>
      <c r="D89" s="757" t="s">
        <v>673</v>
      </c>
      <c r="E89" s="834">
        <v>0.2</v>
      </c>
      <c r="F89" s="821">
        <v>30</v>
      </c>
    </row>
    <row r="90" spans="1:6" s="817" customFormat="1" ht="24">
      <c r="A90" s="821">
        <v>30</v>
      </c>
      <c r="B90" s="3423"/>
      <c r="C90" s="757" t="s">
        <v>674</v>
      </c>
      <c r="D90" s="757" t="s">
        <v>675</v>
      </c>
      <c r="E90" s="834">
        <v>0.2</v>
      </c>
      <c r="F90" s="821">
        <v>30</v>
      </c>
    </row>
    <row r="91" spans="1:6" s="817" customFormat="1" ht="36">
      <c r="A91" s="821">
        <v>31</v>
      </c>
      <c r="B91" s="3423"/>
      <c r="C91" s="757" t="s">
        <v>676</v>
      </c>
      <c r="D91" s="757" t="s">
        <v>677</v>
      </c>
      <c r="E91" s="834">
        <v>0.2</v>
      </c>
      <c r="F91" s="821">
        <v>30</v>
      </c>
    </row>
    <row r="92" spans="1:6" s="817" customFormat="1" ht="24">
      <c r="A92" s="821">
        <v>32</v>
      </c>
      <c r="B92" s="3423" t="s">
        <v>678</v>
      </c>
      <c r="C92" s="821" t="s">
        <v>679</v>
      </c>
      <c r="D92" s="757" t="s">
        <v>680</v>
      </c>
      <c r="E92" s="834">
        <v>0.2</v>
      </c>
      <c r="F92" s="821">
        <v>30</v>
      </c>
    </row>
    <row r="93" spans="1:6" s="817" customFormat="1" ht="36">
      <c r="A93" s="821">
        <v>33</v>
      </c>
      <c r="B93" s="3423"/>
      <c r="C93" s="821" t="s">
        <v>681</v>
      </c>
      <c r="D93" s="757" t="s">
        <v>682</v>
      </c>
      <c r="E93" s="834">
        <v>0.2</v>
      </c>
      <c r="F93" s="821">
        <v>30</v>
      </c>
    </row>
    <row r="94" spans="1:6" s="817" customFormat="1" ht="48">
      <c r="A94" s="821">
        <v>34</v>
      </c>
      <c r="B94" s="3423"/>
      <c r="C94" s="821" t="s">
        <v>683</v>
      </c>
      <c r="D94" s="757" t="s">
        <v>684</v>
      </c>
      <c r="E94" s="834">
        <v>0.2</v>
      </c>
      <c r="F94" s="821">
        <v>30</v>
      </c>
    </row>
    <row r="95" spans="1:6" s="817" customFormat="1" ht="36">
      <c r="A95" s="821">
        <v>35</v>
      </c>
      <c r="B95" s="3423"/>
      <c r="C95" s="821" t="s">
        <v>685</v>
      </c>
      <c r="D95" s="757" t="s">
        <v>686</v>
      </c>
      <c r="E95" s="834">
        <v>0.2</v>
      </c>
      <c r="F95" s="821">
        <v>30</v>
      </c>
    </row>
    <row r="96" spans="1:6" s="817" customFormat="1" ht="48">
      <c r="A96" s="821">
        <v>36</v>
      </c>
      <c r="B96" s="3423"/>
      <c r="C96" s="757" t="s">
        <v>687</v>
      </c>
      <c r="D96" s="757" t="s">
        <v>688</v>
      </c>
      <c r="E96" s="834">
        <v>0.2</v>
      </c>
      <c r="F96" s="821">
        <v>30</v>
      </c>
    </row>
    <row r="97" spans="1:6" s="817" customFormat="1" ht="36">
      <c r="A97" s="821">
        <v>37</v>
      </c>
      <c r="B97" s="3423"/>
      <c r="C97" s="821" t="s">
        <v>689</v>
      </c>
      <c r="D97" s="757" t="s">
        <v>690</v>
      </c>
      <c r="E97" s="834">
        <v>0.2</v>
      </c>
      <c r="F97" s="821">
        <v>30</v>
      </c>
    </row>
    <row r="98" spans="1:6" s="817" customFormat="1" ht="36">
      <c r="A98" s="821">
        <v>38</v>
      </c>
      <c r="B98" s="3423"/>
      <c r="C98" s="821" t="s">
        <v>691</v>
      </c>
      <c r="D98" s="757" t="s">
        <v>692</v>
      </c>
      <c r="E98" s="834">
        <v>0.2</v>
      </c>
      <c r="F98" s="821">
        <v>30</v>
      </c>
    </row>
    <row r="99" spans="1:6" s="817" customFormat="1" ht="36">
      <c r="A99" s="821">
        <v>39</v>
      </c>
      <c r="B99" s="3423" t="s">
        <v>693</v>
      </c>
      <c r="C99" s="821" t="s">
        <v>694</v>
      </c>
      <c r="D99" s="757" t="s">
        <v>695</v>
      </c>
      <c r="E99" s="834">
        <v>0.3</v>
      </c>
      <c r="F99" s="821">
        <v>50</v>
      </c>
    </row>
    <row r="100" spans="1:6" s="817" customFormat="1" ht="24">
      <c r="A100" s="821">
        <v>40</v>
      </c>
      <c r="B100" s="3423"/>
      <c r="C100" s="821" t="s">
        <v>696</v>
      </c>
      <c r="D100" s="757" t="s">
        <v>697</v>
      </c>
      <c r="E100" s="834">
        <v>0.2</v>
      </c>
      <c r="F100" s="821">
        <v>30</v>
      </c>
    </row>
    <row r="101" spans="1:6" s="817" customFormat="1" ht="36">
      <c r="A101" s="821">
        <v>41</v>
      </c>
      <c r="B101" s="342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3" t="s">
        <v>708</v>
      </c>
      <c r="C105" s="821" t="s">
        <v>709</v>
      </c>
      <c r="D105" s="757" t="s">
        <v>710</v>
      </c>
      <c r="E105" s="834">
        <v>0.2</v>
      </c>
      <c r="F105" s="821">
        <v>30</v>
      </c>
    </row>
    <row r="106" spans="1:6" s="817" customFormat="1" ht="36">
      <c r="A106" s="821">
        <v>46</v>
      </c>
      <c r="B106" s="3423"/>
      <c r="C106" s="821" t="s">
        <v>711</v>
      </c>
      <c r="D106" s="757" t="s">
        <v>712</v>
      </c>
      <c r="E106" s="834">
        <v>0.2</v>
      </c>
      <c r="F106" s="821">
        <v>30</v>
      </c>
    </row>
    <row r="107" spans="1:6" s="817" customFormat="1" ht="36">
      <c r="A107" s="821">
        <v>47</v>
      </c>
      <c r="B107" s="3423" t="s">
        <v>713</v>
      </c>
      <c r="C107" s="821" t="s">
        <v>714</v>
      </c>
      <c r="D107" s="757" t="s">
        <v>715</v>
      </c>
      <c r="E107" s="834">
        <v>0.3</v>
      </c>
      <c r="F107" s="821">
        <v>50</v>
      </c>
    </row>
    <row r="108" spans="1:6" s="817" customFormat="1" ht="36">
      <c r="A108" s="821">
        <v>48</v>
      </c>
      <c r="B108" s="34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3" t="s">
        <v>724</v>
      </c>
      <c r="C111" s="821" t="s">
        <v>725</v>
      </c>
      <c r="D111" s="757" t="s">
        <v>726</v>
      </c>
      <c r="E111" s="834">
        <v>0.2</v>
      </c>
      <c r="F111" s="821">
        <v>30</v>
      </c>
    </row>
    <row r="112" spans="1:6" s="817" customFormat="1" ht="24">
      <c r="A112" s="821">
        <v>52</v>
      </c>
      <c r="B112" s="3423"/>
      <c r="C112" s="821" t="s">
        <v>727</v>
      </c>
      <c r="D112" s="757" t="s">
        <v>728</v>
      </c>
      <c r="E112" s="834">
        <v>0.2</v>
      </c>
      <c r="F112" s="821">
        <v>30</v>
      </c>
    </row>
    <row r="113" spans="1:6" s="817" customFormat="1" ht="24">
      <c r="A113" s="821">
        <v>53</v>
      </c>
      <c r="B113" s="342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3" t="s">
        <v>737</v>
      </c>
      <c r="C116" s="821" t="s">
        <v>738</v>
      </c>
      <c r="D116" s="757" t="s">
        <v>739</v>
      </c>
      <c r="E116" s="834">
        <v>0.2</v>
      </c>
      <c r="F116" s="821">
        <v>30</v>
      </c>
    </row>
    <row r="117" spans="1:6" ht="36">
      <c r="A117" s="821">
        <v>57</v>
      </c>
      <c r="B117" s="342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0.96399999999999997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E6" sqref="E6"/>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4"/>
      <c r="G1" s="3024"/>
      <c r="H1" s="3024"/>
      <c r="I1" s="3024"/>
      <c r="J1" s="3024"/>
      <c r="K1" s="3024"/>
      <c r="L1" s="3024"/>
      <c r="M1" s="3024"/>
      <c r="N1" s="3024"/>
      <c r="O1" s="3024"/>
      <c r="P1" s="3024"/>
    </row>
    <row r="2" spans="1:16" ht="15.75">
      <c r="A2" s="2363" t="s">
        <v>2814</v>
      </c>
      <c r="B2" s="2828">
        <f ca="1">SUMIF(B6:B13,"&lt;&gt;#ref!",B6:B13)</f>
        <v>14670</v>
      </c>
      <c r="C2" s="2363" t="s">
        <v>2815</v>
      </c>
      <c r="D2" s="2363" t="s">
        <v>2816</v>
      </c>
      <c r="E2" s="2838">
        <f ca="1">SUMIF(E6:E13,"&lt;&gt;#ref!",E6:E13)</f>
        <v>10558.08</v>
      </c>
      <c r="F2" s="3024"/>
      <c r="G2" s="3024"/>
      <c r="H2" s="3024"/>
      <c r="I2" s="3024"/>
      <c r="J2" s="3024"/>
      <c r="K2" s="3024"/>
      <c r="L2" s="3024"/>
      <c r="M2" s="3024"/>
      <c r="N2" s="3024"/>
      <c r="O2" s="3024"/>
      <c r="P2" s="3024"/>
    </row>
    <row r="3" spans="1:16" ht="15.75">
      <c r="A3" s="2363" t="s">
        <v>2817</v>
      </c>
      <c r="B3" s="2828">
        <f ca="1">ROUND(B2*10000/E2,0)</f>
        <v>13895</v>
      </c>
      <c r="C3" s="2363"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4"/>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0</v>
      </c>
      <c r="C6" s="2363" t="s">
        <v>2815</v>
      </c>
      <c r="D6" s="3024"/>
      <c r="E6" s="2838">
        <f ca="1">SUMIF(INDIRECT("'"&amp;A6&amp;"'"&amp;"!C:C"),"建筑面积",INDIRECT("'"&amp;A6&amp;"'"&amp;"!D:D"))</f>
        <v>0</v>
      </c>
      <c r="F6" s="3024"/>
      <c r="G6" s="3024"/>
      <c r="H6" s="3024"/>
      <c r="I6" s="3024"/>
      <c r="J6" s="3024"/>
      <c r="K6" s="3024"/>
      <c r="L6" s="3024"/>
      <c r="M6" s="3024"/>
      <c r="N6" s="3024"/>
      <c r="O6" s="3024"/>
      <c r="P6" s="3024"/>
    </row>
    <row r="7" spans="1:16" ht="15.75">
      <c r="A7" s="2835" t="s">
        <v>3154</v>
      </c>
      <c r="B7" s="2828">
        <f ca="1">SUMIF(INDIRECT("'"&amp;A7&amp;"'"&amp;"!A:A"),"总价",INDIRECT("'"&amp;A7&amp;"'"&amp;"!B:B"))</f>
        <v>14670</v>
      </c>
      <c r="C7" s="2363" t="s">
        <v>2815</v>
      </c>
      <c r="D7" s="3024"/>
      <c r="E7" s="2838">
        <f t="shared" ref="E7:E13" ca="1" si="0">SUMIF(INDIRECT("'"&amp;A7&amp;"'"&amp;"!C:C"),"建筑面积",INDIRECT("'"&amp;A7&amp;"'"&amp;"!D:D"))</f>
        <v>10558.08</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3"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3"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3"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3"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3"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3"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31B0-F186-4592-B0FE-027630547907}">
  <sheetPr>
    <tabColor rgb="FFFF0000"/>
  </sheetPr>
  <dimension ref="A1:AJ512"/>
  <sheetViews>
    <sheetView view="pageBreakPreview" topLeftCell="A7" zoomScaleNormal="100" zoomScaleSheetLayoutView="100" zoomScalePageLayoutView="80" workbookViewId="0">
      <selection activeCell="G19" sqref="G19:G2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27</v>
      </c>
      <c r="D1" s="1935"/>
      <c r="E1" s="1935"/>
      <c r="F1" s="1937" t="s">
        <v>1950</v>
      </c>
      <c r="G1" s="1748" t="s">
        <v>3065</v>
      </c>
      <c r="H1" s="1938" t="str">
        <f>IF(G1="现房","——","估价对象范围")</f>
        <v>——</v>
      </c>
      <c r="I1" s="1939" t="s">
        <v>3195</v>
      </c>
    </row>
    <row r="2" spans="1:12" ht="21.75" customHeight="1" thickBot="1">
      <c r="A2" s="3234" t="str">
        <f>项目基本情况!S2</f>
        <v>北京市房地产</v>
      </c>
      <c r="B2" s="3235"/>
      <c r="C2" s="3235"/>
      <c r="D2" s="3235"/>
      <c r="E2" s="3235"/>
      <c r="F2" s="3235"/>
      <c r="G2" s="3235"/>
      <c r="H2" s="3235"/>
      <c r="I2" s="3236"/>
    </row>
    <row r="3" spans="1:12" ht="12.75">
      <c r="A3" s="3238" t="s">
        <v>1951</v>
      </c>
      <c r="B3" s="3239"/>
      <c r="C3" s="3239"/>
      <c r="D3" s="3239"/>
      <c r="E3" s="3239"/>
      <c r="F3" s="3239"/>
      <c r="G3" s="3239"/>
      <c r="H3" s="3239"/>
      <c r="I3" s="3239"/>
    </row>
    <row r="4" spans="1:12" ht="14.25">
      <c r="A4" s="1942" t="s">
        <v>1952</v>
      </c>
      <c r="B4" s="1943" t="s">
        <v>1953</v>
      </c>
      <c r="C4" s="1944" t="s">
        <v>3192</v>
      </c>
      <c r="D4" s="1944" t="s">
        <v>3197</v>
      </c>
      <c r="E4" s="3240" t="s">
        <v>1954</v>
      </c>
      <c r="F4" s="3241"/>
      <c r="G4" s="3241"/>
      <c r="H4" s="3241"/>
      <c r="I4" s="3242"/>
      <c r="K4" s="151" t="str">
        <f>IF(ISNUMBER(FIND("比较法",'结果表 (办公)'!C4)),"比较法",IF(ISNUMBER(FIND("成本法",'结果表 (办公)'!C4)),"成本法",IF(ISNUMBER(FIND("假设开发法",'结果表 (办公)'!C4)),"假设开发法",IF(ISNUMBER(FIND("收益法",'结果表 (办公)'!C4)),"收益法","基准地价系数修正法"))))</f>
        <v>成本法</v>
      </c>
      <c r="L4" s="151" t="str">
        <f>IF(ISNUMBER(FIND("比较法",'结果表 (办公)'!D4)),"比较法",IF(ISNUMBER(FIND("成本法",'结果表 (办公)'!D4)),"成本法",IF(ISNUMBER(FIND("假设开发法",'结果表 (办公)'!D4)),"假设开发法",IF(ISNUMBER(FIND("收益法",'结果表 (办公)'!D4)),"收益法","基准地价系数修正法"))))</f>
        <v>收益法</v>
      </c>
    </row>
    <row r="5" spans="1:12" ht="12.75">
      <c r="A5" s="3214" t="s">
        <v>1955</v>
      </c>
      <c r="B5" s="3201">
        <v>25</v>
      </c>
      <c r="C5" s="3217"/>
      <c r="D5" s="3237"/>
      <c r="E5" s="136" t="s">
        <v>1956</v>
      </c>
      <c r="F5" s="1945"/>
      <c r="G5" s="1945"/>
      <c r="H5" s="1945"/>
      <c r="I5" s="1559"/>
    </row>
    <row r="6" spans="1:12" ht="12.75">
      <c r="A6" s="3214"/>
      <c r="B6" s="3201"/>
      <c r="C6" s="3218"/>
      <c r="D6" s="3237"/>
      <c r="E6" s="136" t="s">
        <v>1957</v>
      </c>
      <c r="F6" s="1945"/>
      <c r="G6" s="1945"/>
      <c r="H6" s="1945"/>
      <c r="I6" s="1559"/>
    </row>
    <row r="7" spans="1:12" ht="12.75">
      <c r="A7" s="3214"/>
      <c r="B7" s="3201"/>
      <c r="C7" s="3219"/>
      <c r="D7" s="3237"/>
      <c r="E7" s="136" t="s">
        <v>1958</v>
      </c>
      <c r="F7" s="1945"/>
      <c r="G7" s="1945"/>
      <c r="H7" s="1945"/>
      <c r="I7" s="1559"/>
    </row>
    <row r="8" spans="1:12" ht="12.75">
      <c r="A8" s="3214" t="s">
        <v>1959</v>
      </c>
      <c r="B8" s="3201">
        <v>15</v>
      </c>
      <c r="C8" s="3217"/>
      <c r="D8" s="3237"/>
      <c r="E8" s="136" t="s">
        <v>1960</v>
      </c>
      <c r="F8" s="1945"/>
      <c r="G8" s="1945"/>
      <c r="H8" s="1945"/>
      <c r="I8" s="1559"/>
    </row>
    <row r="9" spans="1:12" ht="12.75">
      <c r="A9" s="3214"/>
      <c r="B9" s="3201"/>
      <c r="C9" s="3219"/>
      <c r="D9" s="3237"/>
      <c r="E9" s="136" t="s">
        <v>1961</v>
      </c>
      <c r="F9" s="1945"/>
      <c r="G9" s="1945"/>
      <c r="H9" s="1945"/>
      <c r="I9" s="1559"/>
    </row>
    <row r="10" spans="1:12" ht="12.75">
      <c r="A10" s="3214" t="s">
        <v>1962</v>
      </c>
      <c r="B10" s="3201">
        <v>15</v>
      </c>
      <c r="C10" s="3217"/>
      <c r="D10" s="3237"/>
      <c r="E10" s="136" t="s">
        <v>1963</v>
      </c>
      <c r="F10" s="1945"/>
      <c r="G10" s="1945"/>
      <c r="H10" s="1945"/>
      <c r="I10" s="1559"/>
    </row>
    <row r="11" spans="1:12" ht="12.75">
      <c r="A11" s="3214"/>
      <c r="B11" s="3201"/>
      <c r="C11" s="3219"/>
      <c r="D11" s="3237"/>
      <c r="E11" s="136" t="s">
        <v>1964</v>
      </c>
      <c r="F11" s="1945"/>
      <c r="G11" s="1945"/>
      <c r="H11" s="1945"/>
      <c r="I11" s="1559"/>
    </row>
    <row r="12" spans="1:12" ht="12.75">
      <c r="A12" s="3214" t="s">
        <v>1965</v>
      </c>
      <c r="B12" s="3201">
        <v>15</v>
      </c>
      <c r="C12" s="3217"/>
      <c r="D12" s="3237"/>
      <c r="E12" s="136" t="s">
        <v>1966</v>
      </c>
      <c r="F12" s="1945"/>
      <c r="G12" s="1945"/>
      <c r="H12" s="1945"/>
      <c r="I12" s="1559"/>
    </row>
    <row r="13" spans="1:12" ht="12.75">
      <c r="A13" s="3214"/>
      <c r="B13" s="3201"/>
      <c r="C13" s="3219"/>
      <c r="D13" s="3237"/>
      <c r="E13" s="136" t="s">
        <v>1967</v>
      </c>
      <c r="F13" s="1945"/>
      <c r="G13" s="1945"/>
      <c r="H13" s="1945"/>
      <c r="I13" s="1559"/>
    </row>
    <row r="14" spans="1:12" ht="12.75">
      <c r="A14" s="3214" t="s">
        <v>1968</v>
      </c>
      <c r="B14" s="3201">
        <v>30</v>
      </c>
      <c r="C14" s="3217">
        <v>5</v>
      </c>
      <c r="D14" s="3237">
        <v>5</v>
      </c>
      <c r="E14" s="136" t="s">
        <v>1969</v>
      </c>
      <c r="F14" s="1945"/>
      <c r="G14" s="1945"/>
      <c r="H14" s="1945"/>
      <c r="I14" s="1559"/>
    </row>
    <row r="15" spans="1:12" ht="12.75">
      <c r="A15" s="3214"/>
      <c r="B15" s="3201"/>
      <c r="C15" s="3218"/>
      <c r="D15" s="3237"/>
      <c r="E15" s="136" t="s">
        <v>1970</v>
      </c>
      <c r="F15" s="1945"/>
      <c r="G15" s="1945"/>
      <c r="H15" s="1945"/>
      <c r="I15" s="1559"/>
    </row>
    <row r="16" spans="1:12" ht="12.75">
      <c r="A16" s="3214"/>
      <c r="B16" s="3201"/>
      <c r="C16" s="3219"/>
      <c r="D16" s="3237"/>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24" t="s">
        <v>2873</v>
      </c>
      <c r="F18" s="3225"/>
      <c r="G18" s="3225"/>
      <c r="H18" s="3225"/>
      <c r="I18" s="3225"/>
      <c r="K18" s="308" t="s">
        <v>1976</v>
      </c>
      <c r="L18" s="308">
        <f>IF(C1="",'数据-汇总表'!E3,SUMIF(项目类型,C1,'数据-汇总表'!E17:E26)+SUMIF(项目类型,C1,'数据-汇总表'!I17:I26))</f>
        <v>10558.08</v>
      </c>
      <c r="M18" s="308">
        <f>IF(C1="",'数据-汇总表'!E3,SUMIF(项目类型,C1,'数据-汇总表'!E17:E26))</f>
        <v>10558.08</v>
      </c>
    </row>
    <row r="19" spans="1:36" ht="15">
      <c r="A19" s="1949" t="s">
        <v>1977</v>
      </c>
      <c r="B19" s="1950" t="s">
        <v>1978</v>
      </c>
      <c r="C19" s="139">
        <f ca="1">SUMIF(INDIRECT("'"&amp;C4&amp;"'"&amp;"!A:A"),'结果表 (办公)'!B19,INDIRECT("'"&amp;C4&amp;"'"&amp;"!B:B"))</f>
        <v>25778</v>
      </c>
      <c r="D19" s="140">
        <f ca="1">SUMIF(INDIRECT("'"&amp;D4&amp;"'"&amp;"!A:A"),'结果表 (办公)'!B19,INDIRECT("'"&amp;D4&amp;"'"&amp;"!B:B"))</f>
        <v>27772</v>
      </c>
      <c r="E19" s="1949" t="s">
        <v>1979</v>
      </c>
      <c r="F19" s="1950" t="s">
        <v>1978</v>
      </c>
      <c r="G19" s="141">
        <f ca="1">ROUND(C19*$C$18+D19*$D$18,0)</f>
        <v>26775</v>
      </c>
      <c r="H19" s="1951" t="s">
        <v>1980</v>
      </c>
      <c r="I19" s="134"/>
      <c r="K19" s="308" t="s">
        <v>1981</v>
      </c>
      <c r="L19" s="308">
        <f>IF(C1="",'数据-汇总表'!D3,SUMIF(项目类型,C1,'数据-汇总表'!D17:D26)+SUMIF(项目类型,C1,'数据-汇总表'!H17:H27))</f>
        <v>2127.83</v>
      </c>
      <c r="M19" s="308">
        <f>IF(C1="",'数据-汇总表'!D3,SUMIF(项目类型,C1,'数据-汇总表'!D17:D26))</f>
        <v>2127.83</v>
      </c>
    </row>
    <row r="20" spans="1:36" ht="15">
      <c r="A20" s="1952"/>
      <c r="B20" s="1157" t="s">
        <v>1982</v>
      </c>
      <c r="C20" s="142">
        <f ca="1">SUMIF(INDIRECT("'"&amp;C4&amp;"'"&amp;"!A:A"),'结果表 (办公)'!B20,INDIRECT("'"&amp;C4&amp;"'"&amp;"!B:B"))</f>
        <v>24415</v>
      </c>
      <c r="D20" s="143">
        <f ca="1">SUMIF(INDIRECT("'"&amp;D4&amp;"'"&amp;"!A:A"),'结果表 (办公)'!B20,INDIRECT("'"&amp;D4&amp;"'"&amp;"!B:B"))</f>
        <v>26304</v>
      </c>
      <c r="E20" s="1952"/>
      <c r="F20" s="1157" t="s">
        <v>1982</v>
      </c>
      <c r="G20" s="144">
        <f ca="1">ROUND(C20*$C$18+D20*$D$18,0)</f>
        <v>25360</v>
      </c>
      <c r="H20" s="917" t="s">
        <v>1983</v>
      </c>
      <c r="I20" s="134"/>
    </row>
    <row r="21" spans="1:36" ht="15" customHeight="1" thickBot="1">
      <c r="A21" s="937"/>
      <c r="B21" s="1953" t="s">
        <v>1984</v>
      </c>
      <c r="C21" s="728">
        <f ca="1">ROUND(C19*10000/L19,0)</f>
        <v>121147</v>
      </c>
      <c r="D21" s="729">
        <f ca="1">ROUND(D19*10000/L19,0)</f>
        <v>130518</v>
      </c>
      <c r="E21" s="937"/>
      <c r="F21" s="1953" t="s">
        <v>1984</v>
      </c>
      <c r="G21" s="145">
        <f ca="1">ROUND(G19*10000/L19,0)</f>
        <v>125832</v>
      </c>
      <c r="H21" s="1954" t="s">
        <v>1983</v>
      </c>
      <c r="I21" s="134"/>
    </row>
    <row r="22" spans="1:36" ht="15" thickBot="1">
      <c r="A22" s="1876" t="s">
        <v>1985</v>
      </c>
      <c r="B22" s="1955"/>
      <c r="C22" s="1956"/>
      <c r="D22" s="730">
        <f ca="1">IF(C19&lt;D19,D19/C19-1,C19/D19-1)</f>
        <v>7.7352781441539342E-2</v>
      </c>
      <c r="E22" s="134"/>
      <c r="F22" s="134"/>
      <c r="G22" s="134"/>
      <c r="H22" s="134"/>
      <c r="I22" s="134"/>
    </row>
    <row r="23" spans="1:36" ht="13.5" thickBot="1">
      <c r="A23" s="1935"/>
      <c r="B23" s="1935"/>
      <c r="C23" s="1935"/>
      <c r="D23" s="1935"/>
      <c r="E23" s="134"/>
      <c r="F23" s="134"/>
      <c r="G23" s="134"/>
      <c r="H23" s="134"/>
      <c r="I23" s="134"/>
    </row>
    <row r="24" spans="1:36" ht="14.25">
      <c r="A24" s="3208" t="s">
        <v>1986</v>
      </c>
      <c r="B24" s="1950" t="s">
        <v>1978</v>
      </c>
      <c r="C24" s="141">
        <f>IF(B30=0,0,D30)</f>
        <v>0</v>
      </c>
      <c r="D24" s="1957"/>
      <c r="E24" s="134"/>
      <c r="F24" s="134"/>
      <c r="G24" s="134"/>
      <c r="H24" s="134"/>
      <c r="I24" s="134"/>
    </row>
    <row r="25" spans="1:36" ht="14.25">
      <c r="A25" s="3209"/>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26775</v>
      </c>
      <c r="D32" s="1963" t="s">
        <v>3147</v>
      </c>
      <c r="E32" s="134"/>
      <c r="F32" s="134"/>
      <c r="G32" s="134"/>
      <c r="H32" s="134"/>
      <c r="I32" s="134"/>
    </row>
    <row r="33" spans="1:15" ht="15">
      <c r="A33" s="894" t="s">
        <v>1993</v>
      </c>
      <c r="B33" s="1964"/>
      <c r="C33" s="1965" t="s">
        <v>3148</v>
      </c>
      <c r="D33" s="1966" t="s">
        <v>3192</v>
      </c>
      <c r="E33" s="1967" t="s">
        <v>1994</v>
      </c>
      <c r="F33" s="1968" t="str">
        <f>IF(D32="楼面单价","取值（单价）","取值（总价）")</f>
        <v>取值（总价）</v>
      </c>
      <c r="G33" s="134"/>
      <c r="H33" s="134"/>
      <c r="I33" s="134"/>
      <c r="J33" s="734">
        <f>4660/25778</f>
        <v>0.18077430366979594</v>
      </c>
    </row>
    <row r="34" spans="1:15" ht="15">
      <c r="A34" s="1969"/>
      <c r="B34" s="1970" t="s">
        <v>1995</v>
      </c>
      <c r="C34" s="153">
        <f ca="1">IF(C33="自定义",F34,C32-C35)</f>
        <v>21929</v>
      </c>
      <c r="D34" s="970">
        <f ca="1">IF(C33="自定义",ROUND(C34/C32,3),IF(C33="收益比率",SUMIF(INDIRECT("'"&amp;D33&amp;"'"&amp;"!b:b"),"土地收益比率",INDIRECT("'"&amp;D33&amp;"'"&amp;"!c:c")),SUMIF(INDIRECT("'"&amp;D33&amp;"'"&amp;"!b:b"),"土地成本比率",INDIRECT("'"&amp;D33&amp;"'"&amp;"!c:c"))))</f>
        <v>0.81899999999999995</v>
      </c>
      <c r="E34" s="1971" t="s">
        <v>1996</v>
      </c>
      <c r="F34" s="1500"/>
      <c r="G34" s="134"/>
      <c r="H34" s="134"/>
      <c r="I34" s="134"/>
    </row>
    <row r="35" spans="1:15" ht="15.75" thickBot="1">
      <c r="A35" s="1972"/>
      <c r="B35" s="1973" t="s">
        <v>1997</v>
      </c>
      <c r="C35" s="1332">
        <f ca="1">IF(C33="自定义",F35,ROUND(C32*D35,0))</f>
        <v>4846</v>
      </c>
      <c r="D35" s="1333">
        <f ca="1">IF(C33="自定义",ROUND(C35/C32,3),IF(C33="收益比率",SUMIF(INDIRECT("'"&amp;D33&amp;"'"&amp;"!b:b"),"建筑物收益比率",INDIRECT("'"&amp;D33&amp;"'"&amp;"!c:c")),SUMIF(INDIRECT("'"&amp;D33&amp;"'"&amp;"!b:b"),"建筑物成本比率",INDIRECT("'"&amp;D33&amp;"'"&amp;"!c:c"))))</f>
        <v>0.18099999999999999</v>
      </c>
      <c r="E35" s="1974" t="s">
        <v>1998</v>
      </c>
      <c r="F35" s="159"/>
      <c r="G35" s="134"/>
      <c r="H35" s="134"/>
      <c r="I35" s="134"/>
    </row>
    <row r="36" spans="1:15" ht="15.75" hidden="1" thickBot="1">
      <c r="A36" s="3228" t="s">
        <v>1999</v>
      </c>
      <c r="B36" s="1975" t="s">
        <v>2000</v>
      </c>
      <c r="C36" s="150"/>
      <c r="D36" s="1976"/>
      <c r="E36" s="1977"/>
      <c r="F36" s="1978"/>
      <c r="G36" s="134"/>
      <c r="H36" s="134"/>
      <c r="I36" s="134"/>
    </row>
    <row r="37" spans="1:15" ht="15.75" hidden="1" thickBot="1">
      <c r="A37" s="3229"/>
      <c r="B37" s="1862" t="s">
        <v>2001</v>
      </c>
      <c r="C37" s="152"/>
      <c r="D37" s="1301"/>
      <c r="E37" s="1301"/>
      <c r="F37" s="1978"/>
      <c r="G37" s="134"/>
      <c r="H37" s="134"/>
      <c r="I37" s="134"/>
    </row>
    <row r="38" spans="1:15" ht="15.75" hidden="1" thickBot="1">
      <c r="A38" s="3230"/>
      <c r="B38" s="1979" t="s">
        <v>2002</v>
      </c>
      <c r="C38" s="683"/>
      <c r="D38" s="1980" t="s">
        <v>2003</v>
      </c>
      <c r="E38" s="1301"/>
      <c r="F38" s="1978"/>
      <c r="G38" s="134"/>
      <c r="H38" s="134"/>
      <c r="I38" s="134"/>
    </row>
    <row r="39" spans="1:15" ht="15" hidden="1">
      <c r="A39" s="1952" t="s">
        <v>2004</v>
      </c>
      <c r="B39" s="1981" t="s">
        <v>1988</v>
      </c>
      <c r="C39" s="1982" t="s">
        <v>1989</v>
      </c>
      <c r="D39" s="1982" t="s">
        <v>2007</v>
      </c>
      <c r="E39" s="1983" t="s">
        <v>1990</v>
      </c>
      <c r="F39" s="1978"/>
      <c r="G39" s="134"/>
      <c r="H39" s="134"/>
      <c r="I39" s="134"/>
    </row>
    <row r="40" spans="1:15" ht="14.25" hidden="1">
      <c r="A40" s="1984" t="s">
        <v>2009</v>
      </c>
      <c r="B40" s="154"/>
      <c r="C40" s="155"/>
      <c r="D40" s="155"/>
      <c r="E40" s="156"/>
      <c r="F40" s="1978"/>
      <c r="G40" s="134"/>
      <c r="H40" s="134"/>
      <c r="I40" s="134"/>
    </row>
    <row r="41" spans="1:15" ht="14.25" hidden="1">
      <c r="A41" s="1984" t="s">
        <v>2010</v>
      </c>
      <c r="B41" s="154"/>
      <c r="C41" s="155"/>
      <c r="D41" s="155"/>
      <c r="E41" s="156"/>
      <c r="F41" s="1978"/>
      <c r="G41" s="134"/>
      <c r="H41" s="134"/>
      <c r="I41" s="134"/>
    </row>
    <row r="42" spans="1:15" ht="15" hidden="1" thickBot="1">
      <c r="A42" s="1985"/>
      <c r="B42" s="157"/>
      <c r="C42" s="158"/>
      <c r="D42" s="158"/>
      <c r="E42" s="159"/>
      <c r="F42" s="1978"/>
      <c r="G42" s="134"/>
      <c r="H42" s="134"/>
      <c r="I42" s="134"/>
    </row>
    <row r="43" spans="1:15" ht="12.75" hidden="1">
      <c r="A43" s="1764"/>
      <c r="B43" s="1764"/>
      <c r="C43" s="1764"/>
      <c r="D43" s="1764"/>
      <c r="E43" s="1764"/>
      <c r="F43" s="1986"/>
      <c r="G43" s="1986"/>
      <c r="H43" s="1986"/>
      <c r="I43" s="1987"/>
    </row>
    <row r="44" spans="1:15" ht="18.75" hidden="1">
      <c r="A44" s="1988" t="s">
        <v>2011</v>
      </c>
      <c r="B44" s="1989"/>
      <c r="C44" s="1989"/>
      <c r="D44" s="1990"/>
      <c r="E44" s="1990"/>
      <c r="F44" s="1991"/>
      <c r="G44" s="1991"/>
      <c r="H44" s="1991"/>
      <c r="I44" s="1991"/>
      <c r="J44" s="1992" t="s">
        <v>2012</v>
      </c>
      <c r="K44" s="1993"/>
      <c r="L44" s="1993"/>
      <c r="M44" s="1993"/>
      <c r="N44" s="1993"/>
      <c r="O44" s="1993"/>
    </row>
    <row r="45" spans="1:15" ht="14.25" hidden="1" customHeight="1" thickBot="1">
      <c r="A45" s="3205" t="s">
        <v>2013</v>
      </c>
      <c r="B45" s="3206"/>
      <c r="C45" s="3207"/>
      <c r="D45" s="160">
        <f ca="1">ROUND(H101*F45,0)</f>
        <v>26775</v>
      </c>
      <c r="E45" s="161" t="s">
        <v>2014</v>
      </c>
      <c r="F45" s="162">
        <v>1</v>
      </c>
      <c r="G45" s="163" t="s">
        <v>2015</v>
      </c>
      <c r="H45" s="134"/>
      <c r="I45" s="134"/>
      <c r="J45" s="3286" t="s">
        <v>2016</v>
      </c>
      <c r="K45" s="3286"/>
      <c r="L45" s="3286"/>
      <c r="M45" s="3286"/>
      <c r="N45" s="3286"/>
      <c r="O45" s="3286"/>
    </row>
    <row r="46" spans="1:15" ht="14.25" hidden="1" customHeight="1">
      <c r="A46" s="3202" t="s">
        <v>2017</v>
      </c>
      <c r="B46" s="3203"/>
      <c r="C46" s="3203"/>
      <c r="D46" s="3203"/>
      <c r="E46" s="3203"/>
      <c r="F46" s="3203"/>
      <c r="G46" s="3204"/>
      <c r="H46" s="1994"/>
      <c r="I46" s="164"/>
      <c r="J46" s="3091">
        <v>1</v>
      </c>
      <c r="K46" s="3267" t="s">
        <v>2018</v>
      </c>
      <c r="L46" s="3267"/>
      <c r="M46" s="3287"/>
      <c r="N46" s="3287"/>
      <c r="O46" s="3287"/>
    </row>
    <row r="47" spans="1:15" ht="12" hidden="1" customHeight="1">
      <c r="A47" s="165" t="s">
        <v>2019</v>
      </c>
      <c r="B47" s="166"/>
      <c r="C47" s="167"/>
      <c r="D47" s="1247" t="s">
        <v>2020</v>
      </c>
      <c r="E47" s="308" t="s">
        <v>2021</v>
      </c>
      <c r="F47" s="168" t="s">
        <v>2022</v>
      </c>
      <c r="G47" s="2772" t="s">
        <v>2023</v>
      </c>
      <c r="H47" s="2773"/>
      <c r="I47" s="164"/>
      <c r="J47" s="3091">
        <v>2</v>
      </c>
      <c r="K47" s="3267" t="s">
        <v>2024</v>
      </c>
      <c r="L47" s="3267"/>
      <c r="M47" s="3288">
        <f>'数据-取费表'!B2</f>
        <v>44218</v>
      </c>
      <c r="N47" s="3288"/>
      <c r="O47" s="3288"/>
    </row>
    <row r="48" spans="1:15" ht="25.5" hidden="1">
      <c r="A48" s="3233" t="s">
        <v>2025</v>
      </c>
      <c r="B48" s="3216"/>
      <c r="C48" s="3216"/>
      <c r="D48" s="3088" t="b">
        <f>IF(H48="情况1",0,IF(H48="情况2",D52,IF(H48="情况3",D53,IF(H48="情况4",D54))))</f>
        <v>0</v>
      </c>
      <c r="E48" s="3101" t="str">
        <f>IF(H48="情况4","(销售额-原购置价)×税（费）率","销售额×税（费）率")</f>
        <v>销售额×税（费）率</v>
      </c>
      <c r="F48" s="2774">
        <f>IF(H48="情况1","免征",'数据-取费表'!B41)</f>
        <v>5.6000000000000001E-2</v>
      </c>
      <c r="G48" s="2775" t="s">
        <v>2026</v>
      </c>
      <c r="H48" s="2776"/>
      <c r="I48" s="1994"/>
      <c r="J48" s="3091">
        <v>3</v>
      </c>
      <c r="K48" s="3267" t="s">
        <v>2027</v>
      </c>
      <c r="L48" s="3267"/>
      <c r="M48" s="3289">
        <f ca="1">H101</f>
        <v>26775</v>
      </c>
      <c r="N48" s="3289"/>
      <c r="O48" s="3289"/>
    </row>
    <row r="49" spans="1:35" ht="25.5" hidden="1" customHeight="1">
      <c r="A49" s="3100" t="s">
        <v>2028</v>
      </c>
      <c r="B49" s="3200" t="s">
        <v>2029</v>
      </c>
      <c r="C49" s="3200"/>
      <c r="D49" s="1777">
        <v>0</v>
      </c>
      <c r="E49" s="330" t="s">
        <v>2030</v>
      </c>
      <c r="F49" s="3084" t="s">
        <v>34</v>
      </c>
      <c r="G49" s="3273"/>
      <c r="H49" s="2530" t="s">
        <v>2876</v>
      </c>
      <c r="I49" s="2531"/>
      <c r="J49" s="3091">
        <v>4</v>
      </c>
      <c r="K49" s="3267" t="str">
        <f>IF(项目基本情况!E8="房地产抵押价值","房地产抵押价值","抵押担保权已注销时的房地产抵押价值")</f>
        <v>房地产抵押价值</v>
      </c>
      <c r="L49" s="3267"/>
      <c r="M49" s="3289">
        <f ca="1">IF(项目基本情况!E8="房地产抵押价值",H107,H109)</f>
        <v>26775</v>
      </c>
      <c r="N49" s="3289"/>
      <c r="O49" s="3289"/>
    </row>
    <row r="50" spans="1:35" ht="25.5" hidden="1" customHeight="1">
      <c r="A50" s="2777"/>
      <c r="B50" s="3200" t="s">
        <v>2031</v>
      </c>
      <c r="C50" s="3200"/>
      <c r="D50" s="2778"/>
      <c r="E50" s="338"/>
      <c r="F50" s="3084"/>
      <c r="G50" s="3274"/>
      <c r="H50" s="2532" t="s">
        <v>2877</v>
      </c>
      <c r="I50" s="2531"/>
      <c r="J50" s="3286" t="s">
        <v>2032</v>
      </c>
      <c r="K50" s="3286"/>
      <c r="L50" s="3286"/>
      <c r="M50" s="3286"/>
      <c r="N50" s="3286"/>
      <c r="O50" s="3286"/>
    </row>
    <row r="51" spans="1:35" ht="20.45" hidden="1" customHeight="1">
      <c r="A51" s="2779"/>
      <c r="B51" s="3200" t="s">
        <v>2033</v>
      </c>
      <c r="C51" s="3200"/>
      <c r="D51" s="1247"/>
      <c r="E51" s="333"/>
      <c r="F51" s="3084"/>
      <c r="G51" s="3275"/>
      <c r="H51" s="2532" t="s">
        <v>2878</v>
      </c>
      <c r="I51" s="2531"/>
      <c r="J51" s="3087" t="s">
        <v>2034</v>
      </c>
      <c r="K51" s="3267" t="s">
        <v>2035</v>
      </c>
      <c r="L51" s="3267"/>
      <c r="M51" s="3087" t="s">
        <v>2036</v>
      </c>
      <c r="N51" s="3087" t="s">
        <v>2037</v>
      </c>
      <c r="O51" s="3087" t="s">
        <v>2038</v>
      </c>
    </row>
    <row r="52" spans="1:35" ht="24" hidden="1" customHeight="1">
      <c r="A52" s="3102" t="s">
        <v>2039</v>
      </c>
      <c r="B52" s="3200" t="s">
        <v>2040</v>
      </c>
      <c r="C52" s="3200"/>
      <c r="D52" s="1247">
        <f ca="1">ROUND(D45*'数据-取费表'!B41/(1+'数据-取费表'!C42),0)</f>
        <v>1428</v>
      </c>
      <c r="E52" s="3101" t="s">
        <v>2041</v>
      </c>
      <c r="F52" s="2780">
        <f>'数据-取费表'!B41</f>
        <v>5.6000000000000001E-2</v>
      </c>
      <c r="G52" s="2781"/>
      <c r="H52" s="2770"/>
      <c r="I52" s="1995"/>
      <c r="J52" s="3091">
        <v>1</v>
      </c>
      <c r="K52" s="3268" t="s">
        <v>2042</v>
      </c>
      <c r="L52" s="3268"/>
      <c r="M52" s="2751" t="b">
        <f>D48</f>
        <v>0</v>
      </c>
      <c r="N52" s="3091" t="str">
        <f>E48</f>
        <v>销售额×税（费）率</v>
      </c>
      <c r="O52" s="2752">
        <f>F48</f>
        <v>5.6000000000000001E-2</v>
      </c>
    </row>
    <row r="53" spans="1:35" ht="12" hidden="1" customHeight="1">
      <c r="A53" s="3102" t="s">
        <v>2043</v>
      </c>
      <c r="B53" s="3226" t="s">
        <v>3031</v>
      </c>
      <c r="C53" s="3227"/>
      <c r="D53" s="1247">
        <f ca="1">ROUND(D45*'数据-取费表'!B41/(1+'数据-取费表'!C42),0)</f>
        <v>1428</v>
      </c>
      <c r="E53" s="3101" t="s">
        <v>2041</v>
      </c>
      <c r="F53" s="2780">
        <f>'数据-取费表'!B41</f>
        <v>5.6000000000000001E-2</v>
      </c>
      <c r="G53" s="2781"/>
      <c r="H53" s="2770"/>
      <c r="I53" s="1995"/>
      <c r="J53" s="3091">
        <v>2</v>
      </c>
      <c r="K53" s="3268" t="s">
        <v>2044</v>
      </c>
      <c r="L53" s="3268"/>
      <c r="M53" s="2751">
        <f t="shared" ref="M53:O54" ca="1" si="0">D55</f>
        <v>13</v>
      </c>
      <c r="N53" s="3091" t="str">
        <f t="shared" si="0"/>
        <v>销售额×税（费）率</v>
      </c>
      <c r="O53" s="2752" t="str">
        <f t="shared" si="0"/>
        <v>免征</v>
      </c>
    </row>
    <row r="54" spans="1:35" ht="12" hidden="1" customHeight="1">
      <c r="A54" s="3102" t="s">
        <v>2045</v>
      </c>
      <c r="B54" s="3226" t="s">
        <v>3032</v>
      </c>
      <c r="C54" s="3227"/>
      <c r="D54" s="1247">
        <f ca="1">C68</f>
        <v>1428</v>
      </c>
      <c r="E54" s="333" t="s">
        <v>2046</v>
      </c>
      <c r="F54" s="2780">
        <f>'数据-取费表'!B41</f>
        <v>5.6000000000000001E-2</v>
      </c>
      <c r="G54" s="2781"/>
      <c r="H54" s="2782"/>
      <c r="I54" s="1995"/>
      <c r="J54" s="3091">
        <v>3</v>
      </c>
      <c r="K54" s="3268" t="s">
        <v>2047</v>
      </c>
      <c r="L54" s="3268"/>
      <c r="M54" s="2751">
        <f t="shared" ca="1" si="0"/>
        <v>15155</v>
      </c>
      <c r="N54" s="3091" t="str">
        <f t="shared" si="0"/>
        <v>增值额×税（费）率</v>
      </c>
      <c r="O54" s="2753" t="str">
        <f t="shared" si="0"/>
        <v>免征</v>
      </c>
    </row>
    <row r="55" spans="1:35" ht="24" hidden="1" customHeight="1">
      <c r="A55" s="3215" t="s">
        <v>2048</v>
      </c>
      <c r="B55" s="3216"/>
      <c r="C55" s="3216"/>
      <c r="D55" s="3088">
        <f ca="1">IF(H55="个人住宅",0,ROUND(D45*I55,0))</f>
        <v>13</v>
      </c>
      <c r="E55" s="3101" t="s">
        <v>2049</v>
      </c>
      <c r="F55" s="2780" t="str">
        <f>IF(H55="正常",I55,"免征")</f>
        <v>免征</v>
      </c>
      <c r="G55" s="2781"/>
      <c r="H55" s="2776"/>
      <c r="I55" s="170">
        <f>'数据-取费表'!B49</f>
        <v>5.0000000000000001E-4</v>
      </c>
      <c r="J55" s="3091">
        <f>IF(H59="非个人房产","",4)</f>
        <v>4</v>
      </c>
      <c r="K55" s="3268" t="str">
        <f>IF(H59="非个人房产","——","个人所得税")</f>
        <v>个人所得税</v>
      </c>
      <c r="L55" s="3268"/>
      <c r="M55" s="2754">
        <f ca="1">D59</f>
        <v>255</v>
      </c>
      <c r="N55" s="3092" t="str">
        <f>E59</f>
        <v>差额计税</v>
      </c>
      <c r="O55" s="2755">
        <f>F59</f>
        <v>0.01</v>
      </c>
    </row>
    <row r="56" spans="1:35" ht="24.75" hidden="1">
      <c r="A56" s="3215" t="s">
        <v>2050</v>
      </c>
      <c r="B56" s="3216"/>
      <c r="C56" s="3216"/>
      <c r="D56" s="3088">
        <f ca="1">IF(H56="个人住宅",D57,D58)</f>
        <v>15155</v>
      </c>
      <c r="E56" s="3101" t="s">
        <v>2051</v>
      </c>
      <c r="F56" s="2780" t="str">
        <f>IF(H56="正常",F58,"免征")</f>
        <v>免征</v>
      </c>
      <c r="G56" s="2783" t="s">
        <v>2052</v>
      </c>
      <c r="H56" s="2784"/>
      <c r="I56" s="1996"/>
      <c r="J56" s="3091" t="str">
        <f>IF(项目基本情况!K6="上海银行",IF(J55="",4,J55+1),"")</f>
        <v/>
      </c>
      <c r="K56" s="3291" t="str">
        <f>IF(项目基本情况!K6="上海银行","其他处置费用","")</f>
        <v/>
      </c>
      <c r="L56" s="3292"/>
      <c r="M56" s="2751" t="str">
        <f>IF(项目基本情况!K6="上海银行",M69,"")</f>
        <v/>
      </c>
      <c r="N56" s="3291" t="str">
        <f>IF(项目基本情况!K6="上海银行","包含处置中涉及的律师、诉讼、拍卖、评估等费用","")</f>
        <v/>
      </c>
      <c r="O56" s="3294"/>
    </row>
    <row r="57" spans="1:35" ht="12.75" hidden="1">
      <c r="A57" s="3102" t="s">
        <v>2028</v>
      </c>
      <c r="B57" s="3226" t="s">
        <v>2053</v>
      </c>
      <c r="C57" s="3227"/>
      <c r="D57" s="1777">
        <v>0</v>
      </c>
      <c r="E57" s="330" t="s">
        <v>2030</v>
      </c>
      <c r="F57" s="308"/>
      <c r="G57" s="2781"/>
      <c r="H57" s="2785"/>
      <c r="I57" s="1996"/>
      <c r="J57" s="3268">
        <f>IF(AND(J55="",J56=""),4,IF(项目基本情况!K6="上海银行",'结果表 (办公)'!J56+1,'结果表 (办公)'!J55+1))</f>
        <v>5</v>
      </c>
      <c r="K57" s="3268" t="s">
        <v>2054</v>
      </c>
      <c r="L57" s="2756" t="s">
        <v>2055</v>
      </c>
      <c r="M57" s="2757"/>
      <c r="N57" s="2758">
        <f ca="1">SUMIF(M52:M56,"&lt;9e307")</f>
        <v>15423</v>
      </c>
      <c r="O57" s="2759"/>
      <c r="P57" s="2919">
        <f ca="1">N57/M49</f>
        <v>0.57602240896358547</v>
      </c>
    </row>
    <row r="58" spans="1:35" ht="24.75" hidden="1">
      <c r="A58" s="3102" t="s">
        <v>2039</v>
      </c>
      <c r="B58" s="3226" t="s">
        <v>2056</v>
      </c>
      <c r="C58" s="3200"/>
      <c r="D58" s="3088">
        <f ca="1">IF(H58="转让取得",C81,C97)</f>
        <v>15155</v>
      </c>
      <c r="E58" s="3101" t="s">
        <v>2051</v>
      </c>
      <c r="F58" s="308" t="s">
        <v>34</v>
      </c>
      <c r="G58" s="2781"/>
      <c r="H58" s="2784"/>
      <c r="I58" s="1996"/>
      <c r="J58" s="3268"/>
      <c r="K58" s="3268"/>
      <c r="L58" s="2756" t="s">
        <v>2057</v>
      </c>
      <c r="M58" s="2760"/>
      <c r="N58" s="2761" t="str">
        <f ca="1">NUMBERSTRING(INT(N57*10000),2)&amp;"元整"</f>
        <v>壹亿伍仟肆佰贰拾叁万元整</v>
      </c>
      <c r="O58" s="2762"/>
    </row>
    <row r="59" spans="1:35" ht="24.75" hidden="1" thickBot="1">
      <c r="A59" s="3271" t="s">
        <v>2058</v>
      </c>
      <c r="B59" s="3272"/>
      <c r="C59" s="3272"/>
      <c r="D59" s="2786">
        <f ca="1">IF(H59="非个人房产","——",IF(H59="个人住宅（满五唯一有凭证）",0,IF(H59="个人其他（无凭证）",ROUND(D45*F59,0),ROUND(C67*F59,0))))</f>
        <v>255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4"/>
      <c r="I59" s="2533" t="s">
        <v>2879</v>
      </c>
      <c r="J59" s="3269">
        <f>J57+1</f>
        <v>6</v>
      </c>
      <c r="K59" s="3268" t="s">
        <v>2059</v>
      </c>
      <c r="L59" s="3091" t="s">
        <v>2055</v>
      </c>
      <c r="M59" s="2763"/>
      <c r="N59" s="2764">
        <f ca="1">M49-N57</f>
        <v>11352</v>
      </c>
      <c r="O59" s="2765"/>
    </row>
    <row r="60" spans="1:35" ht="12" hidden="1" customHeight="1">
      <c r="A60" s="1997"/>
      <c r="B60" s="1935"/>
      <c r="C60" s="1935"/>
      <c r="D60" s="1935"/>
      <c r="E60" s="1765"/>
      <c r="F60" s="1996"/>
      <c r="G60" s="1996"/>
      <c r="H60" s="1998"/>
      <c r="I60" s="134"/>
      <c r="J60" s="3270"/>
      <c r="K60" s="3268"/>
      <c r="L60" s="2756" t="s">
        <v>2057</v>
      </c>
      <c r="M60" s="2760"/>
      <c r="N60" s="2761" t="str">
        <f ca="1">NUMBERSTRING(INT(N59*10000),2)&amp;"元整"</f>
        <v>壹亿壹仟叁佰伍拾贰万元整</v>
      </c>
      <c r="O60" s="2762"/>
    </row>
    <row r="61" spans="1:35" ht="13.5" hidden="1" thickBot="1">
      <c r="A61" s="3213" t="s">
        <v>2060</v>
      </c>
      <c r="B61" s="3213"/>
      <c r="C61" s="3213"/>
      <c r="D61" s="3213"/>
      <c r="E61" s="3213"/>
      <c r="F61" s="1996"/>
      <c r="G61" s="1996"/>
      <c r="H61" s="1998"/>
      <c r="I61" s="134"/>
      <c r="J61" s="3091">
        <f>J59+1</f>
        <v>7</v>
      </c>
      <c r="K61" s="3268" t="s">
        <v>2061</v>
      </c>
      <c r="L61" s="3268"/>
      <c r="M61" s="2766"/>
      <c r="N61" s="2767">
        <f ca="1">ROUND(N59*10000/'数据-汇总表'!E3,0)</f>
        <v>9487</v>
      </c>
      <c r="O61" s="2768"/>
    </row>
    <row r="62" spans="1:35" ht="12.75" hidden="1">
      <c r="A62" s="3231" t="s">
        <v>2062</v>
      </c>
      <c r="B62" s="3232"/>
      <c r="C62" s="3096"/>
      <c r="D62" s="3096" t="s">
        <v>2063</v>
      </c>
      <c r="E62" s="171" t="s">
        <v>2064</v>
      </c>
      <c r="F62" s="1996"/>
      <c r="G62" s="1996"/>
      <c r="H62" s="1998"/>
      <c r="I62" s="134"/>
    </row>
    <row r="63" spans="1:35" ht="12.75" hidden="1">
      <c r="A63" s="178" t="s">
        <v>775</v>
      </c>
      <c r="B63" s="172" t="s">
        <v>2065</v>
      </c>
      <c r="C63" s="2790">
        <f ca="1">ROUND((C64+C65)/(1+'数据-取费表'!C42),0)</f>
        <v>25500</v>
      </c>
      <c r="D63" s="172"/>
      <c r="E63" s="173"/>
      <c r="F63" s="1996"/>
      <c r="G63" s="1996"/>
      <c r="H63" s="1998"/>
      <c r="I63" s="134"/>
      <c r="J63" s="3293" t="s">
        <v>2066</v>
      </c>
      <c r="K63" s="3089" t="s">
        <v>2067</v>
      </c>
      <c r="L63" s="3089">
        <f ca="1">IF(M49&gt;10000,M49*0.5%,IF(AND(M49&gt;1000,M49&lt;=10000),M49*1%,IF(AND(M49&gt;100,M49&lt;=1000),M49*3%,IF(AND(M49&gt;10,M49&lt;=100),M49*5%,M49*8%))))</f>
        <v>133.875</v>
      </c>
      <c r="M63" s="308">
        <f ca="1">ROUND(L63,1)</f>
        <v>133.9</v>
      </c>
      <c r="N63" s="2769"/>
      <c r="Z63" s="1940"/>
      <c r="AI63" s="1941"/>
    </row>
    <row r="64" spans="1:35" ht="14.25" hidden="1" customHeight="1">
      <c r="A64" s="174" t="s">
        <v>770</v>
      </c>
      <c r="B64" s="175" t="s">
        <v>2068</v>
      </c>
      <c r="C64" s="2791">
        <f ca="1">D45</f>
        <v>26775</v>
      </c>
      <c r="D64" s="175" t="s">
        <v>32</v>
      </c>
      <c r="E64" s="177"/>
      <c r="F64" s="1996"/>
      <c r="G64" s="1996"/>
      <c r="H64" s="1998"/>
      <c r="I64" s="134"/>
      <c r="J64" s="3293"/>
      <c r="K64" s="3089" t="s">
        <v>2069</v>
      </c>
      <c r="L64" s="3089">
        <f ca="1">IF(M49&gt;2000,M49*0.5%,IF(AND(M49&gt;1000,M49&lt;=2000),M49*0.6%,IF(AND(M49&gt;500,M49&lt;=1000),M49*0.7%,IF(AND(M49&gt;200,M49&lt;=500),M49*0.8%,IF(AND(M49&gt;100,M49&lt;=200),M49*0.9%,IF(AND(M49&gt;50,M49&lt;=100),M49*1%,IF(AND(M49&gt;20,M49&lt;=50),M49*1.5%,IF(AND(M49&gt;10,M49&lt;=20),M49*2%,IF(AND(M49&gt;1,M49&lt;=10),M49*2.5%)))))))))</f>
        <v>133.875</v>
      </c>
      <c r="M64" s="308">
        <f t="shared" ref="M64:M65" ca="1" si="1">ROUND(L64,1)</f>
        <v>133.9</v>
      </c>
      <c r="N64" s="2770" t="s">
        <v>2070</v>
      </c>
      <c r="Z64" s="1940"/>
      <c r="AI64" s="1941"/>
    </row>
    <row r="65" spans="1:35" ht="14.25" hidden="1" customHeight="1">
      <c r="A65" s="174" t="s">
        <v>771</v>
      </c>
      <c r="B65" s="175" t="s">
        <v>2071</v>
      </c>
      <c r="C65" s="2792"/>
      <c r="D65" s="175"/>
      <c r="E65" s="177"/>
      <c r="F65" s="1996"/>
      <c r="G65" s="1996"/>
      <c r="H65" s="1998"/>
      <c r="I65" s="134"/>
      <c r="J65" s="3293"/>
      <c r="K65" s="3089" t="s">
        <v>2072</v>
      </c>
      <c r="L65" s="3089">
        <f ca="1">IF(M49&gt;1000,M49*0.1%,IF(AND(M49&gt;500,M49&lt;=1000),M49*0.5%,IF(AND(M49&gt;50,M49&lt;=500),M49*1%,IF(AND(M49&gt;1,M49&lt;=50),M49*1.5%))))</f>
        <v>26.775000000000002</v>
      </c>
      <c r="M65" s="308">
        <f t="shared" ca="1" si="1"/>
        <v>26.8</v>
      </c>
      <c r="N65" s="2770" t="s">
        <v>2070</v>
      </c>
      <c r="Z65" s="1940"/>
      <c r="AI65" s="1941"/>
    </row>
    <row r="66" spans="1:35" ht="14.25" hidden="1" customHeight="1">
      <c r="A66" s="178" t="s">
        <v>772</v>
      </c>
      <c r="B66" s="179" t="s">
        <v>2073</v>
      </c>
      <c r="C66" s="2793"/>
      <c r="D66" s="179" t="s">
        <v>32</v>
      </c>
      <c r="E66" s="1511" t="s">
        <v>1337</v>
      </c>
      <c r="F66" s="1996"/>
      <c r="G66" s="1996"/>
      <c r="H66" s="1998"/>
      <c r="I66" s="134"/>
      <c r="J66" s="3293"/>
      <c r="K66" s="3089" t="s">
        <v>2074</v>
      </c>
      <c r="L66" s="3089">
        <f ca="1">M49*0.5%</f>
        <v>133.875</v>
      </c>
      <c r="M66" s="308">
        <f ca="1">IF(L66&gt;0.5,0.5,ROUND(L66,0))</f>
        <v>0.5</v>
      </c>
      <c r="N66" s="2770" t="s">
        <v>2075</v>
      </c>
      <c r="Z66" s="1940"/>
      <c r="AI66" s="1941"/>
    </row>
    <row r="67" spans="1:35" ht="14.25" hidden="1" customHeight="1">
      <c r="A67" s="178" t="s">
        <v>773</v>
      </c>
      <c r="B67" s="179" t="s">
        <v>2076</v>
      </c>
      <c r="C67" s="2794">
        <f ca="1">C63-C66</f>
        <v>25500</v>
      </c>
      <c r="D67" s="175" t="s">
        <v>32</v>
      </c>
      <c r="E67" s="177"/>
      <c r="F67" s="1996"/>
      <c r="G67" s="1996"/>
      <c r="H67" s="1998"/>
      <c r="I67" s="134"/>
      <c r="J67" s="3293"/>
      <c r="K67" s="3089" t="s">
        <v>2077</v>
      </c>
      <c r="L67" s="3089">
        <f ca="1">IF(M49&gt;=10000,(8.25+(M49-10000)*0.01%),IF(AND(M49&gt;=8000,M49&lt;10000),(7.85+(M49-8000)*0.02%),IF(AND(M49&gt;=5000,M49&lt;8000),(6.65+(M49-5000)*0.04%),IF(AND(M49&gt;=2000,M49&lt;5000),(4.25+(PM49-2000)*0.08%),IF(AND(M49&gt;=1000,M49&lt;2000),(2.75+(M49-1000)*0.15%),IF(AND(M49&gt;=100,M49&lt;1000),(0.5+(M49-100)*0.25%),IF(AND(M49&gt;0,M49&lt;100),M49*0.5%)))))))</f>
        <v>9.9275000000000002</v>
      </c>
      <c r="M67" s="308">
        <f ca="1">ROUND(L67*0.9,1)</f>
        <v>8.9</v>
      </c>
      <c r="N67" s="2769"/>
      <c r="Z67" s="1940"/>
      <c r="AI67" s="1941"/>
    </row>
    <row r="68" spans="1:35" ht="14.25" hidden="1" customHeight="1" thickBot="1">
      <c r="A68" s="181" t="s">
        <v>774</v>
      </c>
      <c r="B68" s="182" t="s">
        <v>2078</v>
      </c>
      <c r="C68" s="2795">
        <f ca="1">IF(C67&lt;=0,0,ROUND(C67*D68,0))</f>
        <v>1428</v>
      </c>
      <c r="D68" s="2796">
        <f>'数据-取费表'!B41</f>
        <v>5.6000000000000001E-2</v>
      </c>
      <c r="E68" s="184"/>
      <c r="F68" s="1996"/>
      <c r="G68" s="1996"/>
      <c r="H68" s="1998"/>
      <c r="I68" s="134"/>
      <c r="J68" s="3293"/>
      <c r="K68" s="3089" t="s">
        <v>2079</v>
      </c>
      <c r="L68" s="3089">
        <f ca="1">IF(M49&gt;10000,M49*0.5%,IF(AND(M49&gt;5000,M49&lt;=10000),M49*1%,IF(AND(M49&gt;1000,M49&lt;=5000),M49*2%,IF(AND(M49&gt;200,M49&lt;=1000),M49*3%,M49*5%))))</f>
        <v>133.875</v>
      </c>
      <c r="M68" s="308">
        <f ca="1">ROUND(L68,1)</f>
        <v>133.9</v>
      </c>
      <c r="N68" s="2769"/>
      <c r="Z68" s="1940"/>
      <c r="AI68" s="1941"/>
    </row>
    <row r="69" spans="1:35" s="1960" customFormat="1" ht="16.5" hidden="1" customHeight="1">
      <c r="A69" s="1999"/>
      <c r="B69" s="2000"/>
      <c r="C69" s="2001"/>
      <c r="D69" s="2002"/>
      <c r="E69" s="2003"/>
      <c r="F69" s="1765"/>
      <c r="G69" s="1765"/>
      <c r="H69" s="1764"/>
      <c r="I69" s="1935"/>
      <c r="J69" s="3293"/>
      <c r="K69" s="3089" t="s">
        <v>2080</v>
      </c>
      <c r="L69" s="3089"/>
      <c r="M69" s="308">
        <f ca="1">ROUND(SUM(M63:M68),0)</f>
        <v>438</v>
      </c>
      <c r="N69" s="2771">
        <f ca="1">M69/M49</f>
        <v>1.6358543417366946E-2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hidden="1" thickBot="1">
      <c r="A70" s="3252" t="s">
        <v>2081</v>
      </c>
      <c r="B70" s="3253"/>
      <c r="C70" s="3253"/>
      <c r="D70" s="3253"/>
      <c r="E70" s="3253"/>
      <c r="F70" s="3253"/>
      <c r="G70" s="3253"/>
      <c r="H70" s="3253"/>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hidden="1">
      <c r="A71" s="3231" t="s">
        <v>2062</v>
      </c>
      <c r="B71" s="3232"/>
      <c r="C71" s="3096"/>
      <c r="D71" s="3096" t="s">
        <v>2063</v>
      </c>
      <c r="E71" s="185" t="s">
        <v>2064</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hidden="1">
      <c r="A72" s="178" t="s">
        <v>775</v>
      </c>
      <c r="B72" s="179" t="s">
        <v>2082</v>
      </c>
      <c r="C72" s="2794">
        <f ca="1">ROUND(D45/(1+'数据-取费表'!C42),0)</f>
        <v>25500</v>
      </c>
      <c r="D72" s="175" t="s">
        <v>32</v>
      </c>
      <c r="E72" s="3098"/>
      <c r="F72" s="3097"/>
      <c r="G72" s="3097"/>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hidden="1">
      <c r="A73" s="178" t="s">
        <v>772</v>
      </c>
      <c r="B73" s="168" t="s">
        <v>2083</v>
      </c>
      <c r="C73" s="2794">
        <f ca="1">C74+C78</f>
        <v>153</v>
      </c>
      <c r="D73" s="175" t="s">
        <v>32</v>
      </c>
      <c r="E73" s="3098"/>
      <c r="F73" s="3097"/>
      <c r="G73" s="3097"/>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hidden="1">
      <c r="A74" s="174" t="s">
        <v>770</v>
      </c>
      <c r="B74" s="175" t="s">
        <v>2084</v>
      </c>
      <c r="C74" s="175">
        <f>ROUND(IF(G77="2016年5月1日后购买",C75/(1+'数据-取费表'!C42)+C76+C77,C75+C76+C77),0)</f>
        <v>0</v>
      </c>
      <c r="D74" s="175" t="s">
        <v>32</v>
      </c>
      <c r="E74" s="3098"/>
      <c r="F74" s="3097"/>
      <c r="G74" s="3097"/>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hidden="1">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hidden="1" customHeight="1">
      <c r="A76" s="174" t="s">
        <v>777</v>
      </c>
      <c r="B76" s="191" t="s">
        <v>2088</v>
      </c>
      <c r="C76" s="175">
        <f>IF(F75="购房发票",ROUND(C75*H75*D76,0),0)</f>
        <v>0</v>
      </c>
      <c r="D76" s="2800">
        <v>0.05</v>
      </c>
      <c r="E76" s="3226" t="s">
        <v>2089</v>
      </c>
      <c r="F76" s="3200"/>
      <c r="G76" s="3200"/>
      <c r="H76" s="325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hidden="1" customHeight="1">
      <c r="A77" s="174" t="s">
        <v>778</v>
      </c>
      <c r="B77" s="175" t="s">
        <v>2090</v>
      </c>
      <c r="C77" s="175">
        <f>ROUND(IF(G77="个人住宅",0,IF(G77="2016年5月1日前购买",C75*D77,C75*D77/(1+'数据-取费表'!C42))),0)</f>
        <v>0</v>
      </c>
      <c r="D77" s="2801">
        <f>'数据-取费表'!B48+'数据-取费表'!B49</f>
        <v>3.0499999999999999E-2</v>
      </c>
      <c r="E77" s="3088" t="s">
        <v>2091</v>
      </c>
      <c r="F77" s="192"/>
      <c r="G77" s="2010"/>
      <c r="H77" s="3099"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hidden="1" customHeight="1">
      <c r="A78" s="174" t="s">
        <v>771</v>
      </c>
      <c r="B78" s="175" t="s">
        <v>2092</v>
      </c>
      <c r="C78" s="2802">
        <f ca="1">ROUND(D45*D78/(1+'数据-取费表'!C42),0)</f>
        <v>153</v>
      </c>
      <c r="D78" s="2803">
        <f>'数据-取费表'!B43</f>
        <v>6.000000000000001E-3</v>
      </c>
      <c r="E78" s="3210" t="s">
        <v>2093</v>
      </c>
      <c r="F78" s="3211"/>
      <c r="G78" s="3211"/>
      <c r="H78" s="3220"/>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hidden="1">
      <c r="A79" s="178" t="s">
        <v>773</v>
      </c>
      <c r="B79" s="179" t="s">
        <v>2094</v>
      </c>
      <c r="C79" s="2794">
        <f ca="1">C72-C73</f>
        <v>25347</v>
      </c>
      <c r="D79" s="175" t="s">
        <v>32</v>
      </c>
      <c r="E79" s="3098"/>
      <c r="F79" s="3097"/>
      <c r="G79" s="3097"/>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hidden="1">
      <c r="A80" s="178" t="s">
        <v>780</v>
      </c>
      <c r="B80" s="179" t="s">
        <v>2095</v>
      </c>
      <c r="C80" s="2804">
        <f ca="1">IF(C79&lt;=0,0,C79/C73)</f>
        <v>165.66666666666666</v>
      </c>
      <c r="D80" s="175" t="s">
        <v>32</v>
      </c>
      <c r="E80" s="3088" t="str">
        <f ca="1">IF(C80&gt;=200%,"增值额超过扣除项目金额200%",IF(C80&gt;=100%,"增值额超过扣除项目金额100%，未超过200%",IF(C80&gt;=50%,"增值额超过扣除项目金额50%，未超过100%",IF(C80&lt;50%,"增值额未超过扣除项目金额50%"))))</f>
        <v>增值额超过扣除项目金额200%</v>
      </c>
      <c r="F80" s="3097"/>
      <c r="G80" s="3097"/>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hidden="1" thickBot="1">
      <c r="A81" s="181" t="s">
        <v>781</v>
      </c>
      <c r="B81" s="182" t="s">
        <v>2096</v>
      </c>
      <c r="C81" s="2805">
        <f ca="1">ROUND(IF(C79&lt;=0,0,IF(C80&gt;=200%,C79*60%-C73*35%,IF(C80&gt;=100%,C79*50%-C73*15%,IF(C80&gt;=50%,C79*40%-C73*5%,IF(C80&lt;50%,C79*30%,0))))),0)</f>
        <v>15155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hidden="1"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hidden="1" thickBot="1">
      <c r="A83" s="3252" t="s">
        <v>2097</v>
      </c>
      <c r="B83" s="3253"/>
      <c r="C83" s="3253"/>
      <c r="D83" s="3253"/>
      <c r="E83" s="3253"/>
      <c r="F83" s="3253"/>
      <c r="G83" s="3253"/>
      <c r="H83" s="325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hidden="1">
      <c r="A84" s="3231" t="s">
        <v>2062</v>
      </c>
      <c r="B84" s="3232"/>
      <c r="C84" s="3096"/>
      <c r="D84" s="3096"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hidden="1">
      <c r="A85" s="178" t="s">
        <v>775</v>
      </c>
      <c r="B85" s="179" t="s">
        <v>2082</v>
      </c>
      <c r="C85" s="2794">
        <f ca="1">ROUND(D45/(1+'数据-取费表'!C42),0)</f>
        <v>25500</v>
      </c>
      <c r="D85" s="175" t="s">
        <v>32</v>
      </c>
      <c r="E85" s="3098"/>
      <c r="F85" s="3097"/>
      <c r="G85" s="3097"/>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hidden="1">
      <c r="A86" s="178" t="s">
        <v>772</v>
      </c>
      <c r="B86" s="168" t="s">
        <v>2083</v>
      </c>
      <c r="C86" s="2794">
        <f ca="1">IF(H88="仅含出让金",C87+C90+C91+C92+C93+C94,C87+C91+C92+C93+C94)</f>
        <v>153</v>
      </c>
      <c r="D86" s="2807"/>
      <c r="E86" s="3098"/>
      <c r="F86" s="3097"/>
      <c r="G86" s="3097"/>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hidden="1">
      <c r="A87" s="174" t="s">
        <v>770</v>
      </c>
      <c r="B87" s="175" t="s">
        <v>2098</v>
      </c>
      <c r="C87" s="2802">
        <f>C88+C89</f>
        <v>0</v>
      </c>
      <c r="D87" s="2803"/>
      <c r="E87" s="3093"/>
      <c r="F87" s="3094"/>
      <c r="G87" s="3094"/>
      <c r="H87" s="3095"/>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hidden="1">
      <c r="A88" s="174" t="s">
        <v>776</v>
      </c>
      <c r="B88" s="175" t="s">
        <v>2099</v>
      </c>
      <c r="C88" s="2808"/>
      <c r="D88" s="2803"/>
      <c r="E88" s="199" t="s">
        <v>2100</v>
      </c>
      <c r="F88" s="3094"/>
      <c r="G88" s="200" t="s">
        <v>2101</v>
      </c>
      <c r="H88" s="2012"/>
      <c r="I88" s="2009"/>
      <c r="J88" s="2747" t="s">
        <v>3028</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hidden="1">
      <c r="A89" s="174" t="s">
        <v>777</v>
      </c>
      <c r="B89" s="175" t="s">
        <v>2090</v>
      </c>
      <c r="C89" s="2802">
        <f>ROUND(C88*D89,0)</f>
        <v>0</v>
      </c>
      <c r="D89" s="2803">
        <f>'数据-取费表'!B48+'数据-取费表'!B49</f>
        <v>3.0499999999999999E-2</v>
      </c>
      <c r="E89" s="199" t="s">
        <v>2102</v>
      </c>
      <c r="F89" s="3094"/>
      <c r="G89" s="3094"/>
      <c r="H89" s="3095"/>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hidden="1">
      <c r="A90" s="174" t="s">
        <v>771</v>
      </c>
      <c r="B90" s="175" t="s">
        <v>2103</v>
      </c>
      <c r="C90" s="2808"/>
      <c r="D90" s="2803"/>
      <c r="E90" s="199" t="str">
        <f>IF(H88="-","土地取得成本中已包含该笔费用"," ")</f>
        <v xml:space="preserve"> </v>
      </c>
      <c r="F90" s="3094"/>
      <c r="G90" s="3295" t="s">
        <v>2871</v>
      </c>
      <c r="H90" s="3296"/>
      <c r="I90" s="2009"/>
      <c r="J90" s="2747" t="s">
        <v>3029</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hidden="1" customHeight="1">
      <c r="A91" s="174" t="s">
        <v>2104</v>
      </c>
      <c r="B91" s="175" t="s">
        <v>2105</v>
      </c>
      <c r="C91" s="2802">
        <f>IF(H91="——",成本法!C33,I91)</f>
        <v>0</v>
      </c>
      <c r="D91" s="2803"/>
      <c r="E91" s="3210" t="s">
        <v>2106</v>
      </c>
      <c r="F91" s="3211"/>
      <c r="G91" s="3211"/>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hidden="1" customHeight="1">
      <c r="A92" s="174" t="s">
        <v>2107</v>
      </c>
      <c r="B92" s="175" t="s">
        <v>2108</v>
      </c>
      <c r="C92" s="2802">
        <f>ROUND((C87+C90+C91)*D92,0)</f>
        <v>0</v>
      </c>
      <c r="D92" s="2809"/>
      <c r="E92" s="3210" t="s">
        <v>2109</v>
      </c>
      <c r="F92" s="3211"/>
      <c r="G92" s="3211"/>
      <c r="H92" s="3220"/>
      <c r="I92" s="2009"/>
      <c r="J92" s="2748" t="s">
        <v>3030</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hidden="1" customHeight="1">
      <c r="A93" s="174" t="s">
        <v>2110</v>
      </c>
      <c r="B93" s="175" t="s">
        <v>2092</v>
      </c>
      <c r="C93" s="2802">
        <f ca="1">ROUND(D45*D93/(1+'数据-取费表'!C42),0)</f>
        <v>153</v>
      </c>
      <c r="D93" s="2803">
        <f>'数据-取费表'!B43</f>
        <v>6.000000000000001E-3</v>
      </c>
      <c r="E93" s="3210" t="s">
        <v>2093</v>
      </c>
      <c r="F93" s="3211"/>
      <c r="G93" s="3211"/>
      <c r="H93" s="3220"/>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hidden="1" customHeight="1">
      <c r="A94" s="174" t="s">
        <v>2111</v>
      </c>
      <c r="B94" s="175" t="s">
        <v>2112</v>
      </c>
      <c r="C94" s="2808">
        <f>ROUND((C87+C90+C91)*D94,0)</f>
        <v>0</v>
      </c>
      <c r="D94" s="2803">
        <v>0.2</v>
      </c>
      <c r="E94" s="3221" t="s">
        <v>2113</v>
      </c>
      <c r="F94" s="3222"/>
      <c r="G94" s="3222"/>
      <c r="H94" s="322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hidden="1">
      <c r="A95" s="178" t="s">
        <v>773</v>
      </c>
      <c r="B95" s="179" t="s">
        <v>2094</v>
      </c>
      <c r="C95" s="2794">
        <f ca="1">ROUND(C85-C86,0)</f>
        <v>25347</v>
      </c>
      <c r="D95" s="175" t="s">
        <v>32</v>
      </c>
      <c r="E95" s="3098"/>
      <c r="F95" s="3097"/>
      <c r="G95" s="3097"/>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hidden="1">
      <c r="A96" s="178" t="s">
        <v>780</v>
      </c>
      <c r="B96" s="179" t="s">
        <v>2095</v>
      </c>
      <c r="C96" s="2804">
        <f ca="1">IF(C95&lt;=0,0,C95/C86)</f>
        <v>165.66666666666666</v>
      </c>
      <c r="D96" s="175" t="s">
        <v>32</v>
      </c>
      <c r="E96" s="3088" t="str">
        <f ca="1">IF(C96&gt;=200%,"增值额超过扣除项目金额200%",IF(C96&gt;=100%,"增值额超过扣除项目金额100%，未超过200%",IF(C96&gt;=50%,"增值额超过扣除项目金额50%，未超过100%",IF(C96&lt;50%,"增值额未超过扣除项目金额50%"))))</f>
        <v>增值额超过扣除项目金额200%</v>
      </c>
      <c r="F96" s="3097"/>
      <c r="G96" s="3097"/>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hidden="1" thickBot="1">
      <c r="A97" s="181" t="s">
        <v>781</v>
      </c>
      <c r="B97" s="182" t="s">
        <v>2096</v>
      </c>
      <c r="C97" s="2805">
        <f ca="1">ROUND(IF(C95&lt;=0,0,IF(C96&gt;=200%,C95*60%-C86*35%,IF(C96&gt;=100%,C95*50%-C86*15%,IF(C96&gt;=50%,C95*40%-C86*5%,IF(C96&lt;50%,C95*30%,0))))),0)</f>
        <v>15155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hidden="1"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94" t="s">
        <v>2115</v>
      </c>
      <c r="B100" s="3195"/>
      <c r="C100" s="3195"/>
      <c r="D100" s="3212"/>
      <c r="E100" s="3195" t="s">
        <v>2116</v>
      </c>
      <c r="F100" s="3195"/>
      <c r="G100" s="3195"/>
      <c r="H100" s="3212"/>
      <c r="I100" s="134"/>
    </row>
    <row r="101" spans="1:35" ht="18.75" customHeight="1">
      <c r="A101" s="3276" t="s">
        <v>2117</v>
      </c>
      <c r="B101" s="3277"/>
      <c r="C101" s="2811" t="str">
        <f>C4</f>
        <v>成本法 (办公)</v>
      </c>
      <c r="D101" s="2812" t="str">
        <f>D4</f>
        <v>收益法（办公）</v>
      </c>
      <c r="E101" s="3290" t="s">
        <v>2118</v>
      </c>
      <c r="F101" s="3244"/>
      <c r="G101" s="2015" t="s">
        <v>2119</v>
      </c>
      <c r="H101" s="2821">
        <f ca="1">H118</f>
        <v>26775</v>
      </c>
      <c r="I101" s="134"/>
    </row>
    <row r="102" spans="1:35" ht="18.75" customHeight="1">
      <c r="A102" s="3246" t="s">
        <v>2120</v>
      </c>
      <c r="B102" s="2810" t="s">
        <v>2119</v>
      </c>
      <c r="C102" s="2811">
        <f ca="1">C19</f>
        <v>25778</v>
      </c>
      <c r="D102" s="2812">
        <f ca="1">D19</f>
        <v>27772</v>
      </c>
      <c r="E102" s="3290"/>
      <c r="F102" s="3244"/>
      <c r="G102" s="2015" t="s">
        <v>2121</v>
      </c>
      <c r="H102" s="2781">
        <f ca="1">I118</f>
        <v>25360</v>
      </c>
      <c r="I102" s="134"/>
    </row>
    <row r="103" spans="1:35" ht="42.75" customHeight="1">
      <c r="A103" s="3246"/>
      <c r="B103" s="2810" t="s">
        <v>2121</v>
      </c>
      <c r="C103" s="2813">
        <f ca="1">C20</f>
        <v>24415</v>
      </c>
      <c r="D103" s="2814">
        <f ca="1">D20</f>
        <v>26304</v>
      </c>
      <c r="E103" s="3284" t="s">
        <v>2122</v>
      </c>
      <c r="F103" s="3285"/>
      <c r="G103" s="2016" t="s">
        <v>2123</v>
      </c>
      <c r="H103" s="2821">
        <f>IF(D36="正常操作",H104+H105+H106,H105+H106)</f>
        <v>0</v>
      </c>
      <c r="I103" s="134"/>
    </row>
    <row r="104" spans="1:35" ht="18.75" customHeight="1">
      <c r="A104" s="3246" t="s">
        <v>2124</v>
      </c>
      <c r="B104" s="2815" t="s">
        <v>2119</v>
      </c>
      <c r="C104" s="2816">
        <f ca="1">H118</f>
        <v>26775</v>
      </c>
      <c r="D104" s="2817"/>
      <c r="E104" s="1862" t="s">
        <v>2125</v>
      </c>
      <c r="F104" s="1853"/>
      <c r="G104" s="2016" t="s">
        <v>2123</v>
      </c>
      <c r="H104" s="2822">
        <f>IF(D36="同一抵押权人同一抵押物续贷",C36&amp;"（续贷，未扣减，详见特别提示）",C36)</f>
        <v>0</v>
      </c>
      <c r="I104" s="134"/>
    </row>
    <row r="105" spans="1:35" ht="18.75" customHeight="1" thickBot="1">
      <c r="A105" s="3247"/>
      <c r="B105" s="2818" t="s">
        <v>2121</v>
      </c>
      <c r="C105" s="2819">
        <f ca="1">I118</f>
        <v>25360</v>
      </c>
      <c r="D105" s="2820"/>
      <c r="E105" s="1862" t="s">
        <v>2126</v>
      </c>
      <c r="F105" s="1853"/>
      <c r="G105" s="2016" t="s">
        <v>2123</v>
      </c>
      <c r="H105" s="2823">
        <f>C37</f>
        <v>0</v>
      </c>
      <c r="I105" s="134"/>
    </row>
    <row r="106" spans="1:35" ht="18.75" customHeight="1">
      <c r="A106" s="1935" t="s">
        <v>2127</v>
      </c>
      <c r="B106" s="1935"/>
      <c r="C106" s="1935"/>
      <c r="D106" s="1935"/>
      <c r="E106" s="2017" t="s">
        <v>2128</v>
      </c>
      <c r="F106" s="1853"/>
      <c r="G106" s="2016" t="s">
        <v>2123</v>
      </c>
      <c r="H106" s="2823">
        <f>C38</f>
        <v>0</v>
      </c>
      <c r="I106" s="134"/>
    </row>
    <row r="107" spans="1:35" ht="18.75" customHeight="1">
      <c r="A107" s="134"/>
      <c r="B107" s="134"/>
      <c r="C107" s="134"/>
      <c r="D107" s="134"/>
      <c r="E107" s="3243" t="str">
        <f>IF(项目基本情况!E8="已注销","——","3.房地产抵押价值")</f>
        <v>3.房地产抵押价值</v>
      </c>
      <c r="F107" s="3244"/>
      <c r="G107" s="2015" t="s">
        <v>2119</v>
      </c>
      <c r="H107" s="2821">
        <f ca="1">IF(E107="——","——",H101-H103)</f>
        <v>26775</v>
      </c>
      <c r="I107" s="134"/>
    </row>
    <row r="108" spans="1:35" ht="18.75" customHeight="1">
      <c r="A108" s="134"/>
      <c r="B108" s="134"/>
      <c r="C108" s="134"/>
      <c r="D108" s="134"/>
      <c r="E108" s="3243"/>
      <c r="F108" s="3244"/>
      <c r="G108" s="2015" t="s">
        <v>2121</v>
      </c>
      <c r="H108" s="2781">
        <f ca="1">ROUND(H107*10000/'数据-汇总表'!E3,0)</f>
        <v>22376</v>
      </c>
      <c r="I108" s="134"/>
    </row>
    <row r="109" spans="1:35" ht="18.75" customHeight="1">
      <c r="A109" s="134"/>
      <c r="B109" s="134"/>
      <c r="C109" s="134"/>
      <c r="D109" s="134"/>
      <c r="E109" s="3243" t="str">
        <f>IF(项目基本情况!E8="已注销及未注销","4.抵押担保权已注销时的房地产抵押价值",IF(项目基本情况!E8="已注销","3.抵押担保权已注销时的房地产抵押价值","——"))</f>
        <v>——</v>
      </c>
      <c r="F109" s="3244"/>
      <c r="G109" s="2015" t="s">
        <v>2119</v>
      </c>
      <c r="H109" s="2824" t="str">
        <f>IF(E109="——","——",H101-H105-H106)</f>
        <v>——</v>
      </c>
      <c r="I109" s="134"/>
    </row>
    <row r="110" spans="1:35" ht="18.75" customHeight="1">
      <c r="A110" s="134"/>
      <c r="B110" s="134"/>
      <c r="C110" s="134"/>
      <c r="D110" s="134"/>
      <c r="E110" s="3243"/>
      <c r="F110" s="3244"/>
      <c r="G110" s="2015" t="s">
        <v>2121</v>
      </c>
      <c r="H110" s="2781" t="str">
        <f>IF(H109="——","——",ROUND(H109*10000/'数据-汇总表'!E3,0))</f>
        <v>——</v>
      </c>
      <c r="I110" s="134"/>
    </row>
    <row r="111" spans="1:35" ht="18.75" customHeight="1">
      <c r="A111" s="134"/>
      <c r="B111" s="134"/>
      <c r="C111" s="134"/>
      <c r="D111" s="134"/>
      <c r="E111" s="3278" t="str">
        <f>IF(项目基本情况!E9="抵押净值",IF(OR(项目基本情况!E8="已注销",项目基本情况!E8="房地产抵押价值"),"4.抵押净值","5.抵押净值"),"——")</f>
        <v>——</v>
      </c>
      <c r="F111" s="3245"/>
      <c r="G111" s="2015" t="s">
        <v>2119</v>
      </c>
      <c r="H111" s="2821" t="str">
        <f>IF(E111="——","——",N59)</f>
        <v>——</v>
      </c>
      <c r="I111" s="134"/>
    </row>
    <row r="112" spans="1:35" ht="18.75" customHeight="1" thickBot="1">
      <c r="A112" s="134"/>
      <c r="B112" s="134"/>
      <c r="C112" s="134"/>
      <c r="D112" s="134"/>
      <c r="E112" s="3279"/>
      <c r="F112" s="3280"/>
      <c r="G112" s="2018" t="s">
        <v>2121</v>
      </c>
      <c r="H112" s="2825" t="str">
        <f>IF(E111="——","——",N61)</f>
        <v>——</v>
      </c>
      <c r="I112" s="134"/>
    </row>
    <row r="113" spans="1:27" ht="18.75" customHeight="1">
      <c r="A113" s="134"/>
      <c r="B113" s="134"/>
      <c r="C113" s="134"/>
      <c r="D113" s="134"/>
      <c r="E113" s="3248" t="s">
        <v>2127</v>
      </c>
      <c r="F113" s="3248"/>
      <c r="G113" s="3248"/>
      <c r="H113" s="3248"/>
      <c r="I113" s="134"/>
    </row>
    <row r="114" spans="1:27" ht="3.75" customHeight="1">
      <c r="A114" s="1935"/>
      <c r="B114" s="1935"/>
      <c r="C114" s="1935"/>
      <c r="D114" s="1935"/>
      <c r="E114" s="1997"/>
      <c r="F114" s="1997"/>
      <c r="G114" s="1997"/>
      <c r="H114" s="1997"/>
      <c r="I114" s="1935"/>
    </row>
    <row r="115" spans="1:27" ht="18.75" customHeight="1">
      <c r="A115" s="3261" t="s">
        <v>2129</v>
      </c>
      <c r="B115" s="3262"/>
      <c r="C115" s="3262"/>
      <c r="D115" s="3262"/>
      <c r="E115" s="3262"/>
      <c r="F115" s="3262"/>
      <c r="G115" s="3262"/>
      <c r="H115" s="3262"/>
      <c r="I115" s="3263"/>
    </row>
    <row r="116" spans="1:27" ht="27" customHeight="1">
      <c r="A116" s="3214" t="s">
        <v>2130</v>
      </c>
      <c r="B116" s="3249" t="s">
        <v>2131</v>
      </c>
      <c r="C116" s="3249" t="s">
        <v>2132</v>
      </c>
      <c r="D116" s="3265" t="s">
        <v>2133</v>
      </c>
      <c r="E116" s="3266"/>
      <c r="F116" s="3257" t="s">
        <v>2134</v>
      </c>
      <c r="G116" s="3257"/>
      <c r="H116" s="3214" t="s">
        <v>2135</v>
      </c>
      <c r="I116" s="3214"/>
    </row>
    <row r="117" spans="1:27" ht="18.75" customHeight="1">
      <c r="A117" s="3214"/>
      <c r="B117" s="3250"/>
      <c r="C117" s="3250"/>
      <c r="D117" s="3090" t="s">
        <v>2136</v>
      </c>
      <c r="E117" s="3090" t="s">
        <v>2137</v>
      </c>
      <c r="F117" s="3090" t="s">
        <v>2136</v>
      </c>
      <c r="G117" s="3090" t="s">
        <v>2138</v>
      </c>
      <c r="H117" s="3090" t="s">
        <v>2136</v>
      </c>
      <c r="I117" s="3090" t="s">
        <v>2138</v>
      </c>
    </row>
    <row r="118" spans="1:27" ht="24.75" customHeight="1">
      <c r="A118" s="2826" t="str">
        <f>项目基本情况!S2</f>
        <v>北京市房地产</v>
      </c>
      <c r="B118" s="3090">
        <f>M18</f>
        <v>10558.08</v>
      </c>
      <c r="C118" s="3090">
        <f>M19</f>
        <v>2127.83</v>
      </c>
      <c r="D118" s="3090">
        <f ca="1">ROUND(IF(D32="总价",C34,E118*B118/10000),0)</f>
        <v>21929</v>
      </c>
      <c r="E118" s="3090">
        <f ca="1">ROUND(IF(C33="自定义",IF(D32="楼面单价",C34,D118*10000/B118),I118-G118),0)</f>
        <v>20770</v>
      </c>
      <c r="F118" s="3090">
        <f ca="1">ROUND(IF(D32="总价",C35,G118*B118/10000),0)</f>
        <v>4846</v>
      </c>
      <c r="G118" s="3090">
        <f ca="1">ROUND(IF(D32="楼面单价",C35,F118*10000/B118),0)</f>
        <v>4590</v>
      </c>
      <c r="H118" s="3090">
        <f ca="1">ROUND(IF(D32="总价",C32,I118*B118/10000),0)</f>
        <v>26775</v>
      </c>
      <c r="I118" s="3090">
        <f ca="1">ROUND(IF(D32="楼面单价",C32,H118*10000/B118),0)</f>
        <v>25360</v>
      </c>
      <c r="J118" s="734">
        <f>25360-4590</f>
        <v>20770</v>
      </c>
    </row>
    <row r="119" spans="1:27" ht="18.75" customHeight="1">
      <c r="A119" s="3214" t="s">
        <v>2139</v>
      </c>
      <c r="B119" s="3214"/>
      <c r="C119" s="3214"/>
      <c r="D119" s="3254" t="str">
        <f ca="1">NUMBERSTRING(INT(D118*10000),2)&amp;"元整"</f>
        <v>贰亿壹仟玖佰贰拾玖万元整</v>
      </c>
      <c r="E119" s="3256"/>
      <c r="F119" s="3254" t="str">
        <f ca="1">NUMBERSTRING(INT(F118*10000),2)&amp;"元整"</f>
        <v>肆仟捌佰肆拾陆万元整</v>
      </c>
      <c r="G119" s="3256"/>
      <c r="H119" s="3254" t="str">
        <f ca="1">NUMBERSTRING(INT(H118*10000),2)&amp;"元整"</f>
        <v>贰亿陆仟柒佰柒拾伍万元整</v>
      </c>
      <c r="I119" s="3256"/>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58" t="s">
        <v>2139</v>
      </c>
      <c r="B121" s="3259"/>
      <c r="C121" s="3260"/>
      <c r="D121" s="3254" t="str">
        <f>IF(D120=0,"零元整",NUMBERSTRING(INT(D120*10000),2)&amp;"元整")</f>
        <v>零元整</v>
      </c>
      <c r="E121" s="3255"/>
      <c r="F121" s="3255"/>
      <c r="G121" s="3255"/>
      <c r="H121" s="3255"/>
      <c r="I121" s="3256"/>
      <c r="AA121" s="734"/>
    </row>
    <row r="122" spans="1:27" ht="18.75" customHeight="1">
      <c r="A122" s="3245" t="str">
        <f>IF(项目基本情况!B9="房地产市场价值","",MID(E107,3,LEN(E107)-2))</f>
        <v>房地产抵押价值</v>
      </c>
      <c r="B122" s="3245"/>
      <c r="C122" s="3245"/>
      <c r="D122" s="3281">
        <f ca="1">H107</f>
        <v>26775</v>
      </c>
      <c r="E122" s="3282"/>
      <c r="F122" s="3282"/>
      <c r="G122" s="3282"/>
      <c r="H122" s="3282"/>
      <c r="I122" s="3283"/>
      <c r="AA122" s="734"/>
    </row>
    <row r="123" spans="1:27" ht="18.75" customHeight="1">
      <c r="A123" s="3214" t="s">
        <v>2139</v>
      </c>
      <c r="B123" s="3214"/>
      <c r="C123" s="3214"/>
      <c r="D123" s="3254" t="str">
        <f ca="1">NUMBERSTRING(INT(D122*10000),2)&amp;"元整"</f>
        <v>贰亿陆仟柒佰柒拾伍万元整</v>
      </c>
      <c r="E123" s="3255"/>
      <c r="F123" s="3255"/>
      <c r="G123" s="3255"/>
      <c r="H123" s="3255"/>
      <c r="I123" s="3256"/>
      <c r="AA123" s="734"/>
    </row>
    <row r="124" spans="1:27" ht="18.75" customHeight="1">
      <c r="A124" s="3245" t="str">
        <f>IF(项目基本情况!B9="房地产市场价值","",MID(E109,3,LEN(E109)-2))</f>
        <v/>
      </c>
      <c r="B124" s="3245"/>
      <c r="C124" s="3245"/>
      <c r="D124" s="3281" t="str">
        <f>H109</f>
        <v>——</v>
      </c>
      <c r="E124" s="3282"/>
      <c r="F124" s="3282"/>
      <c r="G124" s="3282"/>
      <c r="H124" s="3282"/>
      <c r="I124" s="3283"/>
      <c r="AA124" s="734"/>
    </row>
    <row r="125" spans="1:27" ht="18.75" customHeight="1">
      <c r="A125" s="3214" t="s">
        <v>2139</v>
      </c>
      <c r="B125" s="3214"/>
      <c r="C125" s="3214"/>
      <c r="D125" s="3254" t="e">
        <f>NUMBERSTRING(INT(D124*10000),2)&amp;"元整"</f>
        <v>#VALUE!</v>
      </c>
      <c r="E125" s="3255"/>
      <c r="F125" s="3255"/>
      <c r="G125" s="3255"/>
      <c r="H125" s="3255"/>
      <c r="I125" s="3256"/>
      <c r="AA125" s="734"/>
    </row>
    <row r="126" spans="1:27" ht="18.75" customHeight="1">
      <c r="A126" s="3245" t="str">
        <f>IF(项目基本情况!B9="房地产市场价值","",MID(E111,3,LEN(E111)-2))</f>
        <v/>
      </c>
      <c r="B126" s="3245"/>
      <c r="C126" s="3245"/>
      <c r="D126" s="3281" t="str">
        <f>H111</f>
        <v>——</v>
      </c>
      <c r="E126" s="3282"/>
      <c r="F126" s="3282"/>
      <c r="G126" s="3282"/>
      <c r="H126" s="3282"/>
      <c r="I126" s="3283"/>
      <c r="AA126" s="734"/>
    </row>
    <row r="127" spans="1:27" ht="18.75" customHeight="1">
      <c r="A127" s="3214" t="s">
        <v>2139</v>
      </c>
      <c r="B127" s="3214"/>
      <c r="C127" s="3214"/>
      <c r="D127" s="3254" t="e">
        <f>NUMBERSTRING(INT(D126*10000),2)&amp;"元整"</f>
        <v>#VALUE!</v>
      </c>
      <c r="E127" s="3255"/>
      <c r="F127" s="3255"/>
      <c r="G127" s="3255"/>
      <c r="H127" s="3255"/>
      <c r="I127" s="3256"/>
      <c r="AA127" s="734"/>
    </row>
    <row r="128" spans="1:27" ht="21.75" customHeight="1">
      <c r="A128" s="3264" t="s">
        <v>2140</v>
      </c>
      <c r="B128" s="3264"/>
      <c r="C128" s="3264"/>
      <c r="D128" s="3264"/>
      <c r="E128" s="3264"/>
      <c r="F128" s="3264"/>
      <c r="G128" s="3264"/>
      <c r="H128" s="3264"/>
      <c r="I128" s="3264"/>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xr:uid="{9897A8E5-A2A9-4CFA-AA39-7DA6165E40D9}">
      <formula1>"0,5%,10%"</formula1>
    </dataValidation>
    <dataValidation type="list" allowBlank="1" showInputMessage="1" showErrorMessage="1" sqref="H59" xr:uid="{A37C113C-755A-4723-B222-C4824A0DC78A}">
      <formula1>"非个人房产,个人住宅（满五唯一有凭证）,个人其他（有凭证）,个人其他（无凭证）"</formula1>
    </dataValidation>
    <dataValidation type="list" allowBlank="1" showInputMessage="1" showErrorMessage="1" sqref="E103" xr:uid="{A860D31E-7085-468A-A3A4-F591951C8A0D}">
      <formula1>"2.估价师知悉的法定优先受偿款,2.估价师知悉的除抵押担保权以外的法定优先受偿款"</formula1>
    </dataValidation>
    <dataValidation type="list" allowBlank="1" showInputMessage="1" showErrorMessage="1" sqref="G77" xr:uid="{413E9FF8-F2D1-42A8-8BAE-395EC3E91F33}">
      <formula1>"个人住宅,2016年5月1日前购买,2016年5月1日后购买"</formula1>
    </dataValidation>
    <dataValidation type="list" allowBlank="1" showInputMessage="1" showErrorMessage="1" sqref="C1" xr:uid="{0FCF209B-D67F-4784-A0AD-C1DF0790ADAB}">
      <formula1>项目类型</formula1>
    </dataValidation>
    <dataValidation type="list" allowBlank="1" showInputMessage="1" showErrorMessage="1" sqref="I1" xr:uid="{D00E9D88-340F-4064-8BE9-D792CC694789}">
      <formula1>"项目局部,项目全部,——"</formula1>
    </dataValidation>
    <dataValidation type="list" showInputMessage="1" showErrorMessage="1" sqref="G1" xr:uid="{A75D1AEB-FAF3-4F60-991E-3103D8FF7919}">
      <formula1>"现房,在建,土地,-"</formula1>
    </dataValidation>
    <dataValidation type="list" allowBlank="1" showInputMessage="1" showErrorMessage="1" sqref="C129" xr:uid="{31C74F98-18BE-4155-8D61-018AC485C19B}">
      <formula1>"无,有"</formula1>
    </dataValidation>
    <dataValidation type="list" allowBlank="1" showInputMessage="1" showErrorMessage="1" sqref="F116:G116" xr:uid="{2BA01262-F47C-457B-B790-B1378E852421}">
      <formula1>"建筑物价值,在建建筑物价值,建筑物/在建建筑物价值"</formula1>
    </dataValidation>
    <dataValidation type="list" allowBlank="1" showInputMessage="1" showErrorMessage="1" sqref="D116:E116" xr:uid="{5585F095-C3D2-41FF-A383-518E222FC40E}">
      <formula1>"出让国有建设用地使用权价值,划拨国有建设用地使用权价值"</formula1>
    </dataValidation>
    <dataValidation type="list" allowBlank="1" showInputMessage="1" showErrorMessage="1" sqref="C116:C117" xr:uid="{028B02CF-00B9-4707-9901-3105B82D5BD2}">
      <formula1>"土地面积,分摊土地面积,（分摊）土地面积"</formula1>
    </dataValidation>
    <dataValidation type="list" allowBlank="1" showInputMessage="1" showErrorMessage="1" sqref="B116:B117" xr:uid="{2699BD92-C0E4-4152-BB0F-AA5F4D4ACD88}">
      <formula1>"建筑面积,规划建筑面积,（规划）建筑面积"</formula1>
    </dataValidation>
    <dataValidation type="list" allowBlank="1" showInputMessage="1" showErrorMessage="1" sqref="D36" xr:uid="{611949F3-F76D-4E5E-83C8-DBA0EDA79B2B}">
      <formula1>"同一抵押权人同一抵押物续贷,注销后放款,正常操作"</formula1>
    </dataValidation>
    <dataValidation type="list" allowBlank="1" showInputMessage="1" showErrorMessage="1" sqref="F75" xr:uid="{60C69C20-422A-4DDD-8673-59F1DAA6090F}">
      <formula1>"买卖合同,购房发票"</formula1>
    </dataValidation>
    <dataValidation type="list" allowBlank="1" showInputMessage="1" showErrorMessage="1" sqref="H88" xr:uid="{B8636EAF-CF9C-45E6-B685-92125B48079D}">
      <formula1>"仅含出让金,出让金+开发费"</formula1>
    </dataValidation>
    <dataValidation type="list" allowBlank="1" showInputMessage="1" showErrorMessage="1" sqref="H91" xr:uid="{712FEFC5-1684-489C-91E2-DEF731062369}">
      <formula1>"企业提供（在右侧录入）,——"</formula1>
    </dataValidation>
    <dataValidation type="list" allowBlank="1" showInputMessage="1" showErrorMessage="1" sqref="C33" xr:uid="{A1339C07-09D6-4A70-9C32-E82A340609AF}">
      <formula1>"成本比率,收益比率,自定义"</formula1>
    </dataValidation>
    <dataValidation type="list" allowBlank="1" showInputMessage="1" showErrorMessage="1" sqref="F45" xr:uid="{996B37E4-1EA9-48F2-81DD-07281686B1C0}">
      <formula1>"100%,80%,60%,64%"</formula1>
    </dataValidation>
    <dataValidation type="list" allowBlank="1" showInputMessage="1" showErrorMessage="1" sqref="D32" xr:uid="{6C64BBD1-7C6F-43B9-B43E-CADA14B0A65E}">
      <formula1>"总价,楼面单价"</formula1>
    </dataValidation>
    <dataValidation type="list" allowBlank="1" showInputMessage="1" showErrorMessage="1" sqref="H58" xr:uid="{A8177B78-B114-43BC-A62A-F4A8B8446C73}">
      <formula1>"转让取得,自行开发建设"</formula1>
    </dataValidation>
    <dataValidation type="list" allowBlank="1" showInputMessage="1" showErrorMessage="1" sqref="H48" xr:uid="{F84FC710-6352-429C-B169-EB879E213AB5}">
      <formula1>"情况1,情况2,情况3,情况4"</formula1>
    </dataValidation>
    <dataValidation type="list" allowBlank="1" showInputMessage="1" showErrorMessage="1" sqref="H55:H56" xr:uid="{340956D1-75E6-4265-AA3B-A2A57F4F4943}">
      <formula1>"个人住宅,正常"</formula1>
    </dataValidation>
    <dataValidation type="list" allowBlank="1" showInputMessage="1" showErrorMessage="1" sqref="C4:D4 D33" xr:uid="{70C025F9-0EF3-44F2-BD44-99F8645BED9E}">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7F7E-ADD4-4514-B13A-E65E0C27111D}">
  <dimension ref="A1:Q28"/>
  <sheetViews>
    <sheetView tabSelected="1" topLeftCell="D10" workbookViewId="0">
      <selection activeCell="J12" sqref="J12:P28"/>
    </sheetView>
  </sheetViews>
  <sheetFormatPr defaultRowHeight="13.5"/>
  <cols>
    <col min="1" max="1" width="16.25" customWidth="1"/>
    <col min="2" max="3" width="14.875" bestFit="1" customWidth="1"/>
    <col min="4" max="4" width="9" customWidth="1"/>
    <col min="5" max="5" width="9" bestFit="1" customWidth="1"/>
    <col min="6" max="6" width="5.75" bestFit="1" customWidth="1"/>
    <col min="7" max="7" width="9" bestFit="1" customWidth="1"/>
    <col min="8" max="8" width="9.375" customWidth="1"/>
    <col min="9" max="9" width="10.75" customWidth="1"/>
    <col min="10" max="10" width="6.375" customWidth="1"/>
    <col min="11" max="11" width="28.5" customWidth="1"/>
  </cols>
  <sheetData>
    <row r="1" spans="1:17" ht="41.25" customHeight="1">
      <c r="A1" s="3179" t="s">
        <v>3201</v>
      </c>
      <c r="B1" s="3180"/>
      <c r="C1" s="3180"/>
      <c r="D1" s="3180"/>
      <c r="E1" s="3180"/>
      <c r="F1" s="3180"/>
      <c r="G1" s="3180"/>
      <c r="H1" s="3180"/>
      <c r="I1" s="3180"/>
    </row>
    <row r="2" spans="1:17" s="3450" customFormat="1" ht="14.25">
      <c r="A2" s="3448" t="s">
        <v>2130</v>
      </c>
      <c r="B2" s="3449" t="s">
        <v>2131</v>
      </c>
      <c r="C2" s="3449" t="s">
        <v>2132</v>
      </c>
      <c r="D2" s="3449" t="s">
        <v>2133</v>
      </c>
      <c r="E2" s="3449"/>
      <c r="F2" s="3459" t="s">
        <v>3202</v>
      </c>
      <c r="G2" s="3449"/>
      <c r="H2" s="3448" t="s">
        <v>2135</v>
      </c>
      <c r="I2" s="3448"/>
    </row>
    <row r="3" spans="1:17" s="3450" customFormat="1" ht="14.25">
      <c r="A3" s="3448"/>
      <c r="B3" s="3449"/>
      <c r="C3" s="3449"/>
      <c r="D3" s="3451" t="s">
        <v>2136</v>
      </c>
      <c r="E3" s="3451" t="s">
        <v>2137</v>
      </c>
      <c r="F3" s="3451" t="s">
        <v>2136</v>
      </c>
      <c r="G3" s="3451" t="s">
        <v>2138</v>
      </c>
      <c r="H3" s="3451" t="s">
        <v>2136</v>
      </c>
      <c r="I3" s="3451" t="s">
        <v>2138</v>
      </c>
    </row>
    <row r="4" spans="1:17" s="3450" customFormat="1" ht="14.25">
      <c r="A4" s="3452" t="s">
        <v>3199</v>
      </c>
      <c r="B4" s="3451">
        <v>1408.09</v>
      </c>
      <c r="C4" s="3451">
        <v>283.77999999999997</v>
      </c>
      <c r="D4" s="3451">
        <f ca="1">'结果表（商业）'!D118</f>
        <v>4054</v>
      </c>
      <c r="E4" s="3451">
        <f ca="1">'结果表（商业）'!E118</f>
        <v>28791</v>
      </c>
      <c r="F4" s="3451">
        <f ca="1">'结果表（商业）'!F118</f>
        <v>660</v>
      </c>
      <c r="G4" s="3451">
        <f ca="1">'结果表（商业）'!G118</f>
        <v>4687</v>
      </c>
      <c r="H4" s="3451">
        <f ca="1">'结果表（商业）'!H118</f>
        <v>4714</v>
      </c>
      <c r="I4" s="3451">
        <f ca="1">'结果表（商业）'!I118</f>
        <v>33478</v>
      </c>
    </row>
    <row r="5" spans="1:17" s="3450" customFormat="1" ht="14.25">
      <c r="A5" s="3452" t="s">
        <v>3200</v>
      </c>
      <c r="B5" s="3451">
        <v>10558.08</v>
      </c>
      <c r="C5" s="3451">
        <v>2127.83</v>
      </c>
      <c r="D5" s="3451">
        <f ca="1">'结果表 (办公)'!D118</f>
        <v>21929</v>
      </c>
      <c r="E5" s="3451">
        <f ca="1">'结果表 (办公)'!E118</f>
        <v>20770</v>
      </c>
      <c r="F5" s="3451">
        <f ca="1">'结果表 (办公)'!F118</f>
        <v>4846</v>
      </c>
      <c r="G5" s="3451">
        <f ca="1">'结果表 (办公)'!G118</f>
        <v>4590</v>
      </c>
      <c r="H5" s="3451">
        <f ca="1">'结果表 (办公)'!H118</f>
        <v>26775</v>
      </c>
      <c r="I5" s="3451">
        <f ca="1">'结果表 (办公)'!I118</f>
        <v>25360</v>
      </c>
    </row>
    <row r="6" spans="1:17" s="3454" customFormat="1">
      <c r="A6" s="3453" t="s">
        <v>3113</v>
      </c>
      <c r="B6" s="3455">
        <f>SUM(B4:B5)</f>
        <v>11966.17</v>
      </c>
      <c r="C6" s="3455">
        <f>SUM(C4:C5)</f>
        <v>2411.6099999999997</v>
      </c>
      <c r="D6" s="3456">
        <f ca="1">D4+D5</f>
        <v>25983</v>
      </c>
      <c r="E6" s="3456"/>
      <c r="F6" s="3456">
        <f ca="1">F4+F5</f>
        <v>5506</v>
      </c>
      <c r="G6" s="3456"/>
      <c r="H6" s="3456">
        <f ca="1">H4+H5</f>
        <v>31489</v>
      </c>
      <c r="I6" s="3456"/>
    </row>
    <row r="7" spans="1:17">
      <c r="D7" s="3460">
        <f ca="1">D6*10000</f>
        <v>259830000</v>
      </c>
      <c r="E7" s="3460"/>
      <c r="F7" s="3460">
        <f ca="1">F6*10000</f>
        <v>55060000</v>
      </c>
      <c r="G7" s="3460"/>
      <c r="H7" s="3460">
        <f ca="1">H6*10000</f>
        <v>314890000</v>
      </c>
      <c r="I7" s="3460"/>
    </row>
    <row r="12" spans="1:17">
      <c r="J12" s="3085" t="s">
        <v>3203</v>
      </c>
      <c r="K12" s="3085" t="s">
        <v>3204</v>
      </c>
      <c r="L12" s="3085" t="s">
        <v>3173</v>
      </c>
      <c r="M12" s="3085" t="s">
        <v>3175</v>
      </c>
      <c r="N12" s="3085" t="s">
        <v>3176</v>
      </c>
      <c r="O12" s="3465" t="s">
        <v>3206</v>
      </c>
      <c r="P12" s="3465" t="s">
        <v>3207</v>
      </c>
    </row>
    <row r="13" spans="1:17" ht="27">
      <c r="J13" s="3086">
        <v>1</v>
      </c>
      <c r="K13" s="3466" t="s">
        <v>3205</v>
      </c>
      <c r="L13" s="3086">
        <v>1</v>
      </c>
      <c r="M13" s="3085" t="s">
        <v>3177</v>
      </c>
      <c r="N13" s="3086">
        <v>600.01</v>
      </c>
      <c r="O13" s="3086">
        <f ca="1">ROUND(P13*N13/10000,0)</f>
        <v>2426</v>
      </c>
      <c r="P13" s="3086">
        <f ca="1">ROUND('结果表（商业）'!G19/(结果表!N13+结果表!N14*0.7)*10000,0)</f>
        <v>40440</v>
      </c>
    </row>
    <row r="14" spans="1:17" ht="27">
      <c r="J14" s="3086">
        <v>2</v>
      </c>
      <c r="K14" s="3466" t="s">
        <v>3208</v>
      </c>
      <c r="L14" s="3086">
        <v>2</v>
      </c>
      <c r="M14" s="3085" t="s">
        <v>3177</v>
      </c>
      <c r="N14" s="3086">
        <v>808.08</v>
      </c>
      <c r="O14" s="3086">
        <f ca="1">'结果表（商业）'!G19-结果表!O13</f>
        <v>2288</v>
      </c>
      <c r="P14" s="3086">
        <f ca="1">ROUND(O14/N14*10000,0)</f>
        <v>28314</v>
      </c>
    </row>
    <row r="15" spans="1:17" ht="27">
      <c r="J15" s="3086">
        <v>3</v>
      </c>
      <c r="K15" s="3466" t="s">
        <v>3209</v>
      </c>
      <c r="L15" s="3463">
        <v>3</v>
      </c>
      <c r="M15" s="3085" t="s">
        <v>3178</v>
      </c>
      <c r="N15" s="3086">
        <v>812.16</v>
      </c>
      <c r="O15" s="3086">
        <f ca="1">ROUND(P15*N15/10000,0)</f>
        <v>1998</v>
      </c>
      <c r="P15" s="3086">
        <f t="shared" ref="P15:P19" ca="1" si="0">ROUND($P$21*Q15,0)</f>
        <v>24599</v>
      </c>
      <c r="Q15">
        <v>0.97</v>
      </c>
    </row>
    <row r="16" spans="1:17" ht="27">
      <c r="J16" s="3086">
        <v>4</v>
      </c>
      <c r="K16" s="3466" t="s">
        <v>3210</v>
      </c>
      <c r="L16" s="3463">
        <v>4</v>
      </c>
      <c r="M16" s="3085" t="s">
        <v>3178</v>
      </c>
      <c r="N16" s="3086">
        <f>N15</f>
        <v>812.16</v>
      </c>
      <c r="O16" s="3086">
        <f t="shared" ref="O16:O27" ca="1" si="1">ROUND(P16*N16/10000,0)</f>
        <v>2008</v>
      </c>
      <c r="P16" s="3086">
        <f t="shared" ca="1" si="0"/>
        <v>24726</v>
      </c>
      <c r="Q16">
        <v>0.97499999999999998</v>
      </c>
    </row>
    <row r="17" spans="10:17" ht="27">
      <c r="J17" s="3086">
        <v>5</v>
      </c>
      <c r="K17" s="3466" t="s">
        <v>3211</v>
      </c>
      <c r="L17" s="3463">
        <v>5</v>
      </c>
      <c r="M17" s="3085" t="s">
        <v>3178</v>
      </c>
      <c r="N17" s="3086">
        <f>N16</f>
        <v>812.16</v>
      </c>
      <c r="O17" s="3086">
        <f t="shared" ca="1" si="1"/>
        <v>2018</v>
      </c>
      <c r="P17" s="3086">
        <f t="shared" ca="1" si="0"/>
        <v>24853</v>
      </c>
      <c r="Q17">
        <v>0.98</v>
      </c>
    </row>
    <row r="18" spans="10:17" ht="27">
      <c r="J18" s="3086">
        <v>6</v>
      </c>
      <c r="K18" s="3466" t="s">
        <v>3212</v>
      </c>
      <c r="L18" s="3463">
        <v>6</v>
      </c>
      <c r="M18" s="3085" t="s">
        <v>3178</v>
      </c>
      <c r="N18" s="3086">
        <f t="shared" ref="N18:N27" si="2">N17</f>
        <v>812.16</v>
      </c>
      <c r="O18" s="3086">
        <f t="shared" ca="1" si="1"/>
        <v>2029</v>
      </c>
      <c r="P18" s="3086">
        <f t="shared" ca="1" si="0"/>
        <v>24980</v>
      </c>
      <c r="Q18">
        <v>0.98499999999999999</v>
      </c>
    </row>
    <row r="19" spans="10:17" ht="27">
      <c r="J19" s="3086">
        <v>7</v>
      </c>
      <c r="K19" s="3466" t="s">
        <v>3213</v>
      </c>
      <c r="L19" s="3463">
        <v>7</v>
      </c>
      <c r="M19" s="3085" t="s">
        <v>3178</v>
      </c>
      <c r="N19" s="3086">
        <f t="shared" si="2"/>
        <v>812.16</v>
      </c>
      <c r="O19" s="3086">
        <f ca="1">ROUND(P19*N19/10000,0)</f>
        <v>2039</v>
      </c>
      <c r="P19" s="3086">
        <f t="shared" ca="1" si="0"/>
        <v>25106</v>
      </c>
      <c r="Q19">
        <v>0.99</v>
      </c>
    </row>
    <row r="20" spans="10:17" ht="27">
      <c r="J20" s="3086">
        <v>8</v>
      </c>
      <c r="K20" s="3466" t="s">
        <v>3214</v>
      </c>
      <c r="L20" s="3463">
        <v>8</v>
      </c>
      <c r="M20" s="3085" t="s">
        <v>3178</v>
      </c>
      <c r="N20" s="3086">
        <f t="shared" si="2"/>
        <v>812.16</v>
      </c>
      <c r="O20" s="3086">
        <f t="shared" ca="1" si="1"/>
        <v>2049</v>
      </c>
      <c r="P20" s="3086">
        <f ca="1">ROUND($P$21*Q20,0)</f>
        <v>25233</v>
      </c>
      <c r="Q20">
        <v>0.995</v>
      </c>
    </row>
    <row r="21" spans="10:17" ht="27">
      <c r="J21" s="3086">
        <v>9</v>
      </c>
      <c r="K21" s="3466" t="s">
        <v>3215</v>
      </c>
      <c r="L21" s="3461">
        <v>9</v>
      </c>
      <c r="M21" s="3464" t="s">
        <v>3178</v>
      </c>
      <c r="N21" s="3461">
        <f t="shared" si="2"/>
        <v>812.16</v>
      </c>
      <c r="O21" s="3461">
        <f t="shared" ca="1" si="1"/>
        <v>2060</v>
      </c>
      <c r="P21" s="3461">
        <f ca="1">系统读取表!E15</f>
        <v>25360</v>
      </c>
    </row>
    <row r="22" spans="10:17" ht="27">
      <c r="J22" s="3086">
        <v>10</v>
      </c>
      <c r="K22" s="3466" t="s">
        <v>3216</v>
      </c>
      <c r="L22" s="3463">
        <v>10</v>
      </c>
      <c r="M22" s="3085" t="s">
        <v>3178</v>
      </c>
      <c r="N22" s="3086">
        <f t="shared" si="2"/>
        <v>812.16</v>
      </c>
      <c r="O22" s="3086">
        <f t="shared" ca="1" si="1"/>
        <v>2070</v>
      </c>
      <c r="P22" s="3086">
        <f ca="1">ROUND($P$21*Q22,0)</f>
        <v>25487</v>
      </c>
      <c r="Q22">
        <v>1.0049999999999999</v>
      </c>
    </row>
    <row r="23" spans="10:17" ht="27">
      <c r="J23" s="3086">
        <v>11</v>
      </c>
      <c r="K23" s="3466" t="s">
        <v>3217</v>
      </c>
      <c r="L23" s="3463">
        <v>11</v>
      </c>
      <c r="M23" s="3085" t="s">
        <v>3178</v>
      </c>
      <c r="N23" s="3086">
        <f t="shared" si="2"/>
        <v>812.16</v>
      </c>
      <c r="O23" s="3086">
        <f t="shared" ca="1" si="1"/>
        <v>2080</v>
      </c>
      <c r="P23" s="3086">
        <f t="shared" ref="P23:P27" ca="1" si="3">ROUND($P$21*Q23,0)</f>
        <v>25614</v>
      </c>
      <c r="Q23">
        <v>1.01</v>
      </c>
    </row>
    <row r="24" spans="10:17" ht="27">
      <c r="J24" s="3086">
        <v>12</v>
      </c>
      <c r="K24" s="3466" t="s">
        <v>3218</v>
      </c>
      <c r="L24" s="3463">
        <v>12</v>
      </c>
      <c r="M24" s="3085" t="s">
        <v>3178</v>
      </c>
      <c r="N24" s="3086">
        <f t="shared" si="2"/>
        <v>812.16</v>
      </c>
      <c r="O24" s="3086">
        <f t="shared" ca="1" si="1"/>
        <v>2090</v>
      </c>
      <c r="P24" s="3086">
        <f t="shared" ca="1" si="3"/>
        <v>25740</v>
      </c>
      <c r="Q24">
        <v>1.0149999999999999</v>
      </c>
    </row>
    <row r="25" spans="10:17" ht="27">
      <c r="J25" s="3086">
        <v>13</v>
      </c>
      <c r="K25" s="3466" t="s">
        <v>3219</v>
      </c>
      <c r="L25" s="3463">
        <v>13</v>
      </c>
      <c r="M25" s="3085" t="s">
        <v>3178</v>
      </c>
      <c r="N25" s="3086">
        <f t="shared" si="2"/>
        <v>812.16</v>
      </c>
      <c r="O25" s="3086">
        <f t="shared" ca="1" si="1"/>
        <v>2101</v>
      </c>
      <c r="P25" s="3086">
        <f t="shared" ca="1" si="3"/>
        <v>25867</v>
      </c>
      <c r="Q25">
        <v>1.02</v>
      </c>
    </row>
    <row r="26" spans="10:17" ht="27">
      <c r="J26" s="3086">
        <v>14</v>
      </c>
      <c r="K26" s="3466" t="s">
        <v>3220</v>
      </c>
      <c r="L26" s="3463">
        <v>14</v>
      </c>
      <c r="M26" s="3085" t="s">
        <v>3178</v>
      </c>
      <c r="N26" s="3086">
        <f t="shared" si="2"/>
        <v>812.16</v>
      </c>
      <c r="O26" s="3086">
        <f t="shared" ca="1" si="1"/>
        <v>2111</v>
      </c>
      <c r="P26" s="3086">
        <f t="shared" ca="1" si="3"/>
        <v>25994</v>
      </c>
      <c r="Q26">
        <v>1.0249999999999999</v>
      </c>
    </row>
    <row r="27" spans="10:17" ht="27">
      <c r="J27" s="3086">
        <v>15</v>
      </c>
      <c r="K27" s="3466" t="s">
        <v>3221</v>
      </c>
      <c r="L27" s="3463">
        <v>15</v>
      </c>
      <c r="M27" s="3085" t="s">
        <v>3178</v>
      </c>
      <c r="N27" s="3086">
        <f t="shared" si="2"/>
        <v>812.16</v>
      </c>
      <c r="O27" s="3462">
        <f ca="1">'结果表 (办公)'!G19-结果表!O15-结果表!O16-结果表!O17-结果表!O18-结果表!O19-结果表!O20-结果表!O21-结果表!O22-结果表!O23-结果表!O24-结果表!O25-结果表!O26</f>
        <v>2122</v>
      </c>
      <c r="P27" s="3086">
        <f t="shared" ca="1" si="3"/>
        <v>26121</v>
      </c>
      <c r="Q27">
        <v>1.03</v>
      </c>
    </row>
    <row r="28" spans="10:17">
      <c r="J28" s="3086"/>
      <c r="K28" s="3179" t="s">
        <v>3191</v>
      </c>
      <c r="L28" s="3180"/>
      <c r="M28" s="3180"/>
      <c r="N28" s="3086">
        <f>SUM(N13:N27)</f>
        <v>11966.169999999998</v>
      </c>
      <c r="O28" s="3086">
        <f ca="1">SUM(O13:O27)</f>
        <v>31489</v>
      </c>
      <c r="P28" s="3086"/>
    </row>
  </sheetData>
  <mergeCells count="14">
    <mergeCell ref="A1:I1"/>
    <mergeCell ref="D7:E7"/>
    <mergeCell ref="F7:G7"/>
    <mergeCell ref="H7:I7"/>
    <mergeCell ref="K28:M28"/>
    <mergeCell ref="D6:E6"/>
    <mergeCell ref="F6:G6"/>
    <mergeCell ref="H6:I6"/>
    <mergeCell ref="A2:A3"/>
    <mergeCell ref="B2:B3"/>
    <mergeCell ref="C2:C3"/>
    <mergeCell ref="D2:E2"/>
    <mergeCell ref="F2:G2"/>
    <mergeCell ref="H2:I2"/>
  </mergeCells>
  <phoneticPr fontId="140" type="noConversion"/>
  <dataValidations count="4">
    <dataValidation type="list" allowBlank="1" showInputMessage="1" showErrorMessage="1" sqref="B2:B3" xr:uid="{8104270E-DF8A-4AFD-AD87-1BA409ADD41E}">
      <formula1>"建筑面积,规划建筑面积,（规划）建筑面积"</formula1>
    </dataValidation>
    <dataValidation type="list" allowBlank="1" showInputMessage="1" showErrorMessage="1" sqref="C2:C3" xr:uid="{48CD1BB8-8825-4552-90F9-891090EC627D}">
      <formula1>"土地面积,分摊土地面积,（分摊）土地面积"</formula1>
    </dataValidation>
    <dataValidation type="list" allowBlank="1" showInputMessage="1" showErrorMessage="1" sqref="D2:E2" xr:uid="{5F341D95-0930-41D1-8455-019F1D3D9FA8}">
      <formula1>"出让国有建设用地使用权价值,划拨国有建设用地使用权价值"</formula1>
    </dataValidation>
    <dataValidation type="list" allowBlank="1" showInputMessage="1" showErrorMessage="1" sqref="F2:G2" xr:uid="{38A6CF9A-6BE0-46FF-907E-ABEC133F4048}">
      <formula1>"建筑物价值,在建建筑物价值,建筑物/在建建筑物价值"</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1"/>
      <c r="C2" s="3111"/>
      <c r="D2" s="3111"/>
      <c r="E2" s="3111"/>
    </row>
    <row r="3" spans="1:5" ht="18">
      <c r="A3" s="3112" t="str">
        <f>IF(项目基本情况!B9="房地产市场价值","估价结果一览表（市场价值不需“结果表-1”）","估价结果一览表")</f>
        <v>估价结果一览表</v>
      </c>
      <c r="B3" s="3112"/>
      <c r="C3" s="3112"/>
      <c r="D3" s="3112"/>
      <c r="E3" s="3112"/>
    </row>
    <row r="4" spans="1:5" ht="19.5" thickBot="1">
      <c r="A4" s="1680"/>
      <c r="B4" s="3110" t="s">
        <v>1595</v>
      </c>
      <c r="C4" s="3110"/>
      <c r="D4" s="3110"/>
      <c r="E4" s="1680"/>
    </row>
    <row r="5" spans="1:5" ht="16.5" thickTop="1">
      <c r="A5" s="1678"/>
      <c r="B5" s="3108" t="s">
        <v>1587</v>
      </c>
      <c r="C5" s="1681" t="s">
        <v>1588</v>
      </c>
      <c r="D5" s="959">
        <f ca="1">'结果表（商业）'!H101</f>
        <v>4714</v>
      </c>
      <c r="E5" s="1678"/>
    </row>
    <row r="6" spans="1:5" ht="15.75">
      <c r="A6" s="1678"/>
      <c r="B6" s="3108"/>
      <c r="C6" s="1681" t="s">
        <v>1589</v>
      </c>
      <c r="D6" s="959" t="str">
        <f ca="1">NUMBERSTRING(INT(D5*10000),2)&amp;"元整"</f>
        <v>肆仟柒佰壹拾肆万元整</v>
      </c>
      <c r="E6" s="1678"/>
    </row>
    <row r="7" spans="1:5" ht="15.75">
      <c r="A7" s="1678"/>
      <c r="B7" s="3113"/>
      <c r="C7" s="1682" t="s">
        <v>1590</v>
      </c>
      <c r="D7" s="960">
        <f ca="1">'结果表（商业）'!H102</f>
        <v>33478</v>
      </c>
      <c r="E7" s="1678"/>
    </row>
    <row r="8" spans="1:5" ht="15.75">
      <c r="A8" s="1678"/>
      <c r="B8" s="3114" t="str">
        <f>'结果表（商业）'!E103</f>
        <v>2.估价师知悉的法定优先受偿款</v>
      </c>
      <c r="C8" s="1683" t="s">
        <v>1591</v>
      </c>
      <c r="D8" s="960">
        <f>'结果表（商业）'!H103</f>
        <v>0</v>
      </c>
      <c r="E8" s="1678"/>
    </row>
    <row r="9" spans="1:5" ht="15.75">
      <c r="A9" s="1678"/>
      <c r="B9" s="3116"/>
      <c r="C9" s="1681" t="s">
        <v>1589</v>
      </c>
      <c r="D9" s="959" t="str">
        <f>NUMBERSTRING(INT(D8*10000),2)&amp;"元整"</f>
        <v>零元整</v>
      </c>
      <c r="E9" s="1678"/>
    </row>
    <row r="10" spans="1:5" ht="15">
      <c r="A10" s="1678"/>
      <c r="B10" s="1684" t="s">
        <v>1594</v>
      </c>
      <c r="C10" s="1685" t="s">
        <v>1592</v>
      </c>
      <c r="D10" s="961">
        <f>'结果表（商业）'!H104</f>
        <v>0</v>
      </c>
      <c r="E10" s="1678"/>
    </row>
    <row r="11" spans="1:5" ht="15">
      <c r="A11" s="1678"/>
      <c r="B11" s="1684" t="s">
        <v>1596</v>
      </c>
      <c r="C11" s="1685" t="s">
        <v>1597</v>
      </c>
      <c r="D11" s="961">
        <f>'结果表（商业）'!H105</f>
        <v>0</v>
      </c>
      <c r="E11" s="1678"/>
    </row>
    <row r="12" spans="1:5" ht="15">
      <c r="A12" s="1678"/>
      <c r="B12" s="1684" t="s">
        <v>1598</v>
      </c>
      <c r="C12" s="1685" t="s">
        <v>1597</v>
      </c>
      <c r="D12" s="961">
        <f>'结果表（商业）'!H106</f>
        <v>0</v>
      </c>
      <c r="E12" s="1678"/>
    </row>
    <row r="13" spans="1:5" ht="15.75">
      <c r="A13" s="1678"/>
      <c r="B13" s="3107" t="str">
        <f>'结果表（商业）'!E107</f>
        <v>3.房地产抵押价值</v>
      </c>
      <c r="C13" s="1686" t="s">
        <v>1588</v>
      </c>
      <c r="D13" s="962">
        <f ca="1">'结果表（商业）'!H107</f>
        <v>4714</v>
      </c>
      <c r="E13" s="1678"/>
    </row>
    <row r="14" spans="1:5" ht="15.75">
      <c r="A14" s="1678"/>
      <c r="B14" s="3108"/>
      <c r="C14" s="1681" t="s">
        <v>1589</v>
      </c>
      <c r="D14" s="959" t="str">
        <f ca="1">NUMBERSTRING(INT(D13*10000),2)&amp;"元整"</f>
        <v>肆仟柒佰壹拾肆万元整</v>
      </c>
      <c r="E14" s="1678"/>
    </row>
    <row r="15" spans="1:5" ht="15">
      <c r="A15" s="1678"/>
      <c r="B15" s="3113"/>
      <c r="C15" s="1682" t="s">
        <v>1599</v>
      </c>
      <c r="D15" s="968">
        <f ca="1">'结果表（商业）'!H108</f>
        <v>3939</v>
      </c>
      <c r="E15" s="1678"/>
    </row>
    <row r="16" spans="1:5" ht="15">
      <c r="A16" s="1678"/>
      <c r="B16" s="3114" t="str">
        <f>'结果表（商业）'!E109</f>
        <v>——</v>
      </c>
      <c r="C16" s="1686" t="s">
        <v>1600</v>
      </c>
      <c r="D16" s="1687" t="str">
        <f>'结果表（商业）'!H109</f>
        <v>——</v>
      </c>
      <c r="E16" s="1678"/>
    </row>
    <row r="17" spans="1:5" ht="15.75">
      <c r="A17" s="1678"/>
      <c r="B17" s="3115"/>
      <c r="C17" s="1681" t="s">
        <v>1601</v>
      </c>
      <c r="D17" s="959" t="e">
        <f>NUMBERSTRING(INT(D16*10000),2)&amp;"元整"</f>
        <v>#VALUE!</v>
      </c>
      <c r="E17" s="1678"/>
    </row>
    <row r="18" spans="1:5" ht="15">
      <c r="A18" s="1678"/>
      <c r="B18" s="3116"/>
      <c r="C18" s="1682" t="s">
        <v>1590</v>
      </c>
      <c r="D18" s="968" t="str">
        <f>'结果表（商业）'!H110</f>
        <v>——</v>
      </c>
      <c r="E18" s="1678"/>
    </row>
    <row r="19" spans="1:5" ht="15.75">
      <c r="A19" s="1678"/>
      <c r="B19" s="3107" t="str">
        <f>'结果表（商业）'!E111</f>
        <v>——</v>
      </c>
      <c r="C19" s="1686" t="s">
        <v>1588</v>
      </c>
      <c r="D19" s="960" t="str">
        <f>'结果表（商业）'!H111</f>
        <v>——</v>
      </c>
      <c r="E19" s="1678"/>
    </row>
    <row r="20" spans="1:5" ht="15.75">
      <c r="A20" s="1678"/>
      <c r="B20" s="3108"/>
      <c r="C20" s="1681" t="s">
        <v>1601</v>
      </c>
      <c r="D20" s="959" t="e">
        <f>NUMBERSTRING(INT(D19*10000),2)&amp;"元整"</f>
        <v>#VALUE!</v>
      </c>
      <c r="E20" s="1678"/>
    </row>
    <row r="21" spans="1:5" ht="15.75" thickBot="1">
      <c r="A21" s="1678"/>
      <c r="B21" s="3109"/>
      <c r="C21" s="1688" t="s">
        <v>1599</v>
      </c>
      <c r="D21" s="969" t="str">
        <f>'结果表（商业）'!H112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6192E-4CA4-4346-855A-654D0A71E5C4}">
  <sheetPr>
    <tabColor rgb="FF92D050"/>
    <pageSetUpPr fitToPage="1"/>
  </sheetPr>
  <dimension ref="A1:I57"/>
  <sheetViews>
    <sheetView view="pageBreakPreview" topLeftCell="B1" zoomScaleNormal="70" zoomScaleSheetLayoutView="100" workbookViewId="0">
      <selection activeCell="C51" sqref="C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27</v>
      </c>
      <c r="C1" s="204"/>
      <c r="D1" s="204"/>
      <c r="E1" s="204"/>
      <c r="F1" s="204"/>
      <c r="G1" s="1288">
        <f>MATCH(B1,'数据-取费表'!A6:A16,0)+5</f>
        <v>6</v>
      </c>
    </row>
    <row r="2" spans="1:9" s="206" customFormat="1" ht="18" customHeight="1">
      <c r="A2" s="207" t="s">
        <v>1359</v>
      </c>
      <c r="B2" s="208">
        <f ca="1">IF(D2="——",C52,C52-E2)</f>
        <v>25778</v>
      </c>
      <c r="C2" s="205" t="s">
        <v>2150</v>
      </c>
      <c r="D2" s="2041" t="s">
        <v>70</v>
      </c>
      <c r="E2" s="1331" t="e">
        <f ca="1">SUMIF(INDIRECT("'"&amp;G2&amp;"'"&amp;"!A:A"),"承租人权益价值",INDIRECT("'"&amp;G2&amp;"'"&amp;"!c:c"))</f>
        <v>#REF!</v>
      </c>
      <c r="F2" s="2042" t="s">
        <v>2150</v>
      </c>
      <c r="G2" s="2043"/>
    </row>
    <row r="3" spans="1:9" s="206" customFormat="1" ht="18" customHeight="1" thickBot="1">
      <c r="A3" s="209" t="s">
        <v>1360</v>
      </c>
      <c r="B3" s="210">
        <f ca="1">ROUND(B2*10000/(IF(B1="",'数据-汇总表'!E3,INDIRECT("'数据-取费表'!k"&amp;$G$1))),0)</f>
        <v>24415</v>
      </c>
      <c r="C3" s="205" t="s">
        <v>2152</v>
      </c>
      <c r="D3" s="205"/>
      <c r="E3" s="205"/>
      <c r="F3" s="205"/>
      <c r="G3" s="205"/>
    </row>
    <row r="4" spans="1:9" s="214" customFormat="1" ht="15.75">
      <c r="A4" s="211" t="s">
        <v>2153</v>
      </c>
      <c r="B4" s="212"/>
      <c r="C4" s="212"/>
      <c r="D4" s="212"/>
      <c r="E4" s="212"/>
      <c r="F4" s="212"/>
      <c r="G4" s="213"/>
    </row>
    <row r="5" spans="1:9" s="220" customFormat="1" ht="13.5" customHeight="1">
      <c r="A5" s="261" t="s">
        <v>782</v>
      </c>
      <c r="B5" s="216" t="s">
        <v>2155</v>
      </c>
      <c r="C5" s="217">
        <f ca="1">C6+C7+C8</f>
        <v>15328</v>
      </c>
      <c r="D5" s="217" t="s">
        <v>2156</v>
      </c>
      <c r="E5" s="218" t="s">
        <v>2157</v>
      </c>
      <c r="F5" s="218" t="s">
        <v>2158</v>
      </c>
      <c r="G5" s="219"/>
    </row>
    <row r="6" spans="1:9" s="220" customFormat="1" ht="13.5" customHeight="1">
      <c r="A6" s="886" t="s">
        <v>791</v>
      </c>
      <c r="B6" s="221" t="s">
        <v>2160</v>
      </c>
      <c r="C6" s="222">
        <f ca="1">'基准地价修正 (办公)'!E29</f>
        <v>14670</v>
      </c>
      <c r="D6" s="223"/>
      <c r="E6" s="224"/>
      <c r="F6" s="224"/>
      <c r="G6" s="225"/>
    </row>
    <row r="7" spans="1:9" s="220" customFormat="1" ht="13.5" customHeight="1">
      <c r="A7" s="886" t="s">
        <v>792</v>
      </c>
      <c r="B7" s="221" t="s">
        <v>2162</v>
      </c>
      <c r="C7" s="226">
        <f ca="1">ROUND(C6*F7,0)</f>
        <v>447</v>
      </c>
      <c r="D7" s="226"/>
      <c r="E7" s="224"/>
      <c r="F7" s="227">
        <f>IF(项目基本情况!B8="出让",0,'数据-取费表'!B48+'数据-取费表'!B49)</f>
        <v>3.0499999999999999E-2</v>
      </c>
      <c r="G7" s="225"/>
    </row>
    <row r="8" spans="1:9" s="229" customFormat="1">
      <c r="A8" s="886" t="s">
        <v>793</v>
      </c>
      <c r="B8" s="221" t="s">
        <v>2164</v>
      </c>
      <c r="C8" s="226">
        <f ca="1">IF(G8="已包含在土地购买价格中","0",IF(B1="",'数据-取费表'!B29,IF(G9="全部缴纳",C9+C10,H9)))</f>
        <v>211</v>
      </c>
      <c r="D8" s="228"/>
      <c r="E8" s="226"/>
      <c r="F8" s="227"/>
      <c r="G8" s="2044" t="s">
        <v>3158</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t="s">
        <v>3159</v>
      </c>
      <c r="H9" s="1299"/>
      <c r="I9" s="2046" t="s">
        <v>2166</v>
      </c>
    </row>
    <row r="10" spans="1:9" s="220" customFormat="1" ht="13.5" customHeight="1">
      <c r="A10" s="887" t="s">
        <v>801</v>
      </c>
      <c r="B10" s="230" t="s">
        <v>2167</v>
      </c>
      <c r="C10" s="231">
        <f ca="1">ROUND(D10*E10/10000,0)</f>
        <v>211</v>
      </c>
      <c r="D10" s="954">
        <f ca="1">IF(B1="",'数据-汇总表'!E6,IF(INDIRECT("'数据-取费表'!c"&amp;$G$1)="住宅",INDIRECT("'数据-取费表'!s"&amp;$G$1),INDIRECT("'数据-取费表'!k"&amp;$G$1)+INDIRECT("'数据-取费表'!s"&amp;$G$1)))</f>
        <v>10558.08</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2164</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10558.08</v>
      </c>
      <c r="E19" s="217">
        <f>'数据-取费表'!B31</f>
        <v>200</v>
      </c>
      <c r="F19" s="237"/>
      <c r="G19" s="2044" t="s">
        <v>3160</v>
      </c>
    </row>
    <row r="20" spans="1:7" s="220" customFormat="1" ht="13.5" customHeight="1">
      <c r="A20" s="261" t="s">
        <v>2180</v>
      </c>
      <c r="B20" s="216" t="s">
        <v>2181</v>
      </c>
      <c r="C20" s="238">
        <f ca="1">ROUND((C5+C19)*F20,0)</f>
        <v>307</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1506</v>
      </c>
      <c r="D22" s="241">
        <f ca="1">C26</f>
        <v>1E-3</v>
      </c>
      <c r="E22" s="242" t="s">
        <v>2185</v>
      </c>
      <c r="F22" s="243">
        <f ca="1">'数据-取费表'!B40</f>
        <v>4.7500000000000001E-2</v>
      </c>
      <c r="G22" s="240" t="str">
        <f>IF('数据-取费表'!B22&lt;=1,"单利计息","复利计息")</f>
        <v>复利计息</v>
      </c>
    </row>
    <row r="23" spans="1:7" s="220" customFormat="1" ht="13.5" customHeight="1">
      <c r="A23" s="888" t="s">
        <v>791</v>
      </c>
      <c r="B23" s="221" t="s">
        <v>2190</v>
      </c>
      <c r="C23" s="1265">
        <f ca="1">ROUND(IF('数据-取费表'!B22&lt;=1,C5*F22*'数据-取费表'!B23,C5*(POWER((1+F22),'数据-取费表'!B23)-1)),0)</f>
        <v>1491</v>
      </c>
      <c r="D23" s="244"/>
      <c r="E23" s="244"/>
      <c r="F23" s="245"/>
      <c r="G23" s="246" t="s">
        <v>2191</v>
      </c>
    </row>
    <row r="24" spans="1:7" s="220" customFormat="1" ht="13.5" customHeight="1">
      <c r="A24" s="888" t="s">
        <v>792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793</v>
      </c>
      <c r="B25" s="221" t="s">
        <v>2196</v>
      </c>
      <c r="C25" s="1265">
        <f ca="1">ROUND(IF('数据-取费表'!B22&lt;=1,C20*F22*'数据-取费表'!B23/2,C20*(POWER((1+F22),'数据-取费表'!B23/2)-1)),0)</f>
        <v>15</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2345</v>
      </c>
      <c r="D27" s="241">
        <f ca="1">C29</f>
        <v>3.0000000000000001E-3</v>
      </c>
      <c r="E27" s="242" t="s">
        <v>2185</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2345</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2185</v>
      </c>
      <c r="E30" s="247"/>
      <c r="F30" s="243">
        <f>'数据-取费表'!B41</f>
        <v>5.6000000000000001E-2</v>
      </c>
      <c r="G30" s="240" t="s">
        <v>2207</v>
      </c>
    </row>
    <row r="31" spans="1:7" ht="16.5" customHeight="1">
      <c r="A31" s="215">
        <v>1</v>
      </c>
      <c r="B31" s="216" t="s">
        <v>2208</v>
      </c>
      <c r="C31" s="217">
        <f ca="1">ROUND((C5+C19+C20+C22+C27)/(1-C21-D22-D27-C30),0)</f>
        <v>21118</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3521</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3167</v>
      </c>
      <c r="D34" s="223"/>
      <c r="E34" s="226"/>
      <c r="F34" s="263">
        <f ca="1">IF('数据-取费表'!B24=0,1,IF(B1="",'数据-取费表'!N16,INDIRECT("'数据-取费表'!n"&amp;$G$1)))</f>
        <v>1</v>
      </c>
      <c r="G34" s="225" t="s">
        <v>2213</v>
      </c>
    </row>
    <row r="35" spans="1:7" ht="13.5" customHeight="1">
      <c r="A35" s="888" t="s">
        <v>796</v>
      </c>
      <c r="B35" s="221" t="s">
        <v>2214</v>
      </c>
      <c r="C35" s="226">
        <f ca="1">ROUND(C34*F35,0)</f>
        <v>95</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211</v>
      </c>
      <c r="D37" s="223">
        <f ca="1">D19</f>
        <v>10558.08</v>
      </c>
      <c r="E37" s="255">
        <f>'数据-取费表'!B35</f>
        <v>200</v>
      </c>
      <c r="F37" s="265"/>
      <c r="G37" s="267" t="s">
        <v>2219</v>
      </c>
    </row>
    <row r="38" spans="1:7" ht="13.5" customHeight="1">
      <c r="A38" s="888" t="s">
        <v>799</v>
      </c>
      <c r="B38" s="221" t="s">
        <v>2220</v>
      </c>
      <c r="C38" s="226">
        <f ca="1">ROUND(C34*F38,0)</f>
        <v>48</v>
      </c>
      <c r="D38" s="226"/>
      <c r="E38" s="226"/>
      <c r="F38" s="265">
        <f>'数据-取费表'!B36</f>
        <v>1.4999999999999999E-2</v>
      </c>
      <c r="G38" s="225" t="s">
        <v>2215</v>
      </c>
    </row>
    <row r="39" spans="1:7" s="220" customFormat="1" ht="13.5" customHeight="1">
      <c r="A39" s="261" t="s">
        <v>2178</v>
      </c>
      <c r="B39" s="216" t="s">
        <v>2181</v>
      </c>
      <c r="C39" s="238">
        <f ca="1">ROUND(C33*F20,0)</f>
        <v>70</v>
      </c>
      <c r="D39" s="238"/>
      <c r="E39" s="238"/>
      <c r="F39" s="2537">
        <f>F20</f>
        <v>0.02</v>
      </c>
      <c r="G39" s="240" t="s">
        <v>2223</v>
      </c>
    </row>
    <row r="40" spans="1:7" s="220" customFormat="1" ht="13.5" customHeight="1">
      <c r="A40" s="261" t="s">
        <v>2180</v>
      </c>
      <c r="B40" s="216" t="s">
        <v>2184</v>
      </c>
      <c r="C40" s="1497">
        <f>F21</f>
        <v>0.02</v>
      </c>
      <c r="D40" s="242" t="s">
        <v>2226</v>
      </c>
      <c r="E40" s="238"/>
      <c r="F40" s="2537">
        <f>F21</f>
        <v>0.02</v>
      </c>
      <c r="G40" s="240" t="s">
        <v>2227</v>
      </c>
    </row>
    <row r="41" spans="1:7" s="220" customFormat="1" ht="13.5" customHeight="1">
      <c r="A41" s="261" t="s">
        <v>2183</v>
      </c>
      <c r="B41" s="216" t="s">
        <v>2188</v>
      </c>
      <c r="C41" s="238">
        <f ca="1">ROUND(SUM(C42:C43),0)</f>
        <v>170</v>
      </c>
      <c r="D41" s="241">
        <f ca="1">C44</f>
        <v>1E-3</v>
      </c>
      <c r="E41" s="242" t="s">
        <v>2226</v>
      </c>
      <c r="F41" s="2538">
        <f ca="1">F22</f>
        <v>4.7500000000000001E-2</v>
      </c>
      <c r="G41" s="240" t="str">
        <f>IF('数据-取费表'!B22&lt;=1,"单利计息","复利计息")</f>
        <v>复利计息</v>
      </c>
    </row>
    <row r="42" spans="1:7" ht="13.5" customHeight="1">
      <c r="A42" s="888" t="s">
        <v>791</v>
      </c>
      <c r="B42" s="221" t="s">
        <v>2190</v>
      </c>
      <c r="C42" s="244">
        <f ca="1">ROUND(IF('数据-取费表'!B22&lt;=1,C33*F22*'数据-取费表'!B21/2,C33*(POWER((1+F22),'数据-取费表'!B21/2)-1)),0)</f>
        <v>167</v>
      </c>
      <c r="D42" s="244"/>
      <c r="E42" s="244"/>
      <c r="F42" s="245"/>
      <c r="G42" s="3297" t="s">
        <v>2231</v>
      </c>
    </row>
    <row r="43" spans="1:7" ht="13.5" customHeight="1">
      <c r="A43" s="888" t="s">
        <v>792</v>
      </c>
      <c r="B43" s="221" t="s">
        <v>2193</v>
      </c>
      <c r="C43" s="244">
        <f ca="1">ROUND(IF('数据-取费表'!B22&lt;=1,C39*F22*'数据-取费表'!B21/2,C39*(POWER((1+F22),'数据-取费表'!B21/2)-1)),0)</f>
        <v>3</v>
      </c>
      <c r="D43" s="244"/>
      <c r="E43" s="244"/>
      <c r="F43" s="245"/>
      <c r="G43" s="3298"/>
    </row>
    <row r="44" spans="1:7" ht="13.5" customHeight="1">
      <c r="A44" s="888" t="s">
        <v>793</v>
      </c>
      <c r="B44" s="221" t="s">
        <v>2196</v>
      </c>
      <c r="C44" s="244">
        <f ca="1">ROUND(IF('数据-取费表'!B22&lt;=1,C40*F22*'数据-取费表'!B21/2,C40*(POWER((1+F22),'数据-取费表'!B21/2)-1)),4)</f>
        <v>1E-3</v>
      </c>
      <c r="D44" s="244"/>
      <c r="E44" s="244"/>
      <c r="F44" s="245"/>
      <c r="G44" s="3299"/>
    </row>
    <row r="45" spans="1:7" s="220" customFormat="1" ht="13.5" customHeight="1">
      <c r="A45" s="261" t="s">
        <v>2187</v>
      </c>
      <c r="B45" s="250" t="s">
        <v>2200</v>
      </c>
      <c r="C45" s="251">
        <f ca="1">C46</f>
        <v>539</v>
      </c>
      <c r="D45" s="241">
        <f ca="1">C47</f>
        <v>3.0000000000000001E-3</v>
      </c>
      <c r="E45" s="242" t="s">
        <v>2226</v>
      </c>
      <c r="F45" s="2539">
        <f ca="1">F27</f>
        <v>0.15</v>
      </c>
      <c r="G45" s="253" t="s">
        <v>2235</v>
      </c>
    </row>
    <row r="46" spans="1:7" s="220" customFormat="1" ht="13.5" customHeight="1">
      <c r="A46" s="888" t="s">
        <v>791</v>
      </c>
      <c r="B46" s="254" t="s">
        <v>2236</v>
      </c>
      <c r="C46" s="255">
        <f ca="1">ROUND((C33+C39)*F27,0)</f>
        <v>539</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4660</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4660</v>
      </c>
      <c r="D51" s="238"/>
      <c r="E51" s="238"/>
      <c r="F51" s="270"/>
      <c r="G51" s="240" t="s">
        <v>2247</v>
      </c>
    </row>
    <row r="52" spans="1:7" s="214" customFormat="1" ht="16.5" thickBot="1">
      <c r="A52" s="271" t="s">
        <v>2248</v>
      </c>
      <c r="B52" s="272"/>
      <c r="C52" s="273">
        <f ca="1">C31+C51</f>
        <v>25778</v>
      </c>
      <c r="D52" s="272"/>
      <c r="E52" s="272"/>
      <c r="F52" s="272"/>
      <c r="G52" s="274"/>
    </row>
    <row r="55" spans="1:7" ht="15">
      <c r="B55" s="276" t="s">
        <v>2249</v>
      </c>
      <c r="C55" s="277"/>
    </row>
    <row r="56" spans="1:7">
      <c r="B56" s="279" t="s">
        <v>1478</v>
      </c>
      <c r="C56" s="281">
        <f ca="1">1-C57</f>
        <v>0.81899999999999995</v>
      </c>
    </row>
    <row r="57" spans="1:7">
      <c r="B57" s="279" t="s">
        <v>1479</v>
      </c>
      <c r="C57" s="280">
        <f ca="1">ROUND(C51/C52,3)</f>
        <v>0.18099999999999999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79E9ADCB-70D5-4AAD-9BE0-4AECA540680D}">
      <formula1>"需扣减承租人权益,——"</formula1>
    </dataValidation>
    <dataValidation type="list" allowBlank="1" showInputMessage="1" showErrorMessage="1" sqref="G2" xr:uid="{59537C59-3516-409F-BD63-D18CFD8BB5E1}">
      <formula1>估价方法</formula1>
    </dataValidation>
    <dataValidation type="list" allowBlank="1" showInputMessage="1" showErrorMessage="1" sqref="G9" xr:uid="{D6B122D6-5240-4468-83C6-C984817FAABA}">
      <formula1>"部分缴纳,全部缴纳"</formula1>
    </dataValidation>
    <dataValidation type="list" allowBlank="1" showInputMessage="1" showErrorMessage="1" sqref="B1" xr:uid="{8C657B15-771C-4B69-9E8D-FCBAB1043698}">
      <formula1>项目类型</formula1>
    </dataValidation>
    <dataValidation type="list" allowBlank="1" showInputMessage="1" showErrorMessage="1" sqref="G19" xr:uid="{6E8248DB-91B9-420A-8BA3-5E57CB2CA864}">
      <formula1>"已包含在土地取得成本中,未包含在土地取得成本中"</formula1>
    </dataValidation>
    <dataValidation type="list" allowBlank="1" showInputMessage="1" showErrorMessage="1" sqref="G8" xr:uid="{11B83175-ABC2-40B2-8889-C7B2F850114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8C31-BD8B-4B05-B9A1-5D9FE2BD43E0}">
  <sheetPr>
    <tabColor rgb="FF92D050"/>
  </sheetPr>
  <dimension ref="A1:AK118"/>
  <sheetViews>
    <sheetView view="pageBreakPreview" topLeftCell="B16" zoomScale="90" zoomScaleNormal="80" zoomScaleSheetLayoutView="90" workbookViewId="0">
      <selection activeCell="C24" sqref="C24"/>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10558.08</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14670</v>
      </c>
      <c r="C2" s="2187" t="s">
        <v>2635</v>
      </c>
      <c r="D2" s="2188" t="s">
        <v>2636</v>
      </c>
      <c r="E2" s="2189" t="s">
        <v>27</v>
      </c>
      <c r="F2" s="2188" t="s">
        <v>2637</v>
      </c>
      <c r="G2" s="2190" t="str">
        <f>IF(E2="商业",项目基本情况!B37,IF(E2="办公",项目基本情况!C37,IF(E2="住宅",项目基本情况!D37,项目基本情况!E37)))</f>
        <v>六级</v>
      </c>
      <c r="H2" s="2188" t="s">
        <v>2638</v>
      </c>
      <c r="I2" s="2190" t="str">
        <f>IF(E2="商业",项目基本情况!B38,IF(E2="办公",项目基本情况!C38,IF(E2="住宅",项目基本情况!D38,项目基本情况!E38)))</f>
        <v>Ⅵ-20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26851</v>
      </c>
      <c r="U2" s="1375"/>
      <c r="V2" s="1374">
        <f ca="1">ROUND(T2*U2/10000,0)</f>
        <v>0</v>
      </c>
      <c r="W2" s="1378"/>
      <c r="X2" s="1378"/>
      <c r="Y2" s="1378"/>
      <c r="Z2" s="1378"/>
      <c r="AA2" s="1378"/>
      <c r="AB2" s="1378"/>
      <c r="AC2" s="1379"/>
      <c r="AD2" s="1380"/>
      <c r="AE2" s="1380"/>
      <c r="AF2" s="1380"/>
      <c r="AG2" s="1380"/>
      <c r="AH2" s="1380"/>
      <c r="AI2" s="1380"/>
      <c r="AJ2" s="1381"/>
    </row>
    <row r="3" spans="1:36" ht="25.5">
      <c r="A3" s="209" t="s">
        <v>2640</v>
      </c>
      <c r="B3" s="210">
        <f ca="1">ROUND(B2*10000/D1,0)</f>
        <v>13895</v>
      </c>
      <c r="C3" s="2187" t="s">
        <v>2641</v>
      </c>
      <c r="D3" s="2188" t="s">
        <v>2642</v>
      </c>
      <c r="E3" s="2193" t="s">
        <v>3152</v>
      </c>
      <c r="F3" s="2194" t="s">
        <v>3140</v>
      </c>
      <c r="G3" s="855">
        <f>IF(F3="宗地容积率",'数据-汇总表'!I4,IF(F3="估价对象容积率",'数据-汇总表'!I6,'数据-汇总表'!I7))</f>
        <v>2.8</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19274</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400"/>
      <c r="B4" s="3401"/>
      <c r="C4" s="3401"/>
      <c r="D4" s="3402"/>
      <c r="E4" s="3402"/>
      <c r="F4" s="3402"/>
      <c r="G4" s="3402"/>
      <c r="H4" s="3402"/>
      <c r="I4" s="3402"/>
      <c r="J4" s="3403"/>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15549</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10310</v>
      </c>
      <c r="D5" s="1525">
        <f>ROUND(C6+C16,0)</f>
        <v>10310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12476</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10310</v>
      </c>
      <c r="D6" s="2207" t="s">
        <v>2651</v>
      </c>
      <c r="E6" s="2208"/>
      <c r="F6" s="2208"/>
      <c r="G6" s="2209"/>
      <c r="H6" s="2209"/>
      <c r="I6" s="2209"/>
      <c r="J6" s="2210"/>
      <c r="K6" s="1570"/>
      <c r="L6" s="2192" t="s">
        <v>2652</v>
      </c>
      <c r="M6" s="995">
        <f>SUMPRODUCT((区片价!B110:B157=I2)*(区片价!C3:F3=E2)*(区片价!C110:F157))</f>
        <v>10310</v>
      </c>
      <c r="N6" s="997">
        <f>SUMPRODUCT((因素修正幅度!B110:B157=I2)*(因素修正幅度!C3:F3=E2)*(因素修正幅度!C110:F157))</f>
        <v>0.13</v>
      </c>
      <c r="O6" s="1280"/>
      <c r="P6" s="1280"/>
      <c r="Q6" s="1280"/>
      <c r="R6" s="1374">
        <v>5</v>
      </c>
      <c r="S6" s="1374">
        <f>ROUND(IF(G3&gt;1,IF(R6&lt;7,SUMPRODUCT((B93:B98=R6)*(C92:N92=G2)*(C93:N98)),SUMIF(C92:N92,G2,C100:N100)),IF(R6&lt;7,SUMPRODUCT((B102:B107=R6)*(C92:N92=G2)*(C102:N107)),SUMIF(C92:N92,G2,C109:N109))),4)</f>
        <v>0.73709999999999998</v>
      </c>
      <c r="T6" s="1374">
        <f t="shared" ca="1" si="0"/>
        <v>10624</v>
      </c>
      <c r="U6" s="1375"/>
      <c r="V6" s="1374">
        <f t="shared" ca="1" si="1"/>
        <v>0</v>
      </c>
      <c r="W6" s="1378"/>
      <c r="X6" s="1378"/>
      <c r="Y6" s="1378"/>
      <c r="Z6" s="1378"/>
      <c r="AA6" s="1378"/>
      <c r="AB6" s="1378"/>
      <c r="AC6" s="2201"/>
      <c r="AD6" s="2202"/>
      <c r="AE6" s="2202"/>
      <c r="AF6" s="2202"/>
      <c r="AG6" s="2202"/>
      <c r="AH6" s="2202"/>
      <c r="AI6" s="2202"/>
      <c r="AJ6" s="2203"/>
    </row>
    <row r="7" spans="1:36" ht="24">
      <c r="A7" s="3404" t="str">
        <f>IF(E2="商业",IF(C8="不临58条商业街","",2),"")</f>
        <v/>
      </c>
      <c r="B7" s="3049"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9343</v>
      </c>
      <c r="U7" s="1375"/>
      <c r="V7" s="1374">
        <f t="shared" ca="1" si="1"/>
        <v>0</v>
      </c>
      <c r="W7" s="3058" t="s">
        <v>2656</v>
      </c>
      <c r="X7" s="1376" t="str">
        <f>G2</f>
        <v>六级</v>
      </c>
      <c r="Y7" s="1376" t="s">
        <v>2657</v>
      </c>
      <c r="Z7" s="1377">
        <f>G3</f>
        <v>2.8</v>
      </c>
      <c r="AA7" s="1378"/>
      <c r="AB7" s="1378"/>
      <c r="AC7" s="1379"/>
      <c r="AD7" s="1380"/>
      <c r="AE7" s="1380"/>
      <c r="AF7" s="1380"/>
      <c r="AG7" s="1380"/>
      <c r="AH7" s="1380"/>
      <c r="AI7" s="1380"/>
      <c r="AJ7" s="1381"/>
    </row>
    <row r="8" spans="1:36" ht="25.5">
      <c r="A8" s="3405"/>
      <c r="B8" s="175" t="s">
        <v>2658</v>
      </c>
      <c r="C8" s="2216" t="s">
        <v>3138</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97" t="s">
        <v>2661</v>
      </c>
      <c r="X8" s="339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405"/>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99"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05"/>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9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05"/>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99" t="s">
        <v>2685</v>
      </c>
      <c r="X11" s="1386" t="s">
        <v>2657</v>
      </c>
      <c r="Y11" s="1387">
        <f>$G$3</f>
        <v>2.8</v>
      </c>
      <c r="Z11" s="1387">
        <f t="shared" ref="Z11:AJ11" si="3">$G$3</f>
        <v>2.8</v>
      </c>
      <c r="AA11" s="1387">
        <f t="shared" si="3"/>
        <v>2.8</v>
      </c>
      <c r="AB11" s="1387">
        <f t="shared" si="3"/>
        <v>2.8</v>
      </c>
      <c r="AC11" s="1387">
        <f t="shared" si="3"/>
        <v>2.8</v>
      </c>
      <c r="AD11" s="1387">
        <f t="shared" si="3"/>
        <v>2.8</v>
      </c>
      <c r="AE11" s="1387">
        <f t="shared" si="3"/>
        <v>2.8</v>
      </c>
      <c r="AF11" s="1387">
        <f t="shared" si="3"/>
        <v>2.8</v>
      </c>
      <c r="AG11" s="1387">
        <f t="shared" si="3"/>
        <v>2.8</v>
      </c>
      <c r="AH11" s="1387">
        <f t="shared" si="3"/>
        <v>2.8</v>
      </c>
      <c r="AI11" s="1387">
        <f t="shared" si="3"/>
        <v>2.8</v>
      </c>
      <c r="AJ11" s="1387">
        <f t="shared" si="3"/>
        <v>2.8</v>
      </c>
    </row>
    <row r="12" spans="1:36" ht="25.5" thickBot="1">
      <c r="A12" s="3404"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9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6"/>
      <c r="B13" s="3052" t="s">
        <v>2692</v>
      </c>
      <c r="C13" s="2231" t="s">
        <v>2693</v>
      </c>
      <c r="D13" s="3062" t="s">
        <v>2694</v>
      </c>
      <c r="E13" s="3062"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399"/>
      <c r="X13" s="1388"/>
      <c r="Y13" s="1385">
        <f>(-0.163*(Y12^2)-0.59*Y12+7617)*(10^(-4))/Y11</f>
        <v>0.27203571428571433</v>
      </c>
      <c r="Z13" s="1385">
        <f t="shared" ref="Z13:AJ13" si="5">(-0.163*(Z12^2)-0.59*Z12+7617)*(10^(-4))/Z11</f>
        <v>0.27203571428571433</v>
      </c>
      <c r="AA13" s="1385">
        <f t="shared" si="5"/>
        <v>0.27203571428571433</v>
      </c>
      <c r="AB13" s="1385">
        <f t="shared" si="5"/>
        <v>0.27203571428571433</v>
      </c>
      <c r="AC13" s="1385">
        <f t="shared" si="5"/>
        <v>0.27203571428571433</v>
      </c>
      <c r="AD13" s="1385">
        <f t="shared" si="5"/>
        <v>0.27203571428571433</v>
      </c>
      <c r="AE13" s="1385">
        <f t="shared" si="5"/>
        <v>0.27203571428571433</v>
      </c>
      <c r="AF13" s="1385">
        <f t="shared" si="5"/>
        <v>0.27203571428571433</v>
      </c>
      <c r="AG13" s="1385">
        <f t="shared" si="5"/>
        <v>0.27203571428571433</v>
      </c>
      <c r="AH13" s="1385">
        <f t="shared" si="5"/>
        <v>0.27203571428571433</v>
      </c>
      <c r="AI13" s="1385">
        <f t="shared" si="5"/>
        <v>0.27203571428571433</v>
      </c>
      <c r="AJ13" s="1385">
        <f t="shared" si="5"/>
        <v>0.27203571428571433</v>
      </c>
    </row>
    <row r="14" spans="1:36" ht="15">
      <c r="A14" s="3406"/>
      <c r="B14" s="3053"/>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thickBot="1">
      <c r="A15" s="3407"/>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404" t="s">
        <v>2704</v>
      </c>
      <c r="B16" s="3049" t="s">
        <v>2705</v>
      </c>
      <c r="C16" s="2373">
        <f>ROUND(IF(F17="与级别开发程度一致",0,(G17-E17)/C17),0)</f>
        <v>0</v>
      </c>
      <c r="D16" s="3420" t="s">
        <v>2709</v>
      </c>
      <c r="E16" s="3421"/>
      <c r="F16" s="3420" t="s">
        <v>2706</v>
      </c>
      <c r="G16" s="3421"/>
      <c r="H16" s="2243"/>
      <c r="I16" s="2243"/>
      <c r="J16" s="2377"/>
      <c r="K16" s="2243"/>
      <c r="L16" s="2243"/>
      <c r="M16" s="2243"/>
      <c r="N16" s="2243"/>
      <c r="O16" s="2244"/>
      <c r="P16" s="2185"/>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408"/>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3139</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7.75" thickBot="1">
      <c r="A19" s="2248" t="s">
        <v>809</v>
      </c>
      <c r="B19" s="2249" t="s">
        <v>2712</v>
      </c>
      <c r="C19" s="863">
        <f>ROUND(IF(H19="按公示增长率计算",SUMPRODUCT((地价!A3:A33=YEAR(G19)&amp;"-"&amp;ROUNDUP(MONTH(G19)/3,0))*(地价!X2:AB2=E2)*(地价!X3:AB33)),IF(H19="地价指数",M20/M19,(1+I19)^O19)),4)</f>
        <v>1.3411</v>
      </c>
      <c r="D19" s="2253" t="s">
        <v>2713</v>
      </c>
      <c r="E19" s="864">
        <v>41640</v>
      </c>
      <c r="F19" s="2253" t="s">
        <v>2714</v>
      </c>
      <c r="G19" s="865">
        <f>'数据-取费表'!B2</f>
        <v>44218</v>
      </c>
      <c r="H19" s="2254" t="s">
        <v>3141</v>
      </c>
      <c r="I19" s="866" t="str">
        <f>IF(H19="季度增幅（自定义）",SUMIF(N21:N24,E2,O21:O24),"")</f>
        <v/>
      </c>
      <c r="J19" s="2251"/>
      <c r="K19" s="1287"/>
      <c r="L19" s="2255" t="s">
        <v>2715</v>
      </c>
      <c r="M19" s="1498">
        <f>ROUND(SUMIF(地价!B2:F2,E2,地价!B33:F33),0)</f>
        <v>258</v>
      </c>
      <c r="N19" s="2256"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2717</v>
      </c>
      <c r="C20" s="868">
        <f ca="1">ROUND(POWER(1+G20,J20-I20)*(POWER(1+G20,I20)-1)/(POWER(1+G20,J20)-1),4)</f>
        <v>0.97470000000000001</v>
      </c>
      <c r="D20" s="2260" t="s">
        <v>2718</v>
      </c>
      <c r="E20" s="1507">
        <f ca="1">存贷款利率!D4/100</f>
        <v>4.3499999999999997E-2</v>
      </c>
      <c r="F20" s="2260" t="s">
        <v>2710</v>
      </c>
      <c r="G20" s="873">
        <f ca="1">SUMIF(M26:P26,E2,M28:P28)</f>
        <v>5.1999999999999998E-2</v>
      </c>
      <c r="H20" s="2260" t="s">
        <v>2719</v>
      </c>
      <c r="I20" s="3063">
        <f>SUMIF('数据-取费表'!C6:C15,E2,'数据-取费表'!F6:F15)/COUNTIF('数据-取费表'!C6:C15,E2)</f>
        <v>44.92</v>
      </c>
      <c r="J20" s="875">
        <f>IF(E2="住宅",70,IF(E2="商业",40,50))</f>
        <v>50</v>
      </c>
      <c r="K20" s="1287"/>
      <c r="L20" s="2261" t="s">
        <v>2720</v>
      </c>
      <c r="M20" s="1499">
        <f>ROUND(SUMPRODUCT((地价!A4:A33=YEAR(G19)&amp;"-"&amp;ROUNDUP(MONTH(G19)/3,0))*(地价!B2:F2=E2)*(地价!B4:F33)),0)</f>
        <v>346</v>
      </c>
      <c r="N20" s="2262" t="s">
        <v>2721</v>
      </c>
      <c r="O20" s="2263" t="s">
        <v>2722</v>
      </c>
      <c r="P20" s="2264"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3153</v>
      </c>
      <c r="C21" s="3057">
        <f>IF(B21="容积率修正",IF(G3&lt;=10,D22,J22),C23)</f>
        <v>0.96399999999999997</v>
      </c>
      <c r="D21" s="2267"/>
      <c r="E21" s="2267"/>
      <c r="F21" s="2267"/>
      <c r="G21" s="2267"/>
      <c r="H21" s="2267"/>
      <c r="I21" s="2267"/>
      <c r="J21" s="2268"/>
      <c r="K21" s="1287"/>
      <c r="L21" s="3019"/>
      <c r="M21" s="3019"/>
      <c r="N21" s="2269" t="s">
        <v>2724</v>
      </c>
      <c r="O21" s="1335"/>
      <c r="P21" s="1336">
        <f>SUMPRODUCT((地价!A3:A33=YEAR(G19)&amp;"-"&amp;ROUNDUP(MONTH(G19)/3,0))*(地价!AD2:AH2=N21)*(地价!AD3:AH33))</f>
        <v>1.0999999999999999E-2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2725</v>
      </c>
      <c r="B22" s="2270" t="s">
        <v>2726</v>
      </c>
      <c r="C22" s="3056" t="s">
        <v>2727</v>
      </c>
      <c r="D22" s="3056">
        <f>IF(E22=G22,F22,IF(G3&lt;=10,ROUND(F22+(H22-F22)*(G3-E22)/(G22-E22),4),"——"))</f>
        <v>0.96399999999999997</v>
      </c>
      <c r="E22" s="855">
        <f>ROUNDDOWN(G3,1)</f>
        <v>2.8</v>
      </c>
      <c r="F22" s="3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0.96399999999999997</v>
      </c>
      <c r="G22" s="855">
        <f>ROUNDUP(G3,1)</f>
        <v>2.8</v>
      </c>
      <c r="H22" s="3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0.96399999999999997</v>
      </c>
      <c r="I22" s="3056" t="s">
        <v>155</v>
      </c>
      <c r="J22" s="877" t="str">
        <f>IF(G3&gt;10,D113,"——")</f>
        <v>——</v>
      </c>
      <c r="K22" s="1287"/>
      <c r="L22" s="3019"/>
      <c r="M22" s="3019"/>
      <c r="N22" s="2269" t="s">
        <v>2728</v>
      </c>
      <c r="O22" s="1335"/>
      <c r="P22" s="1336">
        <f>SUMPRODUCT((地价!A3:A33=YEAR(G19)&amp;"-"&amp;ROUNDUP(MONTH(G19)/3,0))*(地价!AD2:AH2=N22)*(地价!AD3:AH33))</f>
        <v>1.0999999999999999E-2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1.0695000000000001</v>
      </c>
      <c r="D24" s="2250"/>
      <c r="E24" s="2277"/>
      <c r="F24" s="2277"/>
      <c r="G24" s="2277"/>
      <c r="H24" s="2277"/>
      <c r="I24" s="2277"/>
      <c r="J24" s="2278"/>
      <c r="K24" s="1287"/>
      <c r="L24" s="3019"/>
      <c r="M24" s="3019"/>
      <c r="N24" s="2279" t="s">
        <v>2733</v>
      </c>
      <c r="O24" s="1337"/>
      <c r="P24" s="1338">
        <f>SUMPRODUCT((地价!A3:A33=YEAR(G19)&amp;"-"&amp;ROUNDUP(MONTH(G19)/3,0))*(地价!AD2:AH2=N24)*(地价!AD3:AH33))</f>
        <v>1.1900000000000001E-2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2734</v>
      </c>
      <c r="C25" s="869"/>
      <c r="D25" s="2214"/>
      <c r="E25" s="2214"/>
      <c r="F25" s="2281"/>
      <c r="G25" s="2214"/>
      <c r="H25" s="2214"/>
      <c r="I25" s="2214"/>
      <c r="J25" s="2215"/>
      <c r="K25" s="1280"/>
      <c r="L25" s="2185"/>
      <c r="M25" s="2185"/>
      <c r="N25" s="3014" t="s">
        <v>2735</v>
      </c>
      <c r="O25" s="3015"/>
      <c r="P25" s="3016">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14670</v>
      </c>
      <c r="D26" s="2283"/>
      <c r="E26" s="2239"/>
      <c r="F26" s="2284"/>
      <c r="G26" s="2239"/>
      <c r="H26" s="2239"/>
      <c r="I26" s="2239"/>
      <c r="J26" s="2285"/>
      <c r="K26" s="1280"/>
      <c r="L26" s="3017" t="s">
        <v>2636</v>
      </c>
      <c r="M26" s="2212" t="s">
        <v>2700</v>
      </c>
      <c r="N26" s="2212" t="s">
        <v>2701</v>
      </c>
      <c r="O26" s="2212" t="s">
        <v>2702</v>
      </c>
      <c r="P26" s="3018"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13895</v>
      </c>
      <c r="D29" s="2298">
        <f>'数据-汇总表'!F19</f>
        <v>10558.08</v>
      </c>
      <c r="E29" s="3061">
        <f ca="1">ROUND(C29*D29/10000,0)</f>
        <v>14670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3474</v>
      </c>
      <c r="D30" s="2304"/>
      <c r="E30" s="3061">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17"/>
      <c r="B33" s="2314" t="s">
        <v>2750</v>
      </c>
      <c r="C33" s="180">
        <f ca="1">ROUND(D5*C19*C20*C24*F33,0)</f>
        <v>10089</v>
      </c>
      <c r="D33" s="2298"/>
      <c r="E33" s="176">
        <f ca="1">ROUND(C33*D33/10000,0)</f>
        <v>0</v>
      </c>
      <c r="F33" s="176">
        <f>SUMIF(修正!A45:A56,G2,修正!B45:B56)</f>
        <v>0.7</v>
      </c>
      <c r="G33" s="176">
        <f t="shared" ref="G33" ca="1" si="6">ROUND(IF(E2="工业",C33*$M$39,C33*$M$38),0)</f>
        <v>2522</v>
      </c>
      <c r="H33" s="176">
        <f>D33</f>
        <v>0</v>
      </c>
      <c r="I33" s="176">
        <f ca="1">ROUND(G33*H33/10000,0)</f>
        <v>0</v>
      </c>
      <c r="J33" s="3422"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18"/>
      <c r="B34" s="2231" t="s">
        <v>2751</v>
      </c>
      <c r="C34" s="180">
        <f ca="1">ROUND(D5*C19*C20*C24*F34,0)</f>
        <v>5765</v>
      </c>
      <c r="D34" s="2298"/>
      <c r="E34" s="176">
        <f t="shared" ref="E34:E39" ca="1" si="7">ROUND(C34*D34/10000,0)</f>
        <v>0</v>
      </c>
      <c r="F34" s="176">
        <f>SUMIF(修正!A45:A56,G2,修正!C45:C56)</f>
        <v>0.4</v>
      </c>
      <c r="G34" s="176">
        <f ca="1">ROUND(IF(E2="工业",C34*$M$39,C34*$M$38),0)</f>
        <v>1441</v>
      </c>
      <c r="H34" s="176">
        <f t="shared" ref="H34:H39" si="8">D34</f>
        <v>0</v>
      </c>
      <c r="I34" s="176">
        <f t="shared" ref="I34:I39" ca="1" si="9">ROUND(G34*H34/10000,0)</f>
        <v>0</v>
      </c>
      <c r="J34" s="341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18"/>
      <c r="B35" s="2231" t="s">
        <v>2752</v>
      </c>
      <c r="C35" s="180">
        <f ca="1">ROUND(D5*C19*C20*C24*F35,0)</f>
        <v>4036</v>
      </c>
      <c r="D35" s="2298"/>
      <c r="E35" s="176">
        <f t="shared" ca="1" si="7"/>
        <v>0</v>
      </c>
      <c r="F35" s="176">
        <f>SUMIF(修正!A45:A56,G2,修正!D45:D56)</f>
        <v>0.28000000000000003</v>
      </c>
      <c r="G35" s="176">
        <f ca="1">ROUND(IF(E2="工业",C35*$M$39,C35*$M$38),0)</f>
        <v>1009</v>
      </c>
      <c r="H35" s="176">
        <f t="shared" si="8"/>
        <v>0</v>
      </c>
      <c r="I35" s="176">
        <f t="shared" ca="1" si="9"/>
        <v>0</v>
      </c>
      <c r="J35" s="341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19"/>
      <c r="B36" s="2231" t="s">
        <v>2753</v>
      </c>
      <c r="C36" s="180">
        <f ca="1">ROUND(D5*C19*C20*C24*F36,0)</f>
        <v>3603</v>
      </c>
      <c r="D36" s="2298"/>
      <c r="E36" s="176">
        <f t="shared" ca="1" si="7"/>
        <v>0</v>
      </c>
      <c r="F36" s="176">
        <f>SUMIF(修正!A45:A56,G2,修正!E45:E56)</f>
        <v>0.25</v>
      </c>
      <c r="G36" s="176">
        <f ca="1">ROUND(IF(E2="工业",C36*$M$39,C36*$M$38),0)</f>
        <v>901</v>
      </c>
      <c r="H36" s="176">
        <f t="shared" si="8"/>
        <v>0</v>
      </c>
      <c r="I36" s="176">
        <f t="shared" ca="1" si="9"/>
        <v>0</v>
      </c>
      <c r="J36" s="341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3603</v>
      </c>
      <c r="D37" s="2298"/>
      <c r="E37" s="176">
        <f t="shared" ca="1" si="7"/>
        <v>0</v>
      </c>
      <c r="F37" s="180">
        <f>SUMIF(修正!A45:A56,G2,修正!F45:F56)</f>
        <v>0.25</v>
      </c>
      <c r="G37" s="176">
        <f ca="1">ROUND(IF(E2="工业",C37*$M$39,C37*$M$38),0)</f>
        <v>901</v>
      </c>
      <c r="H37" s="176">
        <f t="shared" si="8"/>
        <v>0</v>
      </c>
      <c r="I37" s="176">
        <f t="shared" ca="1" si="9"/>
        <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v>
      </c>
      <c r="D41" s="176" t="s">
        <v>2710</v>
      </c>
      <c r="E41" s="2371">
        <f ca="1">G20</f>
        <v>5.1999999999999998E-2</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t="e">
        <f>1+E48</f>
        <v>#VALUE!</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24.75">
      <c r="A48" s="2331" t="s">
        <v>2769</v>
      </c>
      <c r="B48" s="2334" t="str">
        <f>估价对象房地状况!C4</f>
        <v>一般</v>
      </c>
      <c r="C48" s="2236" t="s">
        <v>3146</v>
      </c>
      <c r="D48" s="1196">
        <f t="shared" ref="D48:D56" si="10">SUMIF($J$47:$N$47,C48,J48:N48)</f>
        <v>0</v>
      </c>
      <c r="E48" s="760" t="e">
        <f>ROUND(SUM(D48:D56),4)</f>
        <v>#VALUE!</v>
      </c>
      <c r="F48" s="2002" t="str">
        <f>IF(E2="商业",SUMIF(L1:L12,G2,N1:N12),"——")</f>
        <v>——</v>
      </c>
      <c r="G48" s="1194" t="str">
        <f>H48</f>
        <v>——</v>
      </c>
      <c r="H48" s="1198" t="str">
        <f t="shared" ref="H48:H56" si="11">IFERROR(ROUNDDOWN($F$48*I48/2,4),"——")</f>
        <v>——</v>
      </c>
      <c r="I48" s="759">
        <v>0.33</v>
      </c>
      <c r="J48" s="1195" t="e">
        <f t="shared" ref="J48:J56" si="12">K48+$G48</f>
        <v>#VALUE!</v>
      </c>
      <c r="K48" s="1195" t="e">
        <f t="shared" ref="K48:K56" si="13">$L48+$G48</f>
        <v>#VALUE!</v>
      </c>
      <c r="L48" s="1195">
        <v>0</v>
      </c>
      <c r="M48" s="1195" t="e">
        <f t="shared" ref="M48:N56" si="14">L48-$G48</f>
        <v>#VALUE!</v>
      </c>
      <c r="N48" s="1195" t="e">
        <f t="shared" si="14"/>
        <v>#VALUE!</v>
      </c>
      <c r="AA48" s="1281"/>
      <c r="AB48" s="1281"/>
      <c r="AC48" s="1281"/>
      <c r="AD48" s="1281"/>
      <c r="AE48" s="1281"/>
      <c r="AF48" s="1281"/>
      <c r="AG48" s="1281"/>
      <c r="AH48" s="1281"/>
      <c r="AI48" s="1281"/>
      <c r="AJ48" s="1281"/>
      <c r="AK48" s="1281"/>
    </row>
    <row r="49" spans="1:37" s="1280" customFormat="1" ht="14.25">
      <c r="A49" s="2331" t="s">
        <v>2770</v>
      </c>
      <c r="B49" s="2335" t="str">
        <f>估价对象房地状况!C18</f>
        <v>好</v>
      </c>
      <c r="C49" s="2236" t="s">
        <v>3150</v>
      </c>
      <c r="D49" s="1196" t="e">
        <f t="shared" si="10"/>
        <v>#VALUE!</v>
      </c>
      <c r="E49" s="761"/>
      <c r="F49" s="2002"/>
      <c r="G49" s="1194" t="str">
        <f t="shared" ref="G49:G56" si="15">H49</f>
        <v>——</v>
      </c>
      <c r="H49" s="1198" t="str">
        <f t="shared" si="11"/>
        <v>——</v>
      </c>
      <c r="I49" s="759">
        <v>0.25</v>
      </c>
      <c r="J49" s="1195" t="e">
        <f t="shared" si="12"/>
        <v>#VALUE!</v>
      </c>
      <c r="K49" s="1195" t="e">
        <f t="shared" si="13"/>
        <v>#VALUE!</v>
      </c>
      <c r="L49" s="1195">
        <v>0</v>
      </c>
      <c r="M49" s="1195" t="e">
        <f t="shared" si="14"/>
        <v>#VALUE!</v>
      </c>
      <c r="N49" s="1195" t="e">
        <f t="shared" si="14"/>
        <v>#VALUE!</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t="s">
        <v>3151</v>
      </c>
      <c r="D50" s="1196" t="e">
        <f t="shared" si="10"/>
        <v>#VALUE!</v>
      </c>
      <c r="E50" s="761"/>
      <c r="F50" s="2002"/>
      <c r="G50" s="1194" t="str">
        <f t="shared" si="15"/>
        <v>——</v>
      </c>
      <c r="H50" s="1198" t="str">
        <f t="shared" si="11"/>
        <v>——</v>
      </c>
      <c r="I50" s="759">
        <v>0.05</v>
      </c>
      <c r="J50" s="1195" t="e">
        <f t="shared" si="12"/>
        <v>#VALUE!</v>
      </c>
      <c r="K50" s="1195" t="e">
        <f t="shared" si="13"/>
        <v>#VALUE!</v>
      </c>
      <c r="L50" s="1195">
        <v>0</v>
      </c>
      <c r="M50" s="1195" t="e">
        <f t="shared" si="14"/>
        <v>#VALUE!</v>
      </c>
      <c r="N50" s="1195" t="e">
        <f t="shared" si="14"/>
        <v>#VALUE!</v>
      </c>
      <c r="AA50" s="1281"/>
      <c r="AB50" s="1281"/>
      <c r="AC50" s="1281"/>
      <c r="AD50" s="1281"/>
      <c r="AE50" s="1281"/>
      <c r="AF50" s="1281"/>
      <c r="AG50" s="1281"/>
      <c r="AH50" s="1281"/>
      <c r="AI50" s="1281"/>
      <c r="AJ50" s="1281"/>
      <c r="AK50" s="1281"/>
    </row>
    <row r="51" spans="1:37" s="1280" customFormat="1" ht="36.75">
      <c r="A51" s="2331" t="s">
        <v>2772</v>
      </c>
      <c r="B51" s="2336" t="s">
        <v>2773</v>
      </c>
      <c r="C51" s="2236" t="s">
        <v>3151</v>
      </c>
      <c r="D51" s="1196" t="e">
        <f t="shared" si="10"/>
        <v>#VALUE!</v>
      </c>
      <c r="E51" s="761"/>
      <c r="F51" s="2002"/>
      <c r="G51" s="1194" t="str">
        <f t="shared" si="15"/>
        <v>——</v>
      </c>
      <c r="H51" s="1198" t="str">
        <f t="shared" si="11"/>
        <v>——</v>
      </c>
      <c r="I51" s="759">
        <v>0.05</v>
      </c>
      <c r="J51" s="1195" t="e">
        <f t="shared" si="12"/>
        <v>#VALUE!</v>
      </c>
      <c r="K51" s="1195" t="e">
        <f t="shared" si="13"/>
        <v>#VALUE!</v>
      </c>
      <c r="L51" s="1195">
        <v>0</v>
      </c>
      <c r="M51" s="1195" t="e">
        <f t="shared" si="14"/>
        <v>#VALUE!</v>
      </c>
      <c r="N51" s="1195" t="e">
        <f t="shared" si="14"/>
        <v>#VALUE!</v>
      </c>
      <c r="AA51" s="1281"/>
      <c r="AB51" s="1281"/>
      <c r="AC51" s="1281"/>
      <c r="AD51" s="1281"/>
      <c r="AE51" s="1281"/>
      <c r="AF51" s="1281"/>
      <c r="AG51" s="1281"/>
      <c r="AH51" s="1281"/>
      <c r="AI51" s="1281"/>
      <c r="AJ51" s="1281"/>
      <c r="AK51" s="1281"/>
    </row>
    <row r="52" spans="1:37" s="1280" customFormat="1" ht="24">
      <c r="A52" s="2331" t="s">
        <v>2774</v>
      </c>
      <c r="B52" s="2335" t="str">
        <f>估价对象房地状况!C24</f>
        <v>次干道</v>
      </c>
      <c r="C52" s="2236" t="s">
        <v>3151</v>
      </c>
      <c r="D52" s="1196" t="e">
        <f t="shared" si="10"/>
        <v>#VALUE!</v>
      </c>
      <c r="E52" s="761"/>
      <c r="F52" s="2002"/>
      <c r="G52" s="1194" t="str">
        <f t="shared" si="15"/>
        <v>——</v>
      </c>
      <c r="H52" s="1198" t="str">
        <f t="shared" si="11"/>
        <v>——</v>
      </c>
      <c r="I52" s="759">
        <v>0.08</v>
      </c>
      <c r="J52" s="1195" t="e">
        <f t="shared" si="12"/>
        <v>#VALUE!</v>
      </c>
      <c r="K52" s="1195" t="e">
        <f t="shared" si="13"/>
        <v>#VALUE!</v>
      </c>
      <c r="L52" s="1195">
        <v>0</v>
      </c>
      <c r="M52" s="1195" t="e">
        <f t="shared" si="14"/>
        <v>#VALUE!</v>
      </c>
      <c r="N52" s="1195" t="e">
        <f t="shared" si="14"/>
        <v>#VALUE!</v>
      </c>
      <c r="AA52" s="1281"/>
      <c r="AB52" s="1281"/>
      <c r="AC52" s="1281"/>
      <c r="AD52" s="1281"/>
      <c r="AE52" s="1281"/>
      <c r="AF52" s="1281"/>
      <c r="AG52" s="1281"/>
      <c r="AH52" s="1281"/>
      <c r="AI52" s="1281"/>
      <c r="AJ52" s="1281"/>
      <c r="AK52" s="1281"/>
    </row>
    <row r="53" spans="1:37" s="1280" customFormat="1" ht="24">
      <c r="A53" s="2331" t="s">
        <v>2775</v>
      </c>
      <c r="B53" s="2337" t="s">
        <v>2776</v>
      </c>
      <c r="C53" s="2236" t="s">
        <v>3151</v>
      </c>
      <c r="D53" s="1196" t="e">
        <f t="shared" si="10"/>
        <v>#VALUE!</v>
      </c>
      <c r="E53" s="761"/>
      <c r="F53" s="2002"/>
      <c r="G53" s="1194" t="str">
        <f t="shared" si="15"/>
        <v>——</v>
      </c>
      <c r="H53" s="1198" t="str">
        <f t="shared" si="11"/>
        <v>——</v>
      </c>
      <c r="I53" s="759">
        <v>0.03</v>
      </c>
      <c r="J53" s="1195" t="e">
        <f t="shared" si="12"/>
        <v>#VALUE!</v>
      </c>
      <c r="K53" s="1195" t="e">
        <f t="shared" si="13"/>
        <v>#VALUE!</v>
      </c>
      <c r="L53" s="1195">
        <v>0</v>
      </c>
      <c r="M53" s="1195" t="e">
        <f t="shared" si="14"/>
        <v>#VALUE!</v>
      </c>
      <c r="N53" s="1195" t="e">
        <f t="shared" si="14"/>
        <v>#VALUE!</v>
      </c>
      <c r="AA53" s="1281"/>
      <c r="AB53" s="1281"/>
      <c r="AC53" s="1281"/>
      <c r="AD53" s="1281"/>
      <c r="AE53" s="1281"/>
      <c r="AF53" s="1281"/>
      <c r="AG53" s="1281"/>
      <c r="AH53" s="1281"/>
      <c r="AI53" s="1281"/>
      <c r="AJ53" s="1281"/>
      <c r="AK53" s="1281"/>
    </row>
    <row r="54" spans="1:37" s="1280" customFormat="1" ht="24">
      <c r="A54" s="2338" t="s">
        <v>2777</v>
      </c>
      <c r="B54" s="1496" t="str">
        <f>估价对象房地状况!C21</f>
        <v>较好</v>
      </c>
      <c r="C54" s="2236" t="s">
        <v>3151</v>
      </c>
      <c r="D54" s="1196" t="e">
        <f t="shared" si="10"/>
        <v>#VALUE!</v>
      </c>
      <c r="E54" s="761"/>
      <c r="F54" s="2002"/>
      <c r="G54" s="1194" t="str">
        <f t="shared" si="15"/>
        <v>——</v>
      </c>
      <c r="H54" s="1198" t="str">
        <f t="shared" si="11"/>
        <v>——</v>
      </c>
      <c r="I54" s="759">
        <v>0.05</v>
      </c>
      <c r="J54" s="1195" t="e">
        <f t="shared" si="12"/>
        <v>#VALUE!</v>
      </c>
      <c r="K54" s="1195" t="e">
        <f t="shared" si="13"/>
        <v>#VALUE!</v>
      </c>
      <c r="L54" s="1195">
        <v>0</v>
      </c>
      <c r="M54" s="1195" t="e">
        <f t="shared" si="14"/>
        <v>#VALUE!</v>
      </c>
      <c r="N54" s="1195" t="e">
        <f t="shared" si="14"/>
        <v>#VALUE!</v>
      </c>
      <c r="AA54" s="1281"/>
      <c r="AB54" s="1281"/>
      <c r="AC54" s="1281"/>
      <c r="AD54" s="1281"/>
      <c r="AE54" s="1281"/>
      <c r="AF54" s="1281"/>
      <c r="AG54" s="1281"/>
      <c r="AH54" s="1281"/>
      <c r="AI54" s="1281"/>
      <c r="AJ54" s="1281"/>
      <c r="AK54" s="1281"/>
    </row>
    <row r="55" spans="1:37" s="1280" customFormat="1" ht="24">
      <c r="A55" s="2338" t="s">
        <v>2778</v>
      </c>
      <c r="B55" s="2335" t="str">
        <f>估价对象房地状况!C22</f>
        <v>七通</v>
      </c>
      <c r="C55" s="2236" t="s">
        <v>3150</v>
      </c>
      <c r="D55" s="1196" t="e">
        <f t="shared" si="10"/>
        <v>#VALUE!</v>
      </c>
      <c r="E55" s="761"/>
      <c r="F55" s="2002"/>
      <c r="G55" s="1194" t="str">
        <f t="shared" si="15"/>
        <v>——</v>
      </c>
      <c r="H55" s="1198" t="str">
        <f t="shared" si="11"/>
        <v>——</v>
      </c>
      <c r="I55" s="759">
        <v>0.1</v>
      </c>
      <c r="J55" s="1195" t="e">
        <f t="shared" si="12"/>
        <v>#VALUE!</v>
      </c>
      <c r="K55" s="1195" t="e">
        <f t="shared" si="13"/>
        <v>#VALUE!</v>
      </c>
      <c r="L55" s="1195">
        <v>0</v>
      </c>
      <c r="M55" s="1195" t="e">
        <f t="shared" si="14"/>
        <v>#VALUE!</v>
      </c>
      <c r="N55" s="1195" t="e">
        <f t="shared" si="14"/>
        <v>#VALUE!</v>
      </c>
      <c r="AA55" s="1281"/>
      <c r="AB55" s="1281"/>
      <c r="AC55" s="1281"/>
      <c r="AD55" s="1281"/>
      <c r="AE55" s="1281"/>
      <c r="AF55" s="1281"/>
      <c r="AG55" s="1281"/>
      <c r="AH55" s="1281"/>
      <c r="AI55" s="1281"/>
      <c r="AJ55" s="1281"/>
      <c r="AK55" s="1281"/>
    </row>
    <row r="56" spans="1:37" s="1280" customFormat="1" ht="24.75" thickBot="1">
      <c r="A56" s="2339" t="s">
        <v>2779</v>
      </c>
      <c r="B56" s="2340" t="str">
        <f>估价对象房地状况!C20</f>
        <v>一般</v>
      </c>
      <c r="C56" s="2236" t="s">
        <v>3146</v>
      </c>
      <c r="D56" s="1196">
        <f t="shared" si="10"/>
        <v>0</v>
      </c>
      <c r="E56" s="764"/>
      <c r="F56" s="2002"/>
      <c r="G56" s="1194" t="str">
        <f t="shared" si="15"/>
        <v>——</v>
      </c>
      <c r="H56" s="1198" t="str">
        <f t="shared" si="11"/>
        <v>——</v>
      </c>
      <c r="I56" s="763">
        <v>0.06</v>
      </c>
      <c r="J56" s="1195" t="e">
        <f t="shared" si="12"/>
        <v>#VALUE!</v>
      </c>
      <c r="K56" s="1195" t="e">
        <f t="shared" si="13"/>
        <v>#VALUE!</v>
      </c>
      <c r="L56" s="1195">
        <v>0</v>
      </c>
      <c r="M56" s="1195" t="e">
        <f t="shared" si="14"/>
        <v>#VALUE!</v>
      </c>
      <c r="N56" s="1195" t="e">
        <f t="shared" si="14"/>
        <v>#VALUE!</v>
      </c>
      <c r="AA56" s="1281"/>
      <c r="AB56" s="1281"/>
      <c r="AC56" s="1281"/>
      <c r="AD56" s="1281"/>
      <c r="AE56" s="1281"/>
      <c r="AF56" s="1281"/>
      <c r="AG56" s="1281"/>
      <c r="AH56" s="1281"/>
      <c r="AI56" s="1281"/>
      <c r="AJ56" s="1281"/>
      <c r="AK56" s="1281"/>
    </row>
    <row r="57" spans="1:37" s="1280" customFormat="1" ht="15">
      <c r="A57" s="2327" t="s">
        <v>2780</v>
      </c>
      <c r="B57" s="2328">
        <f>1+E59</f>
        <v>1.0695000000000001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24">
      <c r="A59" s="2331" t="s">
        <v>2782</v>
      </c>
      <c r="B59" s="2334" t="str">
        <f>估价对象房地状况!C17</f>
        <v>一般</v>
      </c>
      <c r="C59" s="2236" t="s">
        <v>3146</v>
      </c>
      <c r="D59" s="1196">
        <f t="shared" ref="D59:D67" si="16">SUMIF($J$58:$N$58,C59,J59:N59)</f>
        <v>0</v>
      </c>
      <c r="E59" s="760">
        <f>ROUND(SUM(D59:D67),4)</f>
        <v>6.9500000000000006E-2</v>
      </c>
      <c r="F59" s="2002">
        <f>IF(E2="办公",SUMIF(L1:L12,G2,N1:N12),"——")</f>
        <v>0.13</v>
      </c>
      <c r="G59" s="1194">
        <f>H59</f>
        <v>1.5599999999999999E-2</v>
      </c>
      <c r="H59" s="1198">
        <f t="shared" ref="H59:H67" si="17">IFERROR(ROUNDDOWN($F$59*I59/2,4),"——")</f>
        <v>1.5599999999999999E-2</v>
      </c>
      <c r="I59" s="759">
        <v>0.24</v>
      </c>
      <c r="J59" s="1195">
        <f t="shared" ref="J59:J67" si="18">K59+$G59</f>
        <v>3.1199999999999999E-2</v>
      </c>
      <c r="K59" s="1195">
        <f t="shared" ref="K59:K67" si="19">$L59+$G59</f>
        <v>1.5599999999999999E-2</v>
      </c>
      <c r="L59" s="1195">
        <v>0</v>
      </c>
      <c r="M59" s="1195">
        <f t="shared" ref="M59:N67" si="20">L59-$G59</f>
        <v>-1.5599999999999999E-2</v>
      </c>
      <c r="N59" s="1195">
        <f t="shared" si="20"/>
        <v>-3.1199999999999999E-2</v>
      </c>
      <c r="AA59" s="1281"/>
      <c r="AB59" s="1281"/>
      <c r="AC59" s="1281"/>
      <c r="AD59" s="1281"/>
      <c r="AE59" s="1281"/>
      <c r="AF59" s="1281"/>
      <c r="AG59" s="1281"/>
      <c r="AH59" s="1281"/>
      <c r="AI59" s="1281"/>
      <c r="AJ59" s="1281"/>
      <c r="AK59" s="1281"/>
    </row>
    <row r="60" spans="1:37" s="1280" customFormat="1" ht="14.25">
      <c r="A60" s="2331" t="s">
        <v>2770</v>
      </c>
      <c r="B60" s="2335" t="str">
        <f>估价对象房地状况!C18</f>
        <v>好</v>
      </c>
      <c r="C60" s="2236" t="s">
        <v>3150</v>
      </c>
      <c r="D60" s="1196">
        <f t="shared" si="16"/>
        <v>3.9E-2</v>
      </c>
      <c r="E60" s="761"/>
      <c r="F60" s="2002"/>
      <c r="G60" s="1194">
        <f t="shared" ref="G60:G67" si="21">H60</f>
        <v>1.95E-2</v>
      </c>
      <c r="H60" s="1198">
        <f t="shared" si="17"/>
        <v>1.95E-2</v>
      </c>
      <c r="I60" s="759">
        <v>0.3</v>
      </c>
      <c r="J60" s="1195">
        <f t="shared" si="18"/>
        <v>3.9E-2</v>
      </c>
      <c r="K60" s="1195">
        <f t="shared" si="19"/>
        <v>1.95E-2</v>
      </c>
      <c r="L60" s="1195">
        <v>0</v>
      </c>
      <c r="M60" s="1195">
        <f t="shared" si="20"/>
        <v>-1.95E-2</v>
      </c>
      <c r="N60" s="1195">
        <f t="shared" si="20"/>
        <v>-3.9E-2</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t="s">
        <v>3151</v>
      </c>
      <c r="D61" s="1196">
        <f t="shared" si="16"/>
        <v>5.1999999999999998E-3</v>
      </c>
      <c r="E61" s="761"/>
      <c r="F61" s="2002"/>
      <c r="G61" s="1194">
        <f t="shared" si="21"/>
        <v>5.1999999999999998E-3</v>
      </c>
      <c r="H61" s="1198">
        <f t="shared" si="17"/>
        <v>5.1999999999999998E-3</v>
      </c>
      <c r="I61" s="759">
        <v>0.08</v>
      </c>
      <c r="J61" s="1195">
        <f t="shared" si="18"/>
        <v>1.04E-2</v>
      </c>
      <c r="K61" s="1195">
        <f t="shared" si="19"/>
        <v>5.1999999999999998E-3</v>
      </c>
      <c r="L61" s="1195">
        <v>0</v>
      </c>
      <c r="M61" s="1195">
        <f t="shared" si="20"/>
        <v>-5.1999999999999998E-3</v>
      </c>
      <c r="N61" s="1195">
        <f t="shared" si="20"/>
        <v>-1.04E-2</v>
      </c>
      <c r="AA61" s="1281"/>
      <c r="AB61" s="1281"/>
      <c r="AC61" s="1281"/>
      <c r="AD61" s="1281"/>
      <c r="AE61" s="1281"/>
      <c r="AF61" s="1281"/>
      <c r="AG61" s="1281"/>
      <c r="AH61" s="1281"/>
      <c r="AI61" s="1281"/>
      <c r="AJ61" s="1281"/>
      <c r="AK61" s="1281"/>
    </row>
    <row r="62" spans="1:37" s="1280" customFormat="1" ht="36.75">
      <c r="A62" s="2331" t="s">
        <v>2772</v>
      </c>
      <c r="B62" s="2336" t="s">
        <v>2773</v>
      </c>
      <c r="C62" s="2236" t="s">
        <v>3151</v>
      </c>
      <c r="D62" s="1196">
        <f t="shared" si="16"/>
        <v>2.5999999999999999E-3</v>
      </c>
      <c r="E62" s="761"/>
      <c r="F62" s="2002"/>
      <c r="G62" s="1194">
        <f t="shared" si="21"/>
        <v>2.5999999999999999E-3</v>
      </c>
      <c r="H62" s="1198">
        <f t="shared" si="17"/>
        <v>2.5999999999999999E-3</v>
      </c>
      <c r="I62" s="759">
        <v>0.04</v>
      </c>
      <c r="J62" s="1195">
        <f t="shared" si="18"/>
        <v>5.1999999999999998E-3</v>
      </c>
      <c r="K62" s="1195">
        <f t="shared" si="19"/>
        <v>2.5999999999999999E-3</v>
      </c>
      <c r="L62" s="1195">
        <v>0</v>
      </c>
      <c r="M62" s="1195">
        <f t="shared" si="20"/>
        <v>-2.5999999999999999E-3</v>
      </c>
      <c r="N62" s="1195">
        <f t="shared" si="20"/>
        <v>-5.1999999999999998E-3</v>
      </c>
      <c r="AA62" s="1281"/>
      <c r="AB62" s="1281"/>
      <c r="AC62" s="1281"/>
      <c r="AD62" s="1281"/>
      <c r="AE62" s="1281"/>
      <c r="AF62" s="1281"/>
      <c r="AG62" s="1281"/>
      <c r="AH62" s="1281"/>
      <c r="AI62" s="1281"/>
      <c r="AJ62" s="1281"/>
      <c r="AK62" s="1281"/>
    </row>
    <row r="63" spans="1:37" s="1280" customFormat="1" ht="24">
      <c r="A63" s="2331" t="s">
        <v>2774</v>
      </c>
      <c r="B63" s="2335" t="str">
        <f>估价对象房地状况!C24</f>
        <v>次干道</v>
      </c>
      <c r="C63" s="2236" t="s">
        <v>3146</v>
      </c>
      <c r="D63" s="1196">
        <f t="shared" si="16"/>
        <v>0</v>
      </c>
      <c r="E63" s="761"/>
      <c r="F63" s="2002"/>
      <c r="G63" s="1194">
        <f t="shared" si="21"/>
        <v>3.2000000000000002E-3</v>
      </c>
      <c r="H63" s="1198">
        <f t="shared" si="17"/>
        <v>3.2000000000000002E-3</v>
      </c>
      <c r="I63" s="759">
        <v>0.05</v>
      </c>
      <c r="J63" s="1195">
        <f t="shared" si="18"/>
        <v>6.4000000000000003E-3</v>
      </c>
      <c r="K63" s="1195">
        <f t="shared" si="19"/>
        <v>3.2000000000000002E-3</v>
      </c>
      <c r="L63" s="1195">
        <v>0</v>
      </c>
      <c r="M63" s="1195">
        <f t="shared" si="20"/>
        <v>-3.2000000000000002E-3</v>
      </c>
      <c r="N63" s="1195">
        <f t="shared" si="20"/>
        <v>-6.4000000000000003E-3</v>
      </c>
      <c r="AA63" s="1281"/>
      <c r="AB63" s="1281"/>
      <c r="AC63" s="1281"/>
      <c r="AD63" s="1281"/>
      <c r="AE63" s="1281"/>
      <c r="AF63" s="1281"/>
      <c r="AG63" s="1281"/>
      <c r="AH63" s="1281"/>
      <c r="AI63" s="1281"/>
      <c r="AJ63" s="1281"/>
      <c r="AK63" s="1281"/>
    </row>
    <row r="64" spans="1:37" s="1280" customFormat="1" ht="24">
      <c r="A64" s="2331" t="s">
        <v>2775</v>
      </c>
      <c r="B64" s="2337" t="s">
        <v>2776</v>
      </c>
      <c r="C64" s="2236" t="s">
        <v>3151</v>
      </c>
      <c r="D64" s="1196">
        <f t="shared" si="16"/>
        <v>3.2000000000000002E-3</v>
      </c>
      <c r="E64" s="761"/>
      <c r="F64" s="2002"/>
      <c r="G64" s="1194">
        <f t="shared" si="21"/>
        <v>3.2000000000000002E-3</v>
      </c>
      <c r="H64" s="1198">
        <f t="shared" si="17"/>
        <v>3.2000000000000002E-3</v>
      </c>
      <c r="I64" s="759">
        <v>0.05</v>
      </c>
      <c r="J64" s="1195">
        <f t="shared" si="18"/>
        <v>6.4000000000000003E-3</v>
      </c>
      <c r="K64" s="1195">
        <f t="shared" si="19"/>
        <v>3.2000000000000002E-3</v>
      </c>
      <c r="L64" s="1195">
        <v>0</v>
      </c>
      <c r="M64" s="1195">
        <f t="shared" si="20"/>
        <v>-3.2000000000000002E-3</v>
      </c>
      <c r="N64" s="1195">
        <f t="shared" si="20"/>
        <v>-6.4000000000000003E-3</v>
      </c>
      <c r="AA64" s="1281"/>
      <c r="AB64" s="1281"/>
      <c r="AC64" s="1281"/>
      <c r="AD64" s="1281"/>
      <c r="AE64" s="1281"/>
      <c r="AF64" s="1281"/>
      <c r="AG64" s="1281"/>
      <c r="AH64" s="1281"/>
      <c r="AI64" s="1281"/>
      <c r="AJ64" s="1281"/>
      <c r="AK64" s="1281"/>
    </row>
    <row r="65" spans="1:37" s="1280" customFormat="1" ht="24">
      <c r="A65" s="2331" t="s">
        <v>2777</v>
      </c>
      <c r="B65" s="1496" t="str">
        <f>估价对象房地状况!C21</f>
        <v>较好</v>
      </c>
      <c r="C65" s="2236" t="s">
        <v>3151</v>
      </c>
      <c r="D65" s="1196">
        <f t="shared" si="16"/>
        <v>3.8999999999999998E-3</v>
      </c>
      <c r="E65" s="761"/>
      <c r="F65" s="2002"/>
      <c r="G65" s="1194">
        <f t="shared" si="21"/>
        <v>3.8999999999999998E-3</v>
      </c>
      <c r="H65" s="1198">
        <f t="shared" si="17"/>
        <v>3.8999999999999998E-3</v>
      </c>
      <c r="I65" s="759">
        <v>0.06</v>
      </c>
      <c r="J65" s="1195">
        <f t="shared" si="18"/>
        <v>7.7999999999999996E-3</v>
      </c>
      <c r="K65" s="1195">
        <f t="shared" si="19"/>
        <v>3.8999999999999998E-3</v>
      </c>
      <c r="L65" s="1195">
        <v>0</v>
      </c>
      <c r="M65" s="1195">
        <f t="shared" si="20"/>
        <v>-3.8999999999999998E-3</v>
      </c>
      <c r="N65" s="1195">
        <f t="shared" si="20"/>
        <v>-7.7999999999999996E-3</v>
      </c>
      <c r="AA65" s="1281"/>
      <c r="AB65" s="1281"/>
      <c r="AC65" s="1281"/>
      <c r="AD65" s="1281"/>
      <c r="AE65" s="1281"/>
      <c r="AF65" s="1281"/>
      <c r="AG65" s="1281"/>
      <c r="AH65" s="1281"/>
      <c r="AI65" s="1281"/>
      <c r="AJ65" s="1281"/>
      <c r="AK65" s="1281"/>
    </row>
    <row r="66" spans="1:37" s="1280" customFormat="1" ht="24">
      <c r="A66" s="2331" t="s">
        <v>2778</v>
      </c>
      <c r="B66" s="1496" t="str">
        <f>估价对象房地状况!C22</f>
        <v>七通</v>
      </c>
      <c r="C66" s="2236" t="s">
        <v>3150</v>
      </c>
      <c r="D66" s="1196">
        <f t="shared" si="16"/>
        <v>1.5599999999999999E-2</v>
      </c>
      <c r="E66" s="761"/>
      <c r="F66" s="2002"/>
      <c r="G66" s="1194">
        <f t="shared" si="21"/>
        <v>7.7999999999999996E-3</v>
      </c>
      <c r="H66" s="1198">
        <f t="shared" si="17"/>
        <v>7.7999999999999996E-3</v>
      </c>
      <c r="I66" s="759">
        <v>0.12</v>
      </c>
      <c r="J66" s="1195">
        <f t="shared" si="18"/>
        <v>1.5599999999999999E-2</v>
      </c>
      <c r="K66" s="1195">
        <f t="shared" si="19"/>
        <v>7.7999999999999996E-3</v>
      </c>
      <c r="L66" s="1195">
        <v>0</v>
      </c>
      <c r="M66" s="1195">
        <f t="shared" si="20"/>
        <v>-7.7999999999999996E-3</v>
      </c>
      <c r="N66" s="1195">
        <f t="shared" si="20"/>
        <v>-1.5599999999999999E-2</v>
      </c>
      <c r="AA66" s="1281"/>
      <c r="AB66" s="1281"/>
      <c r="AC66" s="1281"/>
      <c r="AD66" s="1281"/>
      <c r="AE66" s="1281"/>
      <c r="AF66" s="1281"/>
      <c r="AG66" s="1281"/>
      <c r="AH66" s="1281"/>
      <c r="AI66" s="1281"/>
      <c r="AJ66" s="1281"/>
      <c r="AK66" s="1281"/>
    </row>
    <row r="67" spans="1:37" s="1280" customFormat="1" ht="24.75" thickBot="1">
      <c r="A67" s="2339" t="s">
        <v>2779</v>
      </c>
      <c r="B67" s="2341" t="str">
        <f>估价对象房地状况!C20</f>
        <v>一般</v>
      </c>
      <c r="C67" s="2236" t="s">
        <v>3146</v>
      </c>
      <c r="D67" s="1196">
        <f t="shared" si="16"/>
        <v>0</v>
      </c>
      <c r="E67" s="764"/>
      <c r="F67" s="2002"/>
      <c r="G67" s="1194">
        <f t="shared" si="21"/>
        <v>3.8999999999999998E-3</v>
      </c>
      <c r="H67" s="1198">
        <f t="shared" si="17"/>
        <v>3.8999999999999998E-3</v>
      </c>
      <c r="I67" s="763">
        <v>0.06</v>
      </c>
      <c r="J67" s="1195">
        <f t="shared" si="18"/>
        <v>7.7999999999999996E-3</v>
      </c>
      <c r="K67" s="1195">
        <f t="shared" si="19"/>
        <v>3.8999999999999998E-3</v>
      </c>
      <c r="L67" s="1195">
        <v>0</v>
      </c>
      <c r="M67" s="1195">
        <f t="shared" si="20"/>
        <v>-3.8999999999999998E-3</v>
      </c>
      <c r="N67" s="1195">
        <f t="shared" si="20"/>
        <v>-7.7999999999999996E-3</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2">SUMIF($J$69:$N$69,C70,J70:N70)</f>
        <v>0</v>
      </c>
      <c r="E70" s="760">
        <f>ROUND(SUM(D70:D78),4)</f>
        <v>0</v>
      </c>
      <c r="F70" s="2002" t="str">
        <f>IF(E2="住宅",SUMIF(L1:L12,G2,N1:N12),"——")</f>
        <v>——</v>
      </c>
      <c r="G70" s="1194"/>
      <c r="H70" s="1198" t="str">
        <f t="shared" ref="H70:H78" si="23">IFERROR(ROUNDDOWN($F$70*I70/2,4),"——")</f>
        <v>——</v>
      </c>
      <c r="I70" s="759">
        <v>0.14000000000000001</v>
      </c>
      <c r="J70" s="1195">
        <f t="shared" ref="J70:J78" si="24">K70+$G70</f>
        <v>0</v>
      </c>
      <c r="K70" s="1195">
        <f t="shared" ref="K70:K78" si="25">$L70+$G70</f>
        <v>0</v>
      </c>
      <c r="L70" s="1195">
        <v>0</v>
      </c>
      <c r="M70" s="1195">
        <f t="shared" ref="M70:N78" si="26">L70-$G70</f>
        <v>0</v>
      </c>
      <c r="N70" s="1195">
        <f t="shared" si="26"/>
        <v>0</v>
      </c>
      <c r="AA70" s="1281"/>
      <c r="AB70" s="1281"/>
      <c r="AC70" s="1281"/>
      <c r="AD70" s="1281"/>
      <c r="AE70" s="1281"/>
      <c r="AF70" s="1281"/>
      <c r="AG70" s="1281"/>
      <c r="AH70" s="1281"/>
      <c r="AI70" s="1281"/>
      <c r="AJ70" s="1281"/>
      <c r="AK70" s="1281"/>
    </row>
    <row r="71" spans="1:37" s="1280" customFormat="1" ht="14.25">
      <c r="A71" s="2331" t="s">
        <v>2770</v>
      </c>
      <c r="B71" s="2335" t="str">
        <f>估价对象房地状况!C18</f>
        <v>好</v>
      </c>
      <c r="C71" s="2236"/>
      <c r="D71" s="1196">
        <f t="shared" si="22"/>
        <v>0</v>
      </c>
      <c r="E71" s="765"/>
      <c r="F71" s="2002"/>
      <c r="G71" s="1194"/>
      <c r="H71" s="1198" t="str">
        <f t="shared" si="23"/>
        <v>——</v>
      </c>
      <c r="I71" s="759">
        <v>0.3</v>
      </c>
      <c r="J71" s="1195">
        <f t="shared" si="24"/>
        <v>0</v>
      </c>
      <c r="K71" s="1195">
        <f t="shared" si="25"/>
        <v>0</v>
      </c>
      <c r="L71" s="1195">
        <v>0</v>
      </c>
      <c r="M71" s="1195">
        <f t="shared" si="26"/>
        <v>0</v>
      </c>
      <c r="N71" s="1195">
        <f t="shared" si="26"/>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2"/>
        <v>0</v>
      </c>
      <c r="E72" s="765"/>
      <c r="F72" s="2002"/>
      <c r="G72" s="1194"/>
      <c r="H72" s="1198" t="str">
        <f t="shared" si="23"/>
        <v>——</v>
      </c>
      <c r="I72" s="759">
        <v>0.08</v>
      </c>
      <c r="J72" s="1195">
        <f t="shared" si="24"/>
        <v>0</v>
      </c>
      <c r="K72" s="1195">
        <f t="shared" si="25"/>
        <v>0</v>
      </c>
      <c r="L72" s="1195">
        <v>0</v>
      </c>
      <c r="M72" s="1195">
        <f t="shared" si="26"/>
        <v>0</v>
      </c>
      <c r="N72" s="1195">
        <f t="shared" si="26"/>
        <v>0</v>
      </c>
      <c r="AA72" s="1281"/>
      <c r="AB72" s="1281"/>
      <c r="AC72" s="1281"/>
      <c r="AD72" s="1281"/>
      <c r="AE72" s="1281"/>
      <c r="AF72" s="1281"/>
      <c r="AG72" s="1281"/>
      <c r="AH72" s="1281"/>
      <c r="AI72" s="1281"/>
      <c r="AJ72" s="1281"/>
      <c r="AK72" s="1281"/>
    </row>
    <row r="73" spans="1:37" s="1280" customFormat="1" ht="14.25">
      <c r="A73" s="2331" t="s">
        <v>2785</v>
      </c>
      <c r="B73" s="2335" t="str">
        <f>估价对象房地状况!C24</f>
        <v>次干道</v>
      </c>
      <c r="C73" s="2236"/>
      <c r="D73" s="1196">
        <f t="shared" si="22"/>
        <v>0</v>
      </c>
      <c r="E73" s="765"/>
      <c r="F73" s="2002"/>
      <c r="G73" s="1194"/>
      <c r="H73" s="1198" t="str">
        <f t="shared" si="23"/>
        <v>——</v>
      </c>
      <c r="I73" s="759">
        <v>0.04</v>
      </c>
      <c r="J73" s="1195">
        <f t="shared" si="24"/>
        <v>0</v>
      </c>
      <c r="K73" s="1195">
        <f t="shared" si="25"/>
        <v>0</v>
      </c>
      <c r="L73" s="1195">
        <v>0</v>
      </c>
      <c r="M73" s="1195">
        <f t="shared" si="26"/>
        <v>0</v>
      </c>
      <c r="N73" s="1195">
        <f t="shared" si="26"/>
        <v>0</v>
      </c>
      <c r="AA73" s="1281"/>
      <c r="AB73" s="1281"/>
      <c r="AC73" s="1281"/>
      <c r="AD73" s="1281"/>
      <c r="AE73" s="1281"/>
      <c r="AF73" s="1281"/>
      <c r="AG73" s="1281"/>
      <c r="AH73" s="1281"/>
      <c r="AI73" s="1281"/>
      <c r="AJ73" s="1281"/>
      <c r="AK73" s="1281"/>
    </row>
    <row r="74" spans="1:37" s="1280" customFormat="1" ht="24">
      <c r="A74" s="2331" t="s">
        <v>2777</v>
      </c>
      <c r="B74" s="1496" t="str">
        <f>估价对象房地状况!C21</f>
        <v>较好</v>
      </c>
      <c r="C74" s="2236"/>
      <c r="D74" s="1196">
        <f t="shared" si="22"/>
        <v>0</v>
      </c>
      <c r="E74" s="765"/>
      <c r="F74" s="2002"/>
      <c r="G74" s="1194"/>
      <c r="H74" s="1198" t="str">
        <f t="shared" si="23"/>
        <v>——</v>
      </c>
      <c r="I74" s="759">
        <v>0.08</v>
      </c>
      <c r="J74" s="1195">
        <f t="shared" si="24"/>
        <v>0</v>
      </c>
      <c r="K74" s="1195">
        <f t="shared" si="25"/>
        <v>0</v>
      </c>
      <c r="L74" s="1195">
        <v>0</v>
      </c>
      <c r="M74" s="1195">
        <f t="shared" si="26"/>
        <v>0</v>
      </c>
      <c r="N74" s="1195">
        <f t="shared" si="26"/>
        <v>0</v>
      </c>
      <c r="AA74" s="1281"/>
      <c r="AB74" s="1281"/>
      <c r="AC74" s="1281"/>
      <c r="AD74" s="1281"/>
      <c r="AE74" s="1281"/>
      <c r="AF74" s="1281"/>
      <c r="AG74" s="1281"/>
      <c r="AH74" s="1281"/>
      <c r="AI74" s="1281"/>
      <c r="AJ74" s="1281"/>
      <c r="AK74" s="1281"/>
    </row>
    <row r="75" spans="1:37" s="1280" customFormat="1" ht="24">
      <c r="A75" s="2331" t="s">
        <v>2778</v>
      </c>
      <c r="B75" s="1496" t="str">
        <f>估价对象房地状况!C22</f>
        <v>七通</v>
      </c>
      <c r="C75" s="2236"/>
      <c r="D75" s="1196">
        <f t="shared" si="22"/>
        <v>0</v>
      </c>
      <c r="E75" s="765"/>
      <c r="F75" s="2002"/>
      <c r="G75" s="1194"/>
      <c r="H75" s="1198" t="str">
        <f t="shared" si="23"/>
        <v>——</v>
      </c>
      <c r="I75" s="759">
        <v>0.12</v>
      </c>
      <c r="J75" s="1195">
        <f t="shared" si="24"/>
        <v>0</v>
      </c>
      <c r="K75" s="1195">
        <f t="shared" si="25"/>
        <v>0</v>
      </c>
      <c r="L75" s="1195">
        <v>0</v>
      </c>
      <c r="M75" s="1195">
        <f t="shared" si="26"/>
        <v>0</v>
      </c>
      <c r="N75" s="1195">
        <f t="shared" si="26"/>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2"/>
        <v>0</v>
      </c>
      <c r="E76" s="765"/>
      <c r="F76" s="2002"/>
      <c r="G76" s="1194"/>
      <c r="H76" s="1198" t="str">
        <f t="shared" si="23"/>
        <v>——</v>
      </c>
      <c r="I76" s="759">
        <v>0.05</v>
      </c>
      <c r="J76" s="1195">
        <f t="shared" si="24"/>
        <v>0</v>
      </c>
      <c r="K76" s="1195">
        <f t="shared" si="25"/>
        <v>0</v>
      </c>
      <c r="L76" s="1195">
        <v>0</v>
      </c>
      <c r="M76" s="1195">
        <f t="shared" si="26"/>
        <v>0</v>
      </c>
      <c r="N76" s="1195">
        <f t="shared" si="26"/>
        <v>0</v>
      </c>
      <c r="AA76" s="2342"/>
      <c r="AB76" s="1281"/>
      <c r="AC76" s="1281"/>
      <c r="AD76" s="1281"/>
      <c r="AE76" s="1281"/>
      <c r="AF76" s="1281"/>
      <c r="AG76" s="1281"/>
      <c r="AH76" s="2342"/>
      <c r="AI76" s="2342"/>
      <c r="AJ76" s="2342"/>
      <c r="AK76" s="2342"/>
    </row>
    <row r="77" spans="1:37" ht="24">
      <c r="A77" s="2331" t="s">
        <v>2779</v>
      </c>
      <c r="B77" s="2334" t="str">
        <f>估价对象房地状况!C20</f>
        <v>一般</v>
      </c>
      <c r="C77" s="2236"/>
      <c r="D77" s="1196">
        <f t="shared" si="22"/>
        <v>0</v>
      </c>
      <c r="E77" s="765"/>
      <c r="F77" s="2002"/>
      <c r="G77" s="1194"/>
      <c r="H77" s="1198" t="str">
        <f t="shared" si="23"/>
        <v>——</v>
      </c>
      <c r="I77" s="759">
        <v>0.15</v>
      </c>
      <c r="J77" s="1195">
        <f t="shared" si="24"/>
        <v>0</v>
      </c>
      <c r="K77" s="1195">
        <f t="shared" si="25"/>
        <v>0</v>
      </c>
      <c r="L77" s="1195">
        <v>0</v>
      </c>
      <c r="M77" s="1195">
        <f t="shared" si="26"/>
        <v>0</v>
      </c>
      <c r="N77" s="1195">
        <f t="shared" si="26"/>
        <v>0</v>
      </c>
      <c r="Z77" s="2186"/>
      <c r="AA77" s="2252"/>
      <c r="AG77" s="1282"/>
      <c r="AK77" s="2252"/>
    </row>
    <row r="78" spans="1:37" ht="24.75" thickBot="1">
      <c r="A78" s="2339" t="s">
        <v>2786</v>
      </c>
      <c r="B78" s="2343"/>
      <c r="C78" s="2236"/>
      <c r="D78" s="1196">
        <f t="shared" si="22"/>
        <v>0</v>
      </c>
      <c r="E78" s="766"/>
      <c r="F78" s="2002"/>
      <c r="G78" s="1194"/>
      <c r="H78" s="1198" t="str">
        <f t="shared" si="23"/>
        <v>——</v>
      </c>
      <c r="I78" s="763">
        <v>0.04</v>
      </c>
      <c r="J78" s="1195">
        <f t="shared" si="24"/>
        <v>0</v>
      </c>
      <c r="K78" s="1195">
        <f t="shared" si="25"/>
        <v>0</v>
      </c>
      <c r="L78" s="1195">
        <v>0</v>
      </c>
      <c r="M78" s="1195">
        <f t="shared" si="26"/>
        <v>0</v>
      </c>
      <c r="N78" s="1195">
        <f t="shared" si="26"/>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7">SUMIF($J$80:$N$80,C81,J81:N81)</f>
        <v>0</v>
      </c>
      <c r="E81" s="760">
        <f>ROUND(SUM(D81:D88),4)</f>
        <v>0</v>
      </c>
      <c r="F81" s="2002" t="str">
        <f>IF(E2="工业",SUMIF(L1:L12,G2,N1:N12),"——")</f>
        <v>——</v>
      </c>
      <c r="G81" s="1194"/>
      <c r="H81" s="1198" t="str">
        <f t="shared" ref="H81:H88" si="28">IFERROR(ROUNDDOWN($F$81*I81/2,4),"——")</f>
        <v>——</v>
      </c>
      <c r="I81" s="759">
        <v>0.26</v>
      </c>
      <c r="J81" s="1195">
        <f t="shared" ref="J81:J88" si="29">K81+$G81</f>
        <v>0</v>
      </c>
      <c r="K81" s="1195">
        <f t="shared" ref="K81:K88" si="30">$L81+$G81</f>
        <v>0</v>
      </c>
      <c r="L81" s="1195">
        <v>0</v>
      </c>
      <c r="M81" s="1195">
        <f t="shared" ref="M81:N88" si="31">L81-$G81</f>
        <v>0</v>
      </c>
      <c r="N81" s="1195">
        <f t="shared" si="31"/>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7"/>
        <v>0</v>
      </c>
      <c r="E82" s="765"/>
      <c r="F82" s="2002"/>
      <c r="G82" s="1194"/>
      <c r="H82" s="1198" t="str">
        <f t="shared" si="28"/>
        <v>——</v>
      </c>
      <c r="I82" s="759">
        <v>0.33</v>
      </c>
      <c r="J82" s="1195">
        <f t="shared" si="29"/>
        <v>0</v>
      </c>
      <c r="K82" s="1195">
        <f t="shared" si="30"/>
        <v>0</v>
      </c>
      <c r="L82" s="1195">
        <v>0</v>
      </c>
      <c r="M82" s="1195">
        <f t="shared" si="31"/>
        <v>0</v>
      </c>
      <c r="N82" s="1195">
        <f t="shared" si="31"/>
        <v>0</v>
      </c>
      <c r="Z82" s="2186"/>
      <c r="AA82" s="2252"/>
      <c r="AG82" s="1282"/>
      <c r="AK82" s="2252"/>
    </row>
    <row r="83" spans="1:37" ht="24">
      <c r="A83" s="2331" t="s">
        <v>2771</v>
      </c>
      <c r="B83" s="2335">
        <f>估价对象房地状况!G17</f>
        <v>0</v>
      </c>
      <c r="C83" s="2236"/>
      <c r="D83" s="1196">
        <f t="shared" si="27"/>
        <v>0</v>
      </c>
      <c r="E83" s="765"/>
      <c r="F83" s="2002"/>
      <c r="G83" s="1194"/>
      <c r="H83" s="1198" t="str">
        <f t="shared" si="28"/>
        <v>——</v>
      </c>
      <c r="I83" s="759">
        <v>0.05</v>
      </c>
      <c r="J83" s="1195">
        <f t="shared" si="29"/>
        <v>0</v>
      </c>
      <c r="K83" s="1195">
        <f t="shared" si="30"/>
        <v>0</v>
      </c>
      <c r="L83" s="1195">
        <v>0</v>
      </c>
      <c r="M83" s="1195">
        <f t="shared" si="31"/>
        <v>0</v>
      </c>
      <c r="N83" s="1195">
        <f t="shared" si="31"/>
        <v>0</v>
      </c>
      <c r="Z83" s="2186"/>
      <c r="AA83" s="2252"/>
      <c r="AG83" s="1282"/>
      <c r="AK83" s="2252"/>
    </row>
    <row r="84" spans="1:37" ht="14.25">
      <c r="A84" s="2331" t="s">
        <v>2785</v>
      </c>
      <c r="B84" s="2335">
        <f>估价对象房地状况!G22</f>
        <v>0</v>
      </c>
      <c r="C84" s="2236"/>
      <c r="D84" s="1196">
        <f t="shared" si="27"/>
        <v>0</v>
      </c>
      <c r="E84" s="765"/>
      <c r="F84" s="2002"/>
      <c r="G84" s="1194"/>
      <c r="H84" s="1198" t="str">
        <f t="shared" si="28"/>
        <v>——</v>
      </c>
      <c r="I84" s="759">
        <v>0.04</v>
      </c>
      <c r="J84" s="1195">
        <f t="shared" si="29"/>
        <v>0</v>
      </c>
      <c r="K84" s="1195">
        <f t="shared" si="30"/>
        <v>0</v>
      </c>
      <c r="L84" s="1195">
        <v>0</v>
      </c>
      <c r="M84" s="1195">
        <f t="shared" si="31"/>
        <v>0</v>
      </c>
      <c r="N84" s="1195">
        <f t="shared" si="31"/>
        <v>0</v>
      </c>
      <c r="Z84" s="2186"/>
      <c r="AA84" s="2252"/>
      <c r="AG84" s="1282"/>
      <c r="AK84" s="2252"/>
    </row>
    <row r="85" spans="1:37" ht="25.5">
      <c r="A85" s="2331" t="s">
        <v>2777</v>
      </c>
      <c r="B85" s="1496" t="str">
        <f>估价对象房地状况!G19</f>
        <v>估价对象所在区域公共配套设施齐备情况</v>
      </c>
      <c r="C85" s="2236"/>
      <c r="D85" s="1196">
        <f t="shared" si="27"/>
        <v>0</v>
      </c>
      <c r="E85" s="765"/>
      <c r="F85" s="2002"/>
      <c r="G85" s="1194"/>
      <c r="H85" s="1198" t="str">
        <f t="shared" si="28"/>
        <v>——</v>
      </c>
      <c r="I85" s="759">
        <v>0.06</v>
      </c>
      <c r="J85" s="1195">
        <f t="shared" si="29"/>
        <v>0</v>
      </c>
      <c r="K85" s="1195">
        <f t="shared" si="30"/>
        <v>0</v>
      </c>
      <c r="L85" s="1195">
        <v>0</v>
      </c>
      <c r="M85" s="1195">
        <f t="shared" si="31"/>
        <v>0</v>
      </c>
      <c r="N85" s="1195">
        <f t="shared" si="31"/>
        <v>0</v>
      </c>
      <c r="Z85" s="2186"/>
      <c r="AA85" s="2252"/>
      <c r="AG85" s="1282"/>
      <c r="AK85" s="2252"/>
    </row>
    <row r="86" spans="1:37" ht="25.5">
      <c r="A86" s="2331" t="s">
        <v>2778</v>
      </c>
      <c r="B86" s="1496" t="str">
        <f>估价对象房地状况!G20</f>
        <v>估价对象所在区域基础设施水平</v>
      </c>
      <c r="C86" s="2236"/>
      <c r="D86" s="1196">
        <f t="shared" si="27"/>
        <v>0</v>
      </c>
      <c r="E86" s="765"/>
      <c r="F86" s="2002"/>
      <c r="G86" s="1194"/>
      <c r="H86" s="1198" t="str">
        <f t="shared" si="28"/>
        <v>——</v>
      </c>
      <c r="I86" s="759">
        <v>0.15</v>
      </c>
      <c r="J86" s="1195">
        <f t="shared" si="29"/>
        <v>0</v>
      </c>
      <c r="K86" s="1195">
        <f t="shared" si="30"/>
        <v>0</v>
      </c>
      <c r="L86" s="1195">
        <v>0</v>
      </c>
      <c r="M86" s="1195">
        <f t="shared" si="31"/>
        <v>0</v>
      </c>
      <c r="N86" s="1195">
        <f t="shared" si="31"/>
        <v>0</v>
      </c>
      <c r="Z86" s="2186"/>
      <c r="AA86" s="2252"/>
      <c r="AG86" s="1282"/>
      <c r="AK86" s="2252"/>
    </row>
    <row r="87" spans="1:37" ht="24">
      <c r="A87" s="2331" t="s">
        <v>2775</v>
      </c>
      <c r="B87" s="2337" t="s">
        <v>2789</v>
      </c>
      <c r="C87" s="2236"/>
      <c r="D87" s="1196">
        <f t="shared" si="27"/>
        <v>0</v>
      </c>
      <c r="E87" s="765"/>
      <c r="F87" s="2002"/>
      <c r="G87" s="1194"/>
      <c r="H87" s="1198" t="str">
        <f t="shared" si="28"/>
        <v>——</v>
      </c>
      <c r="I87" s="759">
        <v>0.05</v>
      </c>
      <c r="J87" s="1195">
        <f t="shared" si="29"/>
        <v>0</v>
      </c>
      <c r="K87" s="1195">
        <f t="shared" si="30"/>
        <v>0</v>
      </c>
      <c r="L87" s="1195">
        <v>0</v>
      </c>
      <c r="M87" s="1195">
        <f t="shared" si="31"/>
        <v>0</v>
      </c>
      <c r="N87" s="1195">
        <f t="shared" si="31"/>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7"/>
        <v>0</v>
      </c>
      <c r="E88" s="766"/>
      <c r="F88" s="2002"/>
      <c r="G88" s="1194"/>
      <c r="H88" s="1198" t="str">
        <f t="shared" si="28"/>
        <v>——</v>
      </c>
      <c r="I88" s="763">
        <v>0.06</v>
      </c>
      <c r="J88" s="1195">
        <f t="shared" si="29"/>
        <v>0</v>
      </c>
      <c r="K88" s="1195">
        <f t="shared" si="30"/>
        <v>0</v>
      </c>
      <c r="L88" s="1195">
        <v>0</v>
      </c>
      <c r="M88" s="1195">
        <f t="shared" si="31"/>
        <v>0</v>
      </c>
      <c r="N88" s="1195">
        <f t="shared" si="31"/>
        <v>0</v>
      </c>
      <c r="Z88" s="2186"/>
      <c r="AA88" s="2252"/>
      <c r="AG88" s="1282"/>
      <c r="AK88" s="2252"/>
    </row>
    <row r="90" spans="1:37">
      <c r="A90" s="3409" t="s">
        <v>2791</v>
      </c>
      <c r="B90" s="3409"/>
      <c r="C90" s="3409"/>
      <c r="D90" s="3409"/>
      <c r="E90" s="3409"/>
      <c r="F90" s="3409"/>
      <c r="G90" s="3409"/>
      <c r="H90" s="3409"/>
      <c r="I90" s="3409"/>
      <c r="J90" s="3409"/>
      <c r="K90" s="3059"/>
      <c r="L90" s="3059"/>
      <c r="M90" s="3059"/>
      <c r="N90" s="3059"/>
    </row>
    <row r="91" spans="1:37">
      <c r="A91" s="3411" t="s">
        <v>2792</v>
      </c>
      <c r="B91" s="3411" t="s">
        <v>2793</v>
      </c>
      <c r="C91" s="2299" t="s">
        <v>2794</v>
      </c>
      <c r="D91" s="2300"/>
      <c r="E91" s="2300"/>
      <c r="F91" s="2300"/>
      <c r="G91" s="2300"/>
      <c r="H91" s="2300"/>
      <c r="I91" s="2300"/>
      <c r="J91" s="2346"/>
      <c r="K91" s="2347"/>
      <c r="L91" s="2347"/>
      <c r="M91" s="2347"/>
      <c r="N91" s="2347"/>
    </row>
    <row r="92" spans="1:37">
      <c r="A92" s="3411"/>
      <c r="B92" s="3411"/>
      <c r="C92" s="3061" t="s">
        <v>2662</v>
      </c>
      <c r="D92" s="3061" t="s">
        <v>2663</v>
      </c>
      <c r="E92" s="3061" t="s">
        <v>2664</v>
      </c>
      <c r="F92" s="3061" t="s">
        <v>2665</v>
      </c>
      <c r="G92" s="3061" t="s">
        <v>2666</v>
      </c>
      <c r="H92" s="3061" t="s">
        <v>2667</v>
      </c>
      <c r="I92" s="3061" t="s">
        <v>2668</v>
      </c>
      <c r="J92" s="3061" t="s">
        <v>2669</v>
      </c>
      <c r="K92" s="3061" t="s">
        <v>2670</v>
      </c>
      <c r="L92" s="3061" t="s">
        <v>2671</v>
      </c>
      <c r="M92" s="3061" t="s">
        <v>2672</v>
      </c>
      <c r="N92" s="3061" t="s">
        <v>2673</v>
      </c>
    </row>
    <row r="93" spans="1:37">
      <c r="A93" s="3412"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1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1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1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1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1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13"/>
      <c r="B99" s="2348" t="s">
        <v>2678</v>
      </c>
      <c r="C99" s="2350">
        <f>$I$3</f>
        <v>0</v>
      </c>
      <c r="D99" s="2350">
        <f t="shared" ref="D99:M99" si="32">$I$3</f>
        <v>0</v>
      </c>
      <c r="E99" s="2350">
        <f t="shared" si="32"/>
        <v>0</v>
      </c>
      <c r="F99" s="2350">
        <f t="shared" si="32"/>
        <v>0</v>
      </c>
      <c r="G99" s="2350">
        <f t="shared" si="32"/>
        <v>0</v>
      </c>
      <c r="H99" s="2350">
        <f t="shared" si="32"/>
        <v>0</v>
      </c>
      <c r="I99" s="2350">
        <f t="shared" si="32"/>
        <v>0</v>
      </c>
      <c r="J99" s="2350">
        <f t="shared" si="32"/>
        <v>0</v>
      </c>
      <c r="K99" s="2350">
        <f t="shared" si="32"/>
        <v>0</v>
      </c>
      <c r="L99" s="2350">
        <f t="shared" si="32"/>
        <v>0</v>
      </c>
      <c r="M99" s="2350">
        <f t="shared" si="32"/>
        <v>0</v>
      </c>
      <c r="N99" s="2350">
        <f>$I$3</f>
        <v>0</v>
      </c>
    </row>
    <row r="100" spans="1:14">
      <c r="A100" s="3414"/>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12" t="s">
        <v>2796</v>
      </c>
      <c r="B101" s="2352" t="s">
        <v>2797</v>
      </c>
      <c r="C101" s="2353">
        <f>$G$3</f>
        <v>2.8</v>
      </c>
      <c r="D101" s="2353">
        <f t="shared" ref="D101:N101" si="33">$G$3</f>
        <v>2.8</v>
      </c>
      <c r="E101" s="2353">
        <f t="shared" si="33"/>
        <v>2.8</v>
      </c>
      <c r="F101" s="2353">
        <f t="shared" si="33"/>
        <v>2.8</v>
      </c>
      <c r="G101" s="2353">
        <f t="shared" si="33"/>
        <v>2.8</v>
      </c>
      <c r="H101" s="2353">
        <f t="shared" si="33"/>
        <v>2.8</v>
      </c>
      <c r="I101" s="2353">
        <f t="shared" si="33"/>
        <v>2.8</v>
      </c>
      <c r="J101" s="2353">
        <f t="shared" si="33"/>
        <v>2.8</v>
      </c>
      <c r="K101" s="2353">
        <f t="shared" si="33"/>
        <v>2.8</v>
      </c>
      <c r="L101" s="2353">
        <f t="shared" si="33"/>
        <v>2.8</v>
      </c>
      <c r="M101" s="2353">
        <f t="shared" si="33"/>
        <v>2.8</v>
      </c>
      <c r="N101" s="2353">
        <f t="shared" si="33"/>
        <v>2.8</v>
      </c>
    </row>
    <row r="102" spans="1:14">
      <c r="A102" s="3413"/>
      <c r="B102" s="2348">
        <v>1</v>
      </c>
      <c r="C102" s="2349">
        <f>1.9362/C101</f>
        <v>0.6915</v>
      </c>
      <c r="D102" s="2349">
        <f>1.9362/D101</f>
        <v>0.6915</v>
      </c>
      <c r="E102" s="2349">
        <f>1.8629/E101</f>
        <v>0.66532142857142862</v>
      </c>
      <c r="F102" s="2349">
        <f>1.8629/F101</f>
        <v>0.66532142857142862</v>
      </c>
      <c r="G102" s="2349">
        <f>1.8629/G101</f>
        <v>0.66532142857142862</v>
      </c>
      <c r="H102" s="2349">
        <f>1.8629/H101</f>
        <v>0.66532142857142862</v>
      </c>
      <c r="I102" s="2349">
        <f>1.8629/I101</f>
        <v>0.66532142857142862</v>
      </c>
      <c r="J102" s="2349">
        <f>1.942/J101</f>
        <v>0.69357142857142862</v>
      </c>
      <c r="K102" s="2349">
        <f>1.942/K101</f>
        <v>0.69357142857142862</v>
      </c>
      <c r="L102" s="2349">
        <f>1.942/L101</f>
        <v>0.69357142857142862</v>
      </c>
      <c r="M102" s="2349">
        <f>1.942/M101</f>
        <v>0.69357142857142862</v>
      </c>
      <c r="N102" s="2349">
        <f>1.942/N101</f>
        <v>0.69357142857142862</v>
      </c>
    </row>
    <row r="103" spans="1:14">
      <c r="A103" s="3413"/>
      <c r="B103" s="2348">
        <v>2</v>
      </c>
      <c r="C103" s="2349">
        <f>1.4198/C101</f>
        <v>0.50707142857142862</v>
      </c>
      <c r="D103" s="2349">
        <f>1.4198/D101</f>
        <v>0.50707142857142862</v>
      </c>
      <c r="E103" s="2349">
        <f>1.3372/E101</f>
        <v>0.47757142857142859</v>
      </c>
      <c r="F103" s="2349">
        <f>1.3372/F101</f>
        <v>0.47757142857142859</v>
      </c>
      <c r="G103" s="2349">
        <f>1.3372/G101</f>
        <v>0.47757142857142859</v>
      </c>
      <c r="H103" s="2349">
        <f>1.3372/H101</f>
        <v>0.47757142857142859</v>
      </c>
      <c r="I103" s="2349">
        <f>1.3372/I101</f>
        <v>0.47757142857142859</v>
      </c>
      <c r="J103" s="2349">
        <f>1.2799/J101</f>
        <v>0.45710714285714288</v>
      </c>
      <c r="K103" s="2349">
        <f>1.2799/K101</f>
        <v>0.45710714285714288</v>
      </c>
      <c r="L103" s="2349">
        <f>1.2799/L101</f>
        <v>0.45710714285714288</v>
      </c>
      <c r="M103" s="2349">
        <f>1.2799/M101</f>
        <v>0.45710714285714288</v>
      </c>
      <c r="N103" s="2349">
        <f>1.2799/N101</f>
        <v>0.45710714285714288</v>
      </c>
    </row>
    <row r="104" spans="1:14">
      <c r="A104" s="3413"/>
      <c r="B104" s="2348">
        <v>3</v>
      </c>
      <c r="C104" s="2349">
        <f>1.1594/C101</f>
        <v>0.41407142857142859</v>
      </c>
      <c r="D104" s="2349">
        <f>1.1594/D101</f>
        <v>0.41407142857142859</v>
      </c>
      <c r="E104" s="2349">
        <f>1.0788/E101</f>
        <v>0.38528571428571429</v>
      </c>
      <c r="F104" s="2349">
        <f>1.0788/F101</f>
        <v>0.38528571428571429</v>
      </c>
      <c r="G104" s="2349">
        <f>1.0788/G101</f>
        <v>0.38528571428571429</v>
      </c>
      <c r="H104" s="2349">
        <f>1.0788/H101</f>
        <v>0.38528571428571429</v>
      </c>
      <c r="I104" s="2349">
        <f>1.0788/I101</f>
        <v>0.38528571428571429</v>
      </c>
      <c r="J104" s="2349">
        <f>1.0072/J101</f>
        <v>0.35971428571428576</v>
      </c>
      <c r="K104" s="2349">
        <f>1.0072/K101</f>
        <v>0.35971428571428576</v>
      </c>
      <c r="L104" s="2349">
        <f>1.0072/L101</f>
        <v>0.35971428571428576</v>
      </c>
      <c r="M104" s="2349">
        <f>1.0072/M101</f>
        <v>0.35971428571428576</v>
      </c>
      <c r="N104" s="2349">
        <f>1.0072/N101</f>
        <v>0.35971428571428576</v>
      </c>
    </row>
    <row r="105" spans="1:14">
      <c r="A105" s="3413"/>
      <c r="B105" s="2348">
        <v>4</v>
      </c>
      <c r="C105" s="2349">
        <f>0.9622/C101</f>
        <v>0.34364285714285719</v>
      </c>
      <c r="D105" s="2349">
        <f>0.9622/D101</f>
        <v>0.34364285714285719</v>
      </c>
      <c r="E105" s="2349">
        <f>0.8656/E101</f>
        <v>0.30914285714285716</v>
      </c>
      <c r="F105" s="2349">
        <f>0.8656/F101</f>
        <v>0.30914285714285716</v>
      </c>
      <c r="G105" s="2349">
        <f>0.8656/G101</f>
        <v>0.30914285714285716</v>
      </c>
      <c r="H105" s="2349">
        <f>0.8656/H101</f>
        <v>0.30914285714285716</v>
      </c>
      <c r="I105" s="2349">
        <f>0.8656/I101</f>
        <v>0.30914285714285716</v>
      </c>
      <c r="J105" s="2349">
        <f>0.7525/J101</f>
        <v>0.26874999999999999</v>
      </c>
      <c r="K105" s="2349">
        <f>0.7525/K101</f>
        <v>0.26874999999999999</v>
      </c>
      <c r="L105" s="2349">
        <f>0.7525/L101</f>
        <v>0.26874999999999999</v>
      </c>
      <c r="M105" s="2349">
        <f>0.7525/M101</f>
        <v>0.26874999999999999</v>
      </c>
      <c r="N105" s="2349">
        <f>0.7525/N101</f>
        <v>0.26874999999999999</v>
      </c>
    </row>
    <row r="106" spans="1:14">
      <c r="A106" s="3413"/>
      <c r="B106" s="2348">
        <v>5</v>
      </c>
      <c r="C106" s="2349">
        <f>0.8417/C101</f>
        <v>0.30060714285714285</v>
      </c>
      <c r="D106" s="2349">
        <f>0.8417/D101</f>
        <v>0.30060714285714285</v>
      </c>
      <c r="E106" s="2349">
        <f>0.7371/E101</f>
        <v>0.26324999999999998</v>
      </c>
      <c r="F106" s="2349">
        <f>0.7371/F101</f>
        <v>0.26324999999999998</v>
      </c>
      <c r="G106" s="2349">
        <f>0.7371/G101</f>
        <v>0.26324999999999998</v>
      </c>
      <c r="H106" s="2349">
        <f>0.7371/H101</f>
        <v>0.26324999999999998</v>
      </c>
      <c r="I106" s="2349">
        <f>0.7371/I101</f>
        <v>0.26324999999999998</v>
      </c>
      <c r="J106" s="2349">
        <f>0.5659/J101</f>
        <v>0.20210714285714285</v>
      </c>
      <c r="K106" s="2349">
        <f>0.5659/K101</f>
        <v>0.20210714285714285</v>
      </c>
      <c r="L106" s="2349">
        <f>0.5659/L101</f>
        <v>0.20210714285714285</v>
      </c>
      <c r="M106" s="2349">
        <f>0.5659/M101</f>
        <v>0.20210714285714285</v>
      </c>
      <c r="N106" s="2349">
        <f>0.5659/N101</f>
        <v>0.20210714285714285</v>
      </c>
    </row>
    <row r="107" spans="1:14">
      <c r="A107" s="3413"/>
      <c r="B107" s="2348">
        <v>6</v>
      </c>
      <c r="C107" s="2349">
        <f>0.7608/C101</f>
        <v>0.27171428571428574</v>
      </c>
      <c r="D107" s="2349">
        <f>0.7608/D101</f>
        <v>0.27171428571428574</v>
      </c>
      <c r="E107" s="2349">
        <f>0.6482/E101</f>
        <v>0.23150000000000001</v>
      </c>
      <c r="F107" s="2349">
        <f>0.6482/F101</f>
        <v>0.23150000000000001</v>
      </c>
      <c r="G107" s="2349">
        <f>0.6482/G101</f>
        <v>0.23150000000000001</v>
      </c>
      <c r="H107" s="2349">
        <f>0.6482/H101</f>
        <v>0.23150000000000001</v>
      </c>
      <c r="I107" s="2349">
        <f>0.6482/I101</f>
        <v>0.23150000000000001</v>
      </c>
      <c r="J107" s="2349">
        <f>0.4525/J101</f>
        <v>0.16160714285714287</v>
      </c>
      <c r="K107" s="2349">
        <f>0.4525/K101</f>
        <v>0.16160714285714287</v>
      </c>
      <c r="L107" s="2349">
        <f>0.4525/L101</f>
        <v>0.16160714285714287</v>
      </c>
      <c r="M107" s="2349">
        <f>0.4525/M101</f>
        <v>0.16160714285714287</v>
      </c>
      <c r="N107" s="2349">
        <f>0.4525/N101</f>
        <v>0.16160714285714287</v>
      </c>
    </row>
    <row r="108" spans="1:14">
      <c r="A108" s="3413"/>
      <c r="B108" s="3415" t="s">
        <v>2691</v>
      </c>
      <c r="C108" s="2350">
        <f>C99</f>
        <v>0</v>
      </c>
      <c r="D108" s="2350">
        <f t="shared" ref="D108:N108" si="34">D99</f>
        <v>0</v>
      </c>
      <c r="E108" s="2350">
        <f t="shared" si="34"/>
        <v>0</v>
      </c>
      <c r="F108" s="2350">
        <f t="shared" si="34"/>
        <v>0</v>
      </c>
      <c r="G108" s="2350">
        <f t="shared" si="34"/>
        <v>0</v>
      </c>
      <c r="H108" s="2350">
        <f t="shared" si="34"/>
        <v>0</v>
      </c>
      <c r="I108" s="2350">
        <f t="shared" si="34"/>
        <v>0</v>
      </c>
      <c r="J108" s="2350">
        <f t="shared" si="34"/>
        <v>0</v>
      </c>
      <c r="K108" s="2350">
        <f t="shared" si="34"/>
        <v>0</v>
      </c>
      <c r="L108" s="2350">
        <f t="shared" si="34"/>
        <v>0</v>
      </c>
      <c r="M108" s="2350">
        <f t="shared" si="34"/>
        <v>0</v>
      </c>
      <c r="N108" s="2350">
        <f t="shared" si="34"/>
        <v>0</v>
      </c>
    </row>
    <row r="109" spans="1:14">
      <c r="A109" s="3414"/>
      <c r="B109" s="3416"/>
      <c r="C109" s="2351">
        <f>(-0.163*(C108^2)-0.59*C108+7617)*(10^(-4))/C101</f>
        <v>0.27203571428571433</v>
      </c>
      <c r="D109" s="2351">
        <f>(-0.163*(D108^2)-0.59*D108+7617)*(10^(-4))/D101</f>
        <v>0.27203571428571433</v>
      </c>
      <c r="E109" s="2351">
        <f>(-0.161*(E108^2)-7.509*E108+6533)*(10^(-4))/E101</f>
        <v>0.2333214285714286</v>
      </c>
      <c r="F109" s="2351">
        <f>(-0.161*(F108^2)-7.509*F108+6533)*(10^(-4))/F101</f>
        <v>0.2333214285714286</v>
      </c>
      <c r="G109" s="2351">
        <f>(-0.161*(G108^2)-7.509*G108+6533)*(10^(-4))/G101</f>
        <v>0.2333214285714286</v>
      </c>
      <c r="H109" s="2351">
        <f>(-0.161*(H108^2)-7.509*H108+6533)*(10^(-4))/H101</f>
        <v>0.2333214285714286</v>
      </c>
      <c r="I109" s="2351">
        <f>(-0.161*(I108^2)-7.509*I108+6533)*(10^(-4))/I101</f>
        <v>0.2333214285714286</v>
      </c>
      <c r="J109" s="2351">
        <f>(-0.214*(J108^2)-21.991*J108+4665)*(10^(-4))/J101</f>
        <v>0.16660714285714287</v>
      </c>
      <c r="K109" s="2351">
        <f>(-0.214*(K108^2)-21.991*K108+4665)*(10^(-4))/K101</f>
        <v>0.16660714285714287</v>
      </c>
      <c r="L109" s="2351">
        <f>(-0.214*(L108^2)-21.991*L108+4665)*(10^(-4))/L101</f>
        <v>0.16660714285714287</v>
      </c>
      <c r="M109" s="2351">
        <f>(-0.214*(M108^2)-21.991*M108+4665)*(10^(-4))/M101</f>
        <v>0.16660714285714287</v>
      </c>
      <c r="N109" s="2351">
        <f>(-0.214*(N108^2)-21.991*N108+4665)*(10^(-4))/N101</f>
        <v>0.16660714285714287</v>
      </c>
    </row>
    <row r="110" spans="1:14">
      <c r="A110" s="3410" t="s">
        <v>2799</v>
      </c>
      <c r="B110" s="3410"/>
      <c r="C110" s="3410"/>
      <c r="D110" s="3410"/>
      <c r="E110" s="3410"/>
      <c r="F110" s="3410"/>
      <c r="G110" s="3410"/>
      <c r="H110" s="3410"/>
      <c r="I110" s="3410"/>
      <c r="J110" s="3410"/>
      <c r="K110" s="3060"/>
      <c r="L110" s="3060"/>
      <c r="M110" s="3060"/>
      <c r="N110" s="3060"/>
    </row>
    <row r="112" spans="1:14" ht="13.5" thickBot="1"/>
    <row r="113" spans="1:13" ht="25.5" thickBot="1">
      <c r="A113" s="842" t="s">
        <v>2800</v>
      </c>
      <c r="B113" s="1197">
        <f>G3</f>
        <v>2.8</v>
      </c>
      <c r="C113" s="843" t="s">
        <v>2801</v>
      </c>
      <c r="D113" s="844">
        <f>SUMPRODUCT((A115:A118=F113)*(B114:M114=H113)*B115:M118)</f>
        <v>0.82030000000000003</v>
      </c>
      <c r="E113" s="2190" t="s">
        <v>2636</v>
      </c>
      <c r="F113" s="2356" t="str">
        <f>E2</f>
        <v>办公</v>
      </c>
      <c r="G113" s="2190" t="s">
        <v>2637</v>
      </c>
      <c r="H113" s="2356" t="str">
        <f>G2</f>
        <v>六级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0.90720000000000001</v>
      </c>
      <c r="C115" s="849">
        <f>B115</f>
        <v>0.90720000000000001</v>
      </c>
      <c r="D115" s="849">
        <f>ROUND(0.8331-0.0109*B113,4)</f>
        <v>0.80259999999999998</v>
      </c>
      <c r="E115" s="849">
        <f>D115</f>
        <v>0.80259999999999998</v>
      </c>
      <c r="F115" s="849">
        <f>E115</f>
        <v>0.80259999999999998</v>
      </c>
      <c r="G115" s="849">
        <f>F115</f>
        <v>0.80259999999999998</v>
      </c>
      <c r="H115" s="849">
        <f>G115</f>
        <v>0.80259999999999998</v>
      </c>
      <c r="I115" s="849">
        <f>ROUND(0.689-0.0155*B113,4)</f>
        <v>0.64559999999999995</v>
      </c>
      <c r="J115" s="849">
        <f t="shared" ref="J115:M118" si="35">I115</f>
        <v>0.64559999999999995</v>
      </c>
      <c r="K115" s="849">
        <f t="shared" si="35"/>
        <v>0.64559999999999995</v>
      </c>
      <c r="L115" s="849">
        <f t="shared" si="35"/>
        <v>0.64559999999999995</v>
      </c>
      <c r="M115" s="850">
        <f t="shared" si="35"/>
        <v>0.64559999999999995</v>
      </c>
    </row>
    <row r="116" spans="1:13">
      <c r="A116" s="848" t="s">
        <v>2701</v>
      </c>
      <c r="B116" s="849">
        <f>ROUND(0.949-0.012*B113,4)</f>
        <v>0.91539999999999999</v>
      </c>
      <c r="C116" s="849">
        <f>B116</f>
        <v>0.91539999999999999</v>
      </c>
      <c r="D116" s="849">
        <f>ROUND(0.8567-0.013*B113,4)</f>
        <v>0.82030000000000003</v>
      </c>
      <c r="E116" s="849">
        <f t="shared" ref="E116:H117" si="36">D116</f>
        <v>0.82030000000000003</v>
      </c>
      <c r="F116" s="849">
        <f t="shared" si="36"/>
        <v>0.82030000000000003</v>
      </c>
      <c r="G116" s="849">
        <f t="shared" si="36"/>
        <v>0.82030000000000003</v>
      </c>
      <c r="H116" s="849">
        <f t="shared" si="36"/>
        <v>0.82030000000000003</v>
      </c>
      <c r="I116" s="849">
        <f>ROUND(0.7694-0.014*B113,4)</f>
        <v>0.73019999999999996</v>
      </c>
      <c r="J116" s="849">
        <f t="shared" si="35"/>
        <v>0.73019999999999996</v>
      </c>
      <c r="K116" s="849">
        <f t="shared" si="35"/>
        <v>0.73019999999999996</v>
      </c>
      <c r="L116" s="849">
        <f t="shared" si="35"/>
        <v>0.73019999999999996</v>
      </c>
      <c r="M116" s="850">
        <f t="shared" si="35"/>
        <v>0.73019999999999996</v>
      </c>
    </row>
    <row r="117" spans="1:13">
      <c r="A117" s="848" t="s">
        <v>2702</v>
      </c>
      <c r="B117" s="849">
        <f>ROUND(0.8808-0.006*B113,4)</f>
        <v>0.86399999999999999</v>
      </c>
      <c r="C117" s="849">
        <f>B117</f>
        <v>0.86399999999999999</v>
      </c>
      <c r="D117" s="849">
        <f>ROUND(0.8748-0.008*B113,4)</f>
        <v>0.85240000000000005</v>
      </c>
      <c r="E117" s="849">
        <f t="shared" si="36"/>
        <v>0.85240000000000005</v>
      </c>
      <c r="F117" s="849">
        <f t="shared" si="36"/>
        <v>0.85240000000000005</v>
      </c>
      <c r="G117" s="849">
        <f t="shared" si="36"/>
        <v>0.85240000000000005</v>
      </c>
      <c r="H117" s="849">
        <f t="shared" si="36"/>
        <v>0.85240000000000005</v>
      </c>
      <c r="I117" s="849">
        <f>ROUND(0.7412-0.0095*B113,4)</f>
        <v>0.71460000000000001</v>
      </c>
      <c r="J117" s="849">
        <f t="shared" si="35"/>
        <v>0.71460000000000001</v>
      </c>
      <c r="K117" s="849">
        <f t="shared" si="35"/>
        <v>0.71460000000000001</v>
      </c>
      <c r="L117" s="849">
        <f t="shared" si="35"/>
        <v>0.71460000000000001</v>
      </c>
      <c r="M117" s="850">
        <f t="shared" si="35"/>
        <v>0.71460000000000001</v>
      </c>
    </row>
    <row r="118" spans="1:13" ht="13.5" thickBot="1">
      <c r="A118" s="670" t="s">
        <v>2703</v>
      </c>
      <c r="B118" s="851">
        <f>ROUND(0.7275-0.01*B113,4)</f>
        <v>0.69950000000000001</v>
      </c>
      <c r="C118" s="851">
        <f>B118</f>
        <v>0.69950000000000001</v>
      </c>
      <c r="D118" s="851">
        <f>ROUND(0.7043-0.012*B113,4)</f>
        <v>0.67069999999999996</v>
      </c>
      <c r="E118" s="851">
        <f>D118</f>
        <v>0.67069999999999996</v>
      </c>
      <c r="F118" s="851">
        <f>E118</f>
        <v>0.67069999999999996</v>
      </c>
      <c r="G118" s="851">
        <f>ROUND(0.6299-0.0122*B113,4)</f>
        <v>0.59570000000000001</v>
      </c>
      <c r="H118" s="851">
        <f>G118</f>
        <v>0.59570000000000001</v>
      </c>
      <c r="I118" s="851">
        <f>ROUND(0.5667-0.0136*B113,4)</f>
        <v>0.52859999999999996</v>
      </c>
      <c r="J118" s="851">
        <f t="shared" si="35"/>
        <v>0.52859999999999996</v>
      </c>
      <c r="K118" s="851">
        <f t="shared" si="35"/>
        <v>0.52859999999999996</v>
      </c>
      <c r="L118" s="851">
        <f t="shared" si="35"/>
        <v>0.52859999999999996</v>
      </c>
      <c r="M118" s="852">
        <f t="shared" si="35"/>
        <v>0.52859999999999996</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H16:O16" xr:uid="{A441F230-8CC7-45DB-AE06-3012703A10D7}">
      <formula1>七通一平</formula1>
    </dataValidation>
    <dataValidation type="list" allowBlank="1" showInputMessage="1" showErrorMessage="1" sqref="H19" xr:uid="{FB10A41D-537B-438D-AA45-10B08CA92B4D}">
      <formula1>"地价指数,季度增幅（自定义）,按公示增长率计算"</formula1>
    </dataValidation>
    <dataValidation type="list" allowBlank="1" showInputMessage="1" showErrorMessage="1" sqref="C81:C88 C70:C78 C48:C56 C59:C67" xr:uid="{EB6016B6-24C5-40D4-B879-00A51D5DE7E6}">
      <formula1>五等判定</formula1>
    </dataValidation>
    <dataValidation type="list" allowBlank="1" showInputMessage="1" showErrorMessage="1" sqref="E3" xr:uid="{1E063CB2-899B-4671-8F28-9E920D712B34}">
      <formula1>二级分类</formula1>
    </dataValidation>
    <dataValidation type="list" allowBlank="1" showInputMessage="1" showErrorMessage="1" sqref="C8" xr:uid="{F6843B00-ED69-4E90-A099-5A0B231AA0E7}">
      <formula1>商业街名称</formula1>
    </dataValidation>
    <dataValidation type="list" allowBlank="1" showInputMessage="1" showErrorMessage="1" sqref="F3" xr:uid="{35676295-1675-40CB-B6DD-482A5D79E10E}">
      <formula1>"宗地容积率,估价对象容积率,自定义容积率"</formula1>
    </dataValidation>
    <dataValidation type="list" allowBlank="1" showInputMessage="1" showErrorMessage="1" sqref="E2" xr:uid="{A1C09DC5-70A5-41A8-A4C4-F7D1AE51E61B}">
      <formula1>"商业,办公,住宅,工业"</formula1>
    </dataValidation>
    <dataValidation type="list" allowBlank="1" showInputMessage="1" showErrorMessage="1" sqref="F17" xr:uid="{EB226CDE-BCD5-4EF8-BA9A-A114299B6EF7}">
      <formula1>"与级别开发程度一致,与级别开发程度不一致"</formula1>
    </dataValidation>
    <dataValidation type="list" allowBlank="1" showInputMessage="1" showErrorMessage="1" sqref="B21" xr:uid="{B4A305CD-CB2E-4B43-962A-0D158AD007E4}">
      <formula1>"容积率修正,楼层修正"</formula1>
    </dataValidation>
    <dataValidation type="list" allowBlank="1" showInputMessage="1" showErrorMessage="1" sqref="C14:E14" xr:uid="{362013F5-8C41-4321-88E2-4795F4B613CD}">
      <formula1>"有,无"</formula1>
    </dataValidation>
    <dataValidation type="list" allowBlank="1" showInputMessage="1" showErrorMessage="1" sqref="F14" xr:uid="{7F027655-6F66-4CE2-8123-2A0FF6B36C13}">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G37" zoomScale="90" zoomScaleNormal="70" zoomScaleSheetLayoutView="90" workbookViewId="0">
      <selection activeCell="J55" sqref="J5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27</v>
      </c>
      <c r="D1" s="1548" t="s">
        <v>70</v>
      </c>
      <c r="E1" s="1549" t="s">
        <v>1352</v>
      </c>
      <c r="F1" s="1193">
        <f ca="1">J53</f>
        <v>44.92</v>
      </c>
      <c r="G1" s="1564">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27772</v>
      </c>
      <c r="C2" s="1573" t="s">
        <v>1481</v>
      </c>
      <c r="D2" s="1573"/>
      <c r="E2" s="1574"/>
      <c r="F2" s="1575"/>
      <c r="G2" s="2935"/>
      <c r="H2" s="2924"/>
      <c r="I2" s="2924"/>
      <c r="J2" s="2924"/>
      <c r="K2" s="2925"/>
      <c r="L2" s="2924"/>
      <c r="M2" s="2924"/>
    </row>
    <row r="3" spans="1:37" ht="18" customHeight="1" thickBot="1">
      <c r="A3" s="1576" t="s">
        <v>1482</v>
      </c>
      <c r="B3" s="1577">
        <f ca="1">IF(ISERROR(B2*10000/F43),0,ROUND(B2*10000/F43,0))</f>
        <v>26304</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1389</v>
      </c>
      <c r="D5" s="1550" t="s">
        <v>1367</v>
      </c>
      <c r="E5" s="1203"/>
      <c r="F5" s="1204"/>
      <c r="G5" s="1570"/>
      <c r="H5" s="305">
        <v>1</v>
      </c>
      <c r="I5" s="306" t="s">
        <v>1366</v>
      </c>
      <c r="J5" s="1202">
        <f ca="1">J6+J10+J12</f>
        <v>0</v>
      </c>
      <c r="K5" s="1550" t="s">
        <v>1367</v>
      </c>
      <c r="L5" s="1203"/>
      <c r="M5" s="1204"/>
    </row>
    <row r="6" spans="1:37" ht="18" customHeight="1">
      <c r="A6" s="1201" t="s">
        <v>1003</v>
      </c>
      <c r="B6" s="3300" t="s">
        <v>1368</v>
      </c>
      <c r="C6" s="1206">
        <f ca="1">ROUND(F6*F8*F7*(1-F9)/10000,0)</f>
        <v>1387</v>
      </c>
      <c r="D6" s="160" t="s">
        <v>2850</v>
      </c>
      <c r="E6" s="308" t="s">
        <v>1370</v>
      </c>
      <c r="F6" s="309">
        <f ca="1">INDIRECT("'数据-取费表'!u"&amp;$G$1)</f>
        <v>4</v>
      </c>
      <c r="G6" s="1570"/>
      <c r="H6" s="1201" t="s">
        <v>1003</v>
      </c>
      <c r="I6" s="3300" t="s">
        <v>1368</v>
      </c>
      <c r="J6" s="307">
        <f ca="1">ROUND(M6*M8*M7*(1-M9)/10000,0)</f>
        <v>0</v>
      </c>
      <c r="K6" s="160" t="s">
        <v>2849</v>
      </c>
      <c r="L6" s="308" t="s">
        <v>1370</v>
      </c>
      <c r="M6" s="309">
        <f ca="1">INDIRECT("'数据-取费表'!z"&amp;$G$1)</f>
        <v>0</v>
      </c>
    </row>
    <row r="7" spans="1:37" ht="18" customHeight="1">
      <c r="A7" s="1205"/>
      <c r="B7" s="3301"/>
      <c r="C7" s="1207"/>
      <c r="D7" s="313"/>
      <c r="E7" s="1208" t="s">
        <v>1371</v>
      </c>
      <c r="F7" s="309">
        <f ca="1">IF(INDIRECT("'数据-取费表'!ah"&amp;$G$1)="",INDIRECT("'数据-取费表'!k"&amp;$G$1),INDIRECT("'数据-取费表'!ah"&amp;$G$1))</f>
        <v>10558.08</v>
      </c>
      <c r="G7" s="1570"/>
      <c r="H7" s="310"/>
      <c r="I7" s="3301"/>
      <c r="J7" s="312"/>
      <c r="K7" s="313"/>
      <c r="L7" s="308" t="s">
        <v>1371</v>
      </c>
      <c r="M7" s="309">
        <f ca="1">F7</f>
        <v>10558.08</v>
      </c>
    </row>
    <row r="8" spans="1:37" ht="18" customHeight="1">
      <c r="A8" s="310"/>
      <c r="B8" s="3301"/>
      <c r="C8" s="312"/>
      <c r="D8" s="313"/>
      <c r="E8" s="308" t="s">
        <v>1372</v>
      </c>
      <c r="F8" s="309">
        <f ca="1">INDIRECT("'数据-取费表'!ai"&amp;$G$1)</f>
        <v>365</v>
      </c>
      <c r="G8" s="1570"/>
      <c r="H8" s="310"/>
      <c r="I8" s="3301"/>
      <c r="J8" s="312"/>
      <c r="K8" s="313"/>
      <c r="L8" s="308" t="s">
        <v>1372</v>
      </c>
      <c r="M8" s="309">
        <f ca="1">INDIRECT("'数据-取费表'!ai"&amp;$G$1)</f>
        <v>365</v>
      </c>
    </row>
    <row r="9" spans="1:37" ht="18" customHeight="1">
      <c r="A9" s="310"/>
      <c r="B9" s="3302"/>
      <c r="C9" s="312"/>
      <c r="D9" s="313"/>
      <c r="E9" s="308" t="s">
        <v>1373</v>
      </c>
      <c r="F9" s="318">
        <f ca="1">INDIRECT("'数据-取费表'!w"&amp;$G$1)</f>
        <v>0.1</v>
      </c>
      <c r="G9" s="1570"/>
      <c r="H9" s="310"/>
      <c r="I9" s="3302"/>
      <c r="J9" s="312"/>
      <c r="K9" s="313"/>
      <c r="L9" s="319" t="s">
        <v>1373</v>
      </c>
      <c r="M9" s="320">
        <f ca="1">INDIRECT("'数据-取费表'!ab"&amp;$G$1)</f>
        <v>0</v>
      </c>
    </row>
    <row r="10" spans="1:37" ht="18" customHeight="1">
      <c r="A10" s="1201" t="s">
        <v>1007</v>
      </c>
      <c r="B10" s="1551" t="s">
        <v>1374</v>
      </c>
      <c r="C10" s="322">
        <f ca="1">ROUND(IF(F10="押一",C6/12*F11,IF(F10="押二",C6/12*2*F11,IF(F10="押三",C6/12*3*F11,C11*F11))),0)</f>
        <v>2</v>
      </c>
      <c r="D10" s="1552" t="s">
        <v>2858</v>
      </c>
      <c r="E10" s="319" t="s">
        <v>1375</v>
      </c>
      <c r="F10" s="1276" t="s">
        <v>3161</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4660</v>
      </c>
      <c r="D13" s="1241" t="s">
        <v>1380</v>
      </c>
      <c r="E13" s="1241"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3167</v>
      </c>
      <c r="D14" s="1531" t="s">
        <v>1383</v>
      </c>
      <c r="E14" s="1528"/>
      <c r="F14" s="325"/>
      <c r="G14" s="1570"/>
      <c r="H14" s="1113" t="s">
        <v>1003</v>
      </c>
      <c r="I14" s="308" t="s">
        <v>1384</v>
      </c>
      <c r="J14" s="24">
        <f ca="1">C29</f>
        <v>4660</v>
      </c>
      <c r="K14" s="15"/>
      <c r="L14" s="916"/>
      <c r="M14" s="917"/>
    </row>
    <row r="15" spans="1:37" s="1583" customFormat="1" ht="18" customHeight="1" thickBot="1">
      <c r="A15" s="1113" t="s">
        <v>1004</v>
      </c>
      <c r="B15" s="308" t="s">
        <v>1385</v>
      </c>
      <c r="C15" s="24">
        <f ca="1">ROUND(C14*F15,0)</f>
        <v>95</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110</v>
      </c>
      <c r="K16" s="1247" t="s">
        <v>1390</v>
      </c>
      <c r="L16" s="1248"/>
      <c r="M16" s="1204"/>
    </row>
    <row r="17" spans="1:37" s="1583" customFormat="1" ht="18" customHeight="1">
      <c r="A17" s="1113" t="s">
        <v>1355</v>
      </c>
      <c r="B17" s="308" t="s">
        <v>1391</v>
      </c>
      <c r="C17" s="24">
        <f ca="1">ROUND(F17*(F43+INDIRECT("'数据-取费表'!S"&amp;$G$1))/10000,0)</f>
        <v>211</v>
      </c>
      <c r="D17" s="308" t="s">
        <v>1392</v>
      </c>
      <c r="E17" s="308" t="s">
        <v>1393</v>
      </c>
      <c r="F17" s="26">
        <f>'数据-取费表'!B35</f>
        <v>200</v>
      </c>
      <c r="G17" s="1582"/>
      <c r="H17" s="1113" t="s">
        <v>1003</v>
      </c>
      <c r="I17" s="308" t="s">
        <v>1394</v>
      </c>
      <c r="J17" s="2536">
        <f ca="1">ROUND(IF(AND(项目基本情况!B11="自然人",项目基本情况!B10="北京市"),J6*M17/(1+'数据-取费表'!C42),J18+J19+J20),0)</f>
        <v>40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48</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3521</v>
      </c>
      <c r="D19" s="136" t="s">
        <v>1401</v>
      </c>
      <c r="E19" s="1546"/>
      <c r="F19" s="26"/>
      <c r="G19" s="1570"/>
      <c r="H19" s="1113" t="s">
        <v>1004</v>
      </c>
      <c r="I19" s="308" t="s">
        <v>1402</v>
      </c>
      <c r="J19" s="24">
        <f ca="1">IF(K19="按租金收入计税",ROUND(J6*M19/(1+'数据-取费表'!C42),2),ROUND(C29*M19*0.7,2))</f>
        <v>39.14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70</v>
      </c>
      <c r="D20" s="329" t="s">
        <v>1405</v>
      </c>
      <c r="E20" s="308" t="s">
        <v>1387</v>
      </c>
      <c r="F20" s="328">
        <f>'数据-取费表'!B37</f>
        <v>0.02</v>
      </c>
      <c r="G20" s="1582"/>
      <c r="H20" s="1113" t="s">
        <v>1354</v>
      </c>
      <c r="I20" s="160" t="s">
        <v>1406</v>
      </c>
      <c r="J20" s="25">
        <f ca="1">ROUND(M20*M21/10000,2)</f>
        <v>0.64</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2127.83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69.900000000000006</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170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-110</v>
      </c>
      <c r="K25" s="1255" t="s">
        <v>1429</v>
      </c>
      <c r="L25" s="1256"/>
      <c r="M25" s="1257"/>
    </row>
    <row r="26" spans="1:37">
      <c r="A26" s="1113" t="s">
        <v>1002</v>
      </c>
      <c r="B26" s="308" t="s">
        <v>1430</v>
      </c>
      <c r="C26" s="24">
        <f ca="1">ROUND((C19+C20)*F26,0)</f>
        <v>539</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4660</v>
      </c>
      <c r="D29" s="1252"/>
      <c r="E29" s="1250"/>
      <c r="F29" s="1253"/>
      <c r="G29" s="1582"/>
      <c r="H29" s="340" t="s">
        <v>1001</v>
      </c>
      <c r="I29" s="341" t="s">
        <v>1444</v>
      </c>
      <c r="J29" s="342">
        <f ca="1">ROUND(J26/(1+F40)^F41,0)</f>
        <v>0</v>
      </c>
      <c r="K29" s="343" t="s">
        <v>1445</v>
      </c>
      <c r="L29" s="344"/>
      <c r="M29" s="345">
        <f ca="1">INDIRECT("'数据-取费表'!k"&amp;$G$1)</f>
        <v>10558.08</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338</v>
      </c>
      <c r="D30" s="1247" t="s">
        <v>1390</v>
      </c>
      <c r="E30" s="1248"/>
      <c r="F30" s="1204"/>
      <c r="G30" s="1570"/>
      <c r="H30" s="2926"/>
      <c r="I30" s="1584"/>
      <c r="J30" s="1585"/>
      <c r="K30" s="2702"/>
      <c r="L30" s="2927"/>
      <c r="M30" s="2928"/>
    </row>
    <row r="31" spans="1:37" ht="18" customHeight="1">
      <c r="A31" s="1113" t="s">
        <v>1003</v>
      </c>
      <c r="B31" s="308" t="s">
        <v>1394</v>
      </c>
      <c r="C31" s="2536">
        <f ca="1">ROUND(IF(AND(项目基本情况!B11="自然人",项目基本情况!B10="北京市"),C6*F31/(1+'数据-取费表'!C42),C32+C33+C34),0)</f>
        <v>233</v>
      </c>
      <c r="D31" s="1531" t="s">
        <v>1395</v>
      </c>
      <c r="E31" s="1530" t="s">
        <v>1446</v>
      </c>
      <c r="F31" s="2535" t="str">
        <f>IF(项目基本情况!B11="企业","——",IF('数据-取费表'!B10="住宅",IF(F6*F7*F8/12/(1+'数据-取费表'!F30)&gt;100000,4%,2.5%),IF(F6*F7*F8/12/(1+'数据-取费表'!F30)&gt;100000,12%,7%)))</f>
        <v>——</v>
      </c>
      <c r="G31" s="1570"/>
      <c r="H31" s="3039" t="s">
        <v>3052</v>
      </c>
      <c r="I31" s="1584"/>
      <c r="J31" s="1585"/>
      <c r="K31" s="2702"/>
      <c r="L31" s="2927"/>
      <c r="M31" s="2928"/>
    </row>
    <row r="32" spans="1:37" ht="18" customHeight="1">
      <c r="A32" s="1113" t="s">
        <v>1002</v>
      </c>
      <c r="B32" s="308" t="s">
        <v>1398</v>
      </c>
      <c r="C32" s="24">
        <f ca="1">IF(项目基本情况!B11="自然人","——",ROUND(C6*F32/(1+'数据-取费表'!C42),2))</f>
        <v>73.97</v>
      </c>
      <c r="D32" s="1530" t="s">
        <v>1399</v>
      </c>
      <c r="E32" s="308" t="s">
        <v>1387</v>
      </c>
      <c r="F32" s="337">
        <f>'数据-取费表'!B41</f>
        <v>5.6000000000000001E-2</v>
      </c>
      <c r="G32" s="1570"/>
      <c r="H32" s="2926"/>
      <c r="I32" s="1584"/>
      <c r="J32" s="1585"/>
      <c r="K32" s="2702"/>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158.51</v>
      </c>
      <c r="D33" s="1556" t="s">
        <v>3162</v>
      </c>
      <c r="E33" s="308" t="s">
        <v>1387</v>
      </c>
      <c r="F33" s="328">
        <f>IF(D33="按票据","——",IF(D33="按租金收入计税",'数据-取费表'!B51,'数据-取费表'!B50))</f>
        <v>0.12</v>
      </c>
      <c r="G33" s="1570"/>
      <c r="H33" s="2929"/>
      <c r="I33" s="1584"/>
      <c r="J33" s="1585"/>
      <c r="K33" s="2930"/>
      <c r="L33" s="2929"/>
      <c r="M33" s="2929"/>
    </row>
    <row r="34" spans="1:18" ht="18" customHeight="1">
      <c r="A34" s="1201" t="s">
        <v>1354</v>
      </c>
      <c r="B34" s="160" t="s">
        <v>1406</v>
      </c>
      <c r="C34" s="25">
        <f ca="1">IF(项目基本情况!B11="自然人","——",ROUND(F34*F35/10000,2))</f>
        <v>0.64</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2127.83</v>
      </c>
      <c r="G35" s="1570"/>
      <c r="H35" s="2926"/>
      <c r="I35" s="1584"/>
      <c r="J35" s="1585"/>
      <c r="K35" s="2930"/>
      <c r="L35" s="2929"/>
      <c r="M35" s="2929"/>
    </row>
    <row r="36" spans="1:18" ht="18" customHeight="1">
      <c r="A36" s="1262" t="s">
        <v>1007</v>
      </c>
      <c r="B36" s="308" t="s">
        <v>1414</v>
      </c>
      <c r="C36" s="24">
        <f ca="1">ROUND(C29*F36,1)</f>
        <v>69.900000000000006</v>
      </c>
      <c r="D36" s="1530" t="s">
        <v>1447</v>
      </c>
      <c r="E36" s="308" t="s">
        <v>1387</v>
      </c>
      <c r="F36" s="334">
        <f ca="1">INDIRECT("'数据-取费表'!Ak"&amp;$G$1)</f>
        <v>1.4999999999999999E-2</v>
      </c>
      <c r="G36" s="1570"/>
      <c r="H36" s="2929"/>
      <c r="I36" s="1584"/>
      <c r="J36" s="1585"/>
      <c r="K36" s="2770"/>
      <c r="L36" s="2929"/>
      <c r="M36" s="2929"/>
    </row>
    <row r="37" spans="1:18" ht="18" customHeight="1">
      <c r="A37" s="1113" t="s">
        <v>1043</v>
      </c>
      <c r="B37" s="308" t="s">
        <v>1418</v>
      </c>
      <c r="C37" s="24">
        <f ca="1">ROUND(C13*F37,1)</f>
        <v>7</v>
      </c>
      <c r="D37" s="1530" t="s">
        <v>1419</v>
      </c>
      <c r="E37" s="308" t="s">
        <v>1420</v>
      </c>
      <c r="F37" s="336">
        <f ca="1">INDIRECT("'数据-取费表'!Al"&amp;$G$1)</f>
        <v>1.5E-3</v>
      </c>
      <c r="G37" s="1570"/>
      <c r="H37" s="2929"/>
      <c r="I37" s="1584"/>
      <c r="J37" s="1585"/>
      <c r="K37" s="2770"/>
      <c r="L37" s="2929"/>
      <c r="M37" s="2929"/>
    </row>
    <row r="38" spans="1:18" ht="18" customHeight="1" thickBot="1">
      <c r="A38" s="1249" t="s">
        <v>1358</v>
      </c>
      <c r="B38" s="1250" t="s">
        <v>1404</v>
      </c>
      <c r="C38" s="1251">
        <f ca="1">ROUND(C5*F38,1)</f>
        <v>27.8</v>
      </c>
      <c r="D38" s="1252" t="s">
        <v>1424</v>
      </c>
      <c r="E38" s="1250" t="s">
        <v>1420</v>
      </c>
      <c r="F38" s="1246">
        <f ca="1">INDIRECT("'数据-取费表'!Am"&amp;$G$1)</f>
        <v>0.02</v>
      </c>
      <c r="G38" s="1570"/>
      <c r="H38" s="2929"/>
      <c r="I38" s="1584"/>
      <c r="J38" s="1585"/>
      <c r="K38" s="2933"/>
      <c r="L38" s="2929"/>
      <c r="M38" s="2929"/>
    </row>
    <row r="39" spans="1:18" ht="24.6" customHeight="1" thickTop="1">
      <c r="A39" s="1239" t="s">
        <v>999</v>
      </c>
      <c r="B39" s="1254" t="s">
        <v>1448</v>
      </c>
      <c r="C39" s="316">
        <f ca="1">C5-C30</f>
        <v>1051</v>
      </c>
      <c r="D39" s="1255" t="s">
        <v>1449</v>
      </c>
      <c r="E39" s="1256"/>
      <c r="F39" s="1257"/>
      <c r="G39" s="1570"/>
      <c r="H39" s="2929"/>
      <c r="I39" s="1584"/>
      <c r="J39" s="1585"/>
      <c r="K39" s="2933"/>
      <c r="L39" s="2929"/>
      <c r="M39" s="2929"/>
    </row>
    <row r="40" spans="1:18" ht="18" customHeight="1">
      <c r="A40" s="305" t="s">
        <v>1000</v>
      </c>
      <c r="B40" s="306" t="s">
        <v>1450</v>
      </c>
      <c r="C40" s="307">
        <f ca="1">ROUND(C39*(1-((1+F42)/(1+F40))^F41)/(F40-F42),0)</f>
        <v>27724</v>
      </c>
      <c r="D40" s="330" t="s">
        <v>1434</v>
      </c>
      <c r="E40" s="308" t="s">
        <v>1435</v>
      </c>
      <c r="F40" s="318">
        <f ca="1">INDIRECT("'数据-取费表'!I"&amp;$G$1)</f>
        <v>5.5E-2</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44.92</v>
      </c>
      <c r="G41" s="1570"/>
      <c r="H41" s="1353"/>
      <c r="I41" s="1584"/>
      <c r="J41" s="1585"/>
      <c r="K41" s="2770"/>
      <c r="L41" s="1353"/>
      <c r="M41" s="1353"/>
    </row>
    <row r="42" spans="1:18" ht="18" customHeight="1">
      <c r="A42" s="314"/>
      <c r="B42" s="315"/>
      <c r="C42" s="316"/>
      <c r="D42" s="333"/>
      <c r="E42" s="308" t="s">
        <v>1442</v>
      </c>
      <c r="F42" s="318">
        <f ca="1">INDIRECT("'数据-取费表'!v"&amp;$G$1)</f>
        <v>0.03</v>
      </c>
      <c r="G42" s="1570"/>
      <c r="H42" s="1353"/>
      <c r="I42" s="1584"/>
      <c r="J42" s="1585"/>
      <c r="K42" s="2770"/>
      <c r="L42" s="1353"/>
      <c r="M42" s="1353"/>
    </row>
    <row r="43" spans="1:18" ht="18" customHeight="1" thickBot="1">
      <c r="A43" s="340" t="s">
        <v>1001</v>
      </c>
      <c r="B43" s="341" t="s">
        <v>1452</v>
      </c>
      <c r="C43" s="342">
        <f ca="1">ROUND(C40*10000/F43,0)</f>
        <v>26259</v>
      </c>
      <c r="D43" s="343" t="s">
        <v>1453</v>
      </c>
      <c r="E43" s="344" t="s">
        <v>1454</v>
      </c>
      <c r="F43" s="345">
        <f ca="1">INDIRECT("'数据-取费表'!k"&amp;$G$1)</f>
        <v>10558.08</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f ca="1">C68-C40</f>
        <v>-35482</v>
      </c>
      <c r="D46" s="1592" t="str">
        <f>C2</f>
        <v>万元</v>
      </c>
      <c r="E46" s="1586"/>
      <c r="F46" s="1586"/>
      <c r="I46" s="1593" t="s">
        <v>1486</v>
      </c>
      <c r="J46" s="1594"/>
      <c r="K46" s="1595"/>
      <c r="L46" s="1596">
        <f ca="1">IF(M47="住宅",0,IF(L48&gt;J51,L60,J60))</f>
        <v>48</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3163</v>
      </c>
      <c r="K47" s="1602" t="s">
        <v>1492</v>
      </c>
      <c r="L47" s="1603">
        <f ca="1">INDIRECT("'数据-取费表'!d"&amp;$G$1)</f>
        <v>50</v>
      </c>
      <c r="M47" s="1566" t="str">
        <f>IF(ISNUMBER(FIND("住宅",C1)),"住宅","非住宅")</f>
        <v>非住宅</v>
      </c>
      <c r="O47" s="1604" t="s">
        <v>1008</v>
      </c>
      <c r="P47" s="1605" t="s">
        <v>1493</v>
      </c>
      <c r="Q47" s="1606">
        <f ca="1">C40+J29</f>
        <v>27724</v>
      </c>
      <c r="R47" s="1606" t="s">
        <v>1494</v>
      </c>
    </row>
    <row r="48" spans="1:18" s="1570" customFormat="1" ht="28.5" thickBot="1">
      <c r="A48" s="1270" t="s">
        <v>1103</v>
      </c>
      <c r="B48" s="306" t="s">
        <v>1366</v>
      </c>
      <c r="C48" s="1545">
        <f ca="1">C49+C53+C55</f>
        <v>0</v>
      </c>
      <c r="D48" s="1272"/>
      <c r="E48" s="1273"/>
      <c r="F48" s="1093"/>
      <c r="G48" s="731"/>
      <c r="H48" s="732"/>
      <c r="I48" s="1607" t="s">
        <v>1495</v>
      </c>
      <c r="J48" s="1608" t="s">
        <v>3164</v>
      </c>
      <c r="K48" s="1609" t="s">
        <v>1496</v>
      </c>
      <c r="L48" s="1610">
        <f ca="1">INDIRECT("'数据-取费表'!f"&amp;$G$1)</f>
        <v>44.92</v>
      </c>
      <c r="O48" s="1604" t="s">
        <v>1009</v>
      </c>
      <c r="P48" s="1605" t="s">
        <v>1497</v>
      </c>
      <c r="Q48" s="1606">
        <f ca="1">J60</f>
        <v>48</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2020</v>
      </c>
      <c r="K49" s="1609" t="s">
        <v>1500</v>
      </c>
      <c r="L49" s="1613"/>
      <c r="O49" s="1614" t="s">
        <v>1010</v>
      </c>
      <c r="P49" s="1605" t="s">
        <v>1501</v>
      </c>
      <c r="Q49" s="1606">
        <f ca="1">C29</f>
        <v>4660</v>
      </c>
      <c r="R49" s="1606" t="s">
        <v>1494</v>
      </c>
    </row>
    <row r="50" spans="1:18" s="1570" customFormat="1" ht="13.5" thickBot="1">
      <c r="A50" s="1107"/>
      <c r="B50" s="1110"/>
      <c r="C50" s="1278"/>
      <c r="D50" s="1084"/>
      <c r="E50" s="1187" t="s">
        <v>1371</v>
      </c>
      <c r="F50" s="1188">
        <f ca="1">F7</f>
        <v>10558.08</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59</v>
      </c>
      <c r="K51" s="1620" t="s">
        <v>1506</v>
      </c>
      <c r="L51" s="1621">
        <f ca="1">ROUND(-PV(INDIRECT("'数据-取费表'!h"&amp;$G$1),J51,(C39-C13*C76),0),0)</f>
        <v>11995</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44.92</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44.92</v>
      </c>
      <c r="K53" s="3303" t="s">
        <v>1513</v>
      </c>
      <c r="L53" s="3304"/>
      <c r="O53" s="1604" t="s">
        <v>1014</v>
      </c>
      <c r="P53" s="1605" t="s">
        <v>1514</v>
      </c>
      <c r="Q53" s="1606">
        <f ca="1">Q47+Q48</f>
        <v>27772</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0.23499999999999999</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4660</v>
      </c>
      <c r="D56" s="1633"/>
      <c r="E56" s="1634"/>
      <c r="F56" s="1626"/>
      <c r="I56" s="1635" t="s">
        <v>1519</v>
      </c>
      <c r="J56" s="1636" t="s">
        <v>3165</v>
      </c>
      <c r="K56" s="1607" t="s">
        <v>1520</v>
      </c>
      <c r="L56" s="1610" t="str">
        <f ca="1">IF(L48&lt;J51,"——",L48-J53)</f>
        <v>——</v>
      </c>
      <c r="O56" s="1604" t="s">
        <v>1008</v>
      </c>
      <c r="P56" s="1605" t="s">
        <v>1493</v>
      </c>
      <c r="Q56" s="1606">
        <f ca="1">C40+J29</f>
        <v>27724</v>
      </c>
      <c r="R56" s="1606" t="s">
        <v>1494</v>
      </c>
    </row>
    <row r="57" spans="1:18" s="1570" customFormat="1" ht="24.75" thickBot="1">
      <c r="A57" s="1637"/>
      <c r="B57" s="1081" t="s">
        <v>1443</v>
      </c>
      <c r="C57" s="244">
        <f ca="1">C29</f>
        <v>4660</v>
      </c>
      <c r="D57" s="1638"/>
      <c r="E57" s="1639"/>
      <c r="F57" s="1640"/>
      <c r="I57" s="1641" t="s">
        <v>1521</v>
      </c>
      <c r="J57" s="1642">
        <f ca="1">IF(OR(M47="住宅",J51&lt;L48,J56="是"),"——",J51-L48)</f>
        <v>14.079999999999998</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469</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392</v>
      </c>
      <c r="D59" s="1094" t="s">
        <v>1395</v>
      </c>
      <c r="E59" s="1095" t="s">
        <v>1396</v>
      </c>
      <c r="F59" s="2535" t="str">
        <f>IF(项目基本情况!B11="企业","——",IF('数据-取费表'!B10="住宅",IF(F49*F50*F51/12/(1+'数据-取费表'!F30)&gt;100000,4%,2.5%),IF(F49*F50*F51/12/(1+'数据-取费表'!F30)&gt;100000,12%,7%)))</f>
        <v>——</v>
      </c>
      <c r="I59" s="1641" t="s">
        <v>1528</v>
      </c>
      <c r="J59" s="1642">
        <f ca="1">IF(OR(M47="住宅",J51&lt;L48,J56="是"),"——",ROUND(C29*J58,0))</f>
        <v>1864</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48</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391.44</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0.64</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27724</v>
      </c>
      <c r="R62" s="1606" t="s">
        <v>1015</v>
      </c>
    </row>
    <row r="63" spans="1:18" s="1570" customFormat="1" ht="13.5" thickBot="1">
      <c r="A63" s="332"/>
      <c r="B63" s="1087"/>
      <c r="C63" s="29"/>
      <c r="D63" s="1097"/>
      <c r="E63" s="1081" t="s">
        <v>1464</v>
      </c>
      <c r="F63" s="309">
        <f t="shared" ca="1" si="0"/>
        <v>2127.83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69.900000000000006</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7</v>
      </c>
      <c r="D65" s="1095" t="s">
        <v>1419</v>
      </c>
      <c r="E65" s="1081" t="s">
        <v>1420</v>
      </c>
      <c r="F65" s="336">
        <f t="shared" ca="1" si="0"/>
        <v>1.5E-3</v>
      </c>
      <c r="I65" s="1648" t="s">
        <v>1544</v>
      </c>
      <c r="J65" s="1649">
        <v>40</v>
      </c>
      <c r="K65" s="1649">
        <v>30</v>
      </c>
      <c r="L65" s="1649">
        <v>50</v>
      </c>
      <c r="M65" s="1651">
        <v>0.02</v>
      </c>
      <c r="O65" s="1604" t="s">
        <v>1008</v>
      </c>
      <c r="P65" s="1605" t="s">
        <v>1545</v>
      </c>
      <c r="Q65" s="1606">
        <f ca="1">C40+J29</f>
        <v>27724</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-469</v>
      </c>
      <c r="D67" s="1094" t="s">
        <v>1429</v>
      </c>
      <c r="E67" s="1099"/>
      <c r="F67" s="1100"/>
      <c r="O67" s="1614" t="s">
        <v>1010</v>
      </c>
      <c r="P67" s="1605" t="s">
        <v>1527</v>
      </c>
      <c r="Q67" s="1652">
        <f ca="1">L51</f>
        <v>11995</v>
      </c>
      <c r="R67" s="1606" t="s">
        <v>1547</v>
      </c>
    </row>
    <row r="68" spans="1:18" s="1570" customFormat="1" ht="16.5" thickBot="1">
      <c r="A68" s="1078" t="s">
        <v>1000</v>
      </c>
      <c r="B68" s="1079" t="s">
        <v>1450</v>
      </c>
      <c r="C68" s="307">
        <f ca="1">ROUND(C67*(1-((1+F70)/(1+F68))^F69)/(F68-F70),0)</f>
        <v>-7758</v>
      </c>
      <c r="D68" s="1096" t="s">
        <v>1434</v>
      </c>
      <c r="E68" s="1081" t="s">
        <v>1435</v>
      </c>
      <c r="F68" s="318">
        <f ca="1">F40</f>
        <v>5.5E-2</v>
      </c>
      <c r="O68" s="1614" t="s">
        <v>1011</v>
      </c>
      <c r="P68" s="1653" t="s">
        <v>1548</v>
      </c>
      <c r="Q68" s="1606">
        <f ca="1">ROUND(Q69-Q70*Q71,0)</f>
        <v>678</v>
      </c>
      <c r="R68" s="1606" t="s">
        <v>1019</v>
      </c>
    </row>
    <row r="69" spans="1:18" s="1570" customFormat="1" ht="13.5" thickBot="1">
      <c r="A69" s="1082"/>
      <c r="B69" s="1083"/>
      <c r="C69" s="312"/>
      <c r="D69" s="1101" t="s">
        <v>1438</v>
      </c>
      <c r="E69" s="1081" t="s">
        <v>1439</v>
      </c>
      <c r="F69" s="339">
        <f ca="1">F41</f>
        <v>44.92</v>
      </c>
      <c r="O69" s="1614" t="s">
        <v>1016</v>
      </c>
      <c r="P69" s="1653" t="s">
        <v>1549</v>
      </c>
      <c r="Q69" s="1606">
        <f ca="1">C39</f>
        <v>1051</v>
      </c>
      <c r="R69" s="1606" t="s">
        <v>1494</v>
      </c>
    </row>
    <row r="70" spans="1:18" s="1570" customFormat="1" ht="13.5" thickBot="1">
      <c r="A70" s="1085"/>
      <c r="B70" s="1086"/>
      <c r="C70" s="316"/>
      <c r="D70" s="1097"/>
      <c r="E70" s="1081" t="s">
        <v>1442</v>
      </c>
      <c r="F70" s="1185"/>
      <c r="O70" s="1614" t="s">
        <v>1017</v>
      </c>
      <c r="P70" s="1653" t="s">
        <v>1550</v>
      </c>
      <c r="Q70" s="1606">
        <f ca="1">C13</f>
        <v>4660</v>
      </c>
      <c r="R70" s="1606" t="s">
        <v>1494</v>
      </c>
    </row>
    <row r="71" spans="1:18" s="1570" customFormat="1" ht="13.5" thickBot="1">
      <c r="A71" s="1102" t="s">
        <v>1001</v>
      </c>
      <c r="B71" s="1103" t="s">
        <v>1452</v>
      </c>
      <c r="C71" s="342">
        <f ca="1">ROUND(C68*10000/F71,0)</f>
        <v>-7348</v>
      </c>
      <c r="D71" s="1104" t="s">
        <v>1453</v>
      </c>
      <c r="E71" s="1105" t="s">
        <v>1454</v>
      </c>
      <c r="F71" s="345">
        <f ca="1">F43</f>
        <v>10558.08</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373</v>
      </c>
      <c r="D75" s="1570"/>
      <c r="E75" s="1570"/>
      <c r="F75" s="1570"/>
      <c r="K75" s="1588"/>
      <c r="L75" s="1570"/>
      <c r="O75" s="1604" t="s">
        <v>1014</v>
      </c>
      <c r="P75" s="1605" t="s">
        <v>1514</v>
      </c>
      <c r="Q75" s="1606">
        <f ca="1">Q65+Q66</f>
        <v>27724</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0.64500000000000002</v>
      </c>
    </row>
    <row r="80" spans="1:18">
      <c r="B80" s="346" t="s">
        <v>1476</v>
      </c>
      <c r="C80" s="280">
        <f ca="1">ROUND(C75/C39,3)</f>
        <v>0.35499999999999998</v>
      </c>
    </row>
    <row r="81" spans="2:3">
      <c r="B81" s="276" t="s">
        <v>1477</v>
      </c>
      <c r="C81" s="244"/>
    </row>
    <row r="82" spans="2:3">
      <c r="B82" s="279" t="s">
        <v>1478</v>
      </c>
      <c r="C82" s="281">
        <f ca="1">1-C83</f>
        <v>0.83199999999999996</v>
      </c>
    </row>
    <row r="83" spans="2:3">
      <c r="B83" s="279" t="s">
        <v>1479</v>
      </c>
      <c r="C83" s="280">
        <f ca="1">ROUND(C13/C40,3)</f>
        <v>0.16800000000000001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5" priority="56">
      <formula>$L$48&gt;$J$51</formula>
    </cfRule>
  </conditionalFormatting>
  <conditionalFormatting sqref="I55 I60">
    <cfRule type="expression" dxfId="4" priority="57">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D18" sqref="D1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6"/>
      <c r="G1" s="1676"/>
      <c r="H1" s="1676"/>
      <c r="I1" s="1676"/>
      <c r="J1" s="1676"/>
      <c r="K1" s="1676"/>
      <c r="L1" s="1676"/>
      <c r="M1" s="1676"/>
      <c r="N1" s="1676"/>
      <c r="O1" s="1676"/>
      <c r="P1" s="1676"/>
      <c r="Q1" s="1676"/>
      <c r="R1" s="1676"/>
      <c r="S1" s="1676"/>
    </row>
    <row r="2" spans="1:22" ht="15.75">
      <c r="A2" s="2058" t="s">
        <v>2149</v>
      </c>
      <c r="B2" s="2059">
        <f ca="1">SUMIF(B6:B13,"&lt;&gt;#ref!",B6:B13)</f>
        <v>31850</v>
      </c>
      <c r="C2" s="2060" t="s">
        <v>2341</v>
      </c>
      <c r="D2" s="2061" t="s">
        <v>2342</v>
      </c>
      <c r="E2" s="2833">
        <f>SUM(E6:E13)</f>
        <v>11966.17</v>
      </c>
      <c r="F2" s="2936"/>
      <c r="G2" s="1676"/>
      <c r="H2" s="1676"/>
      <c r="I2" s="1676"/>
      <c r="J2" s="1676"/>
      <c r="K2" s="1676"/>
      <c r="L2" s="1676"/>
      <c r="M2" s="1676"/>
      <c r="N2" s="1676"/>
      <c r="O2" s="1676"/>
      <c r="P2" s="1676"/>
      <c r="Q2" s="1676"/>
      <c r="R2" s="1676"/>
      <c r="S2" s="1676"/>
    </row>
    <row r="3" spans="1:22" ht="15.75">
      <c r="A3" s="2058" t="s">
        <v>1360</v>
      </c>
      <c r="B3" s="2827">
        <f ca="1">ROUND(B2*10000/E2,0)</f>
        <v>26617</v>
      </c>
      <c r="C3" s="2060" t="s">
        <v>2349</v>
      </c>
      <c r="D3" s="2938"/>
      <c r="E3" s="2940"/>
      <c r="F3" s="2936"/>
      <c r="G3" s="1676"/>
      <c r="H3" s="1676"/>
      <c r="I3" s="1676"/>
      <c r="J3" s="1676"/>
      <c r="K3" s="1676"/>
      <c r="L3" s="1676"/>
      <c r="M3" s="1676"/>
      <c r="N3" s="1676"/>
      <c r="O3" s="1676"/>
      <c r="P3" s="1676"/>
      <c r="Q3" s="1676"/>
      <c r="R3" s="1676"/>
      <c r="S3" s="1676"/>
    </row>
    <row r="4" spans="1:22" ht="15.75">
      <c r="A4" s="2941"/>
      <c r="B4" s="2938"/>
      <c r="C4" s="2938"/>
      <c r="D4" s="2938"/>
      <c r="E4" s="2940"/>
      <c r="F4" s="2936"/>
      <c r="G4" s="1676"/>
      <c r="H4" s="1676"/>
      <c r="I4" s="1676"/>
      <c r="J4" s="1676"/>
      <c r="K4" s="1676"/>
      <c r="L4" s="1676"/>
      <c r="M4" s="1676"/>
      <c r="N4" s="1676"/>
      <c r="O4" s="1676"/>
      <c r="P4" s="1676"/>
      <c r="Q4" s="1676"/>
      <c r="R4" s="1676"/>
      <c r="S4" s="1676"/>
    </row>
    <row r="5" spans="1:22" ht="15">
      <c r="A5" s="2829" t="s">
        <v>2343</v>
      </c>
      <c r="B5" s="3424" t="s">
        <v>2344</v>
      </c>
      <c r="C5" s="3425"/>
      <c r="D5" s="2937"/>
      <c r="E5" s="2062" t="s">
        <v>2345</v>
      </c>
      <c r="F5" s="2063" t="s">
        <v>2346</v>
      </c>
      <c r="G5" s="1676"/>
      <c r="H5" s="1676"/>
      <c r="I5" s="1676"/>
      <c r="J5" s="1676"/>
      <c r="K5" s="1676"/>
      <c r="L5" s="1676"/>
      <c r="M5" s="1676"/>
      <c r="N5" s="1676"/>
      <c r="O5" s="1676"/>
      <c r="P5" s="1676"/>
      <c r="Q5" s="1676"/>
      <c r="R5" s="1676"/>
      <c r="S5" s="1676"/>
    </row>
    <row r="6" spans="1:22">
      <c r="A6" s="2830" t="str">
        <f>'数据-取费表'!AN6</f>
        <v>收益法（办公）</v>
      </c>
      <c r="B6" s="2828">
        <f ca="1">IF(F6="是",'数据-取费表'!AO6,0)</f>
        <v>27772</v>
      </c>
      <c r="C6" s="2060" t="s">
        <v>2341</v>
      </c>
      <c r="D6" s="2938"/>
      <c r="E6" s="2832">
        <f>IF(OR(A6=0,F6="否"),0,'数据-取费表'!K6+'数据-取费表'!S6)</f>
        <v>10558.08</v>
      </c>
      <c r="F6" s="2064" t="s">
        <v>2347</v>
      </c>
      <c r="G6" s="1676"/>
      <c r="H6" s="1676"/>
      <c r="I6" s="1676"/>
      <c r="J6" s="1676"/>
      <c r="K6" s="1676"/>
      <c r="L6" s="1676"/>
      <c r="M6" s="1676"/>
      <c r="N6" s="1676"/>
      <c r="O6" s="1676"/>
      <c r="P6" s="1676"/>
      <c r="Q6" s="1676"/>
      <c r="R6" s="1676"/>
      <c r="S6" s="1676"/>
    </row>
    <row r="7" spans="1:22">
      <c r="A7" s="2830" t="str">
        <f>'数据-取费表'!AN7</f>
        <v>收益法</v>
      </c>
      <c r="B7" s="2828">
        <f ca="1">IF(F7="是",'数据-取费表'!AO7,0)</f>
        <v>4078</v>
      </c>
      <c r="C7" s="2060" t="s">
        <v>2341</v>
      </c>
      <c r="D7" s="2938"/>
      <c r="E7" s="2832">
        <f>IF(OR(A7=0,F7="否"),0,'数据-取费表'!K7+'数据-取费表'!S7)</f>
        <v>1408.09</v>
      </c>
      <c r="F7" s="2064" t="s">
        <v>2347</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2341</v>
      </c>
      <c r="D8" s="2938"/>
      <c r="E8" s="2832">
        <f>IF(OR(A8=0,F8="否"),0,'数据-取费表'!K8+'数据-取费表'!S8)</f>
        <v>0</v>
      </c>
      <c r="F8" s="2064" t="s">
        <v>2347</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2341</v>
      </c>
      <c r="D9" s="2938"/>
      <c r="E9" s="2832">
        <f>IF(OR(A9=0,F9="否"),0,'数据-取费表'!K9+'数据-取费表'!S9)</f>
        <v>0</v>
      </c>
      <c r="F9" s="2064" t="s">
        <v>2347</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2341</v>
      </c>
      <c r="D10" s="2938"/>
      <c r="E10" s="2832">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2341</v>
      </c>
      <c r="D11" s="2938"/>
      <c r="E11" s="2832">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2341</v>
      </c>
      <c r="D12" s="2938"/>
      <c r="E12" s="2832">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2341</v>
      </c>
      <c r="D13" s="2939"/>
      <c r="E13" s="2832">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6"/>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31" t="s">
        <v>1117</v>
      </c>
      <c r="C1" s="3431"/>
      <c r="D1" s="3431"/>
      <c r="E1" s="3431"/>
      <c r="F1" s="3431"/>
      <c r="G1" s="3430" t="s">
        <v>1118</v>
      </c>
      <c r="H1" s="3430"/>
      <c r="I1" s="3430"/>
      <c r="J1" s="3430"/>
      <c r="K1" s="3430"/>
      <c r="L1" s="3430"/>
      <c r="N1" s="3430" t="s">
        <v>1119</v>
      </c>
      <c r="O1" s="3430"/>
      <c r="P1" s="3430"/>
      <c r="Q1" s="3430"/>
      <c r="S1" s="3430" t="s">
        <v>1120</v>
      </c>
      <c r="T1" s="3430"/>
      <c r="U1" s="3430"/>
      <c r="V1" s="3430"/>
      <c r="X1" s="3429" t="s">
        <v>1121</v>
      </c>
      <c r="Y1" s="3430"/>
      <c r="Z1" s="3430"/>
      <c r="AA1" s="3430"/>
      <c r="AB1" s="3430"/>
      <c r="AD1" s="3429" t="s">
        <v>1122</v>
      </c>
      <c r="AE1" s="3430"/>
      <c r="AF1" s="3430"/>
      <c r="AG1" s="3430"/>
      <c r="AH1" s="3430"/>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3054</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3">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3055</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3">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3053</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0">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2872</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2870</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2869</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2868</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2866</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2864</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2867</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427">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2862</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427"/>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2861</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427"/>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2854</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436"/>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2852</v>
      </c>
      <c r="B18" s="2440">
        <v>439</v>
      </c>
      <c r="C18" s="2440">
        <v>327</v>
      </c>
      <c r="D18" s="2440">
        <f>C18</f>
        <v>327</v>
      </c>
      <c r="E18" s="2440">
        <v>627</v>
      </c>
      <c r="F18" s="2441">
        <v>283</v>
      </c>
      <c r="G18" s="3432">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2853</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427"/>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427"/>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436"/>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432">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427"/>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427"/>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428"/>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426">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427"/>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427"/>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428"/>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426">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427"/>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427"/>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428"/>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433">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434"/>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434"/>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435"/>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426">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427"/>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427"/>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428"/>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426">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427">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427">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428">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426">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427">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427">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428">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426">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427">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427">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428">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426">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427">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427">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428">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426">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427">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427">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428">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426">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427">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427">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428">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426">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427">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427">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428">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426">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427">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427">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428">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426">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427">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427">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428">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426">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427">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427">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428">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40" t="s">
        <v>2825</v>
      </c>
      <c r="D1" s="3441"/>
      <c r="E1" s="3441"/>
      <c r="F1" s="3441"/>
      <c r="G1" s="3441"/>
      <c r="H1" s="3441"/>
      <c r="I1" s="3441"/>
      <c r="J1" s="3441"/>
      <c r="K1" s="3441"/>
      <c r="L1" s="3441"/>
      <c r="M1" s="3441"/>
      <c r="N1" s="3441"/>
      <c r="O1" s="3441"/>
      <c r="P1" s="3441"/>
      <c r="Q1" s="3441"/>
      <c r="R1" s="3441"/>
      <c r="S1" s="3442"/>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7" t="s">
        <v>33</v>
      </c>
      <c r="D22" s="3438"/>
      <c r="E22" s="3438"/>
      <c r="F22" s="3438"/>
      <c r="G22" s="3438"/>
      <c r="H22" s="3438"/>
      <c r="I22" s="3438"/>
      <c r="J22" s="3438"/>
      <c r="K22" s="3438"/>
      <c r="L22" s="3438"/>
      <c r="M22" s="3438"/>
      <c r="N22" s="3438"/>
      <c r="O22" s="3438"/>
      <c r="P22" s="3438"/>
      <c r="Q22" s="3439"/>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34387</v>
      </c>
      <c r="C2" s="2" t="s">
        <v>133</v>
      </c>
      <c r="D2" s="205"/>
      <c r="E2" s="205"/>
      <c r="F2" s="205"/>
      <c r="G2" s="205"/>
    </row>
    <row r="3" spans="1:7" s="206" customFormat="1" ht="18" customHeight="1" thickBot="1">
      <c r="A3" s="209" t="s">
        <v>85</v>
      </c>
      <c r="B3" s="210">
        <f ca="1">ROUND(B2*10000/'数据-汇总表'!E3,0)</f>
        <v>28737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239</v>
      </c>
      <c r="D10" s="954">
        <f>'数据-汇总表'!E6</f>
        <v>11966.17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239</v>
      </c>
      <c r="D19" s="958">
        <f>'数据-汇总表'!E3</f>
        <v>11966.17</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2047</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23</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3403</v>
      </c>
      <c r="D27" s="241">
        <f>C29</f>
        <v>3.2000000000000002E-3</v>
      </c>
      <c r="E27" s="242" t="s">
        <v>126</v>
      </c>
      <c r="F27" s="252">
        <f>'数据-取费表'!Q16</f>
        <v>0.16</v>
      </c>
      <c r="G27" s="253" t="s">
        <v>1037</v>
      </c>
    </row>
    <row r="28" spans="1:7" s="220" customFormat="1" ht="13.5" customHeight="1">
      <c r="A28" s="888" t="s">
        <v>794</v>
      </c>
      <c r="B28" s="254" t="s">
        <v>1030</v>
      </c>
      <c r="C28" s="255">
        <f>ROUND((C5+C19+C20)*F27*'数据-取费表'!B21/'数据-取费表'!B20,0)</f>
        <v>3403</v>
      </c>
      <c r="D28" s="241"/>
      <c r="E28" s="242"/>
      <c r="F28" s="252"/>
      <c r="G28" s="253"/>
    </row>
    <row r="29" spans="1:7" s="220" customFormat="1" ht="13.5" customHeight="1">
      <c r="A29" s="888" t="s">
        <v>792</v>
      </c>
      <c r="B29" s="254" t="s">
        <v>1031</v>
      </c>
      <c r="C29" s="244">
        <f>ROUND(C21*F27*'数据-取费表'!B21/'数据-取费表'!B20,4)</f>
        <v>3.2000000000000002E-3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28961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4064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3660</v>
      </c>
      <c r="D34" s="223"/>
      <c r="E34" s="226"/>
      <c r="F34" s="263">
        <f>IF('数据-取费表'!B24=0,1,'数据-取费表'!N16)</f>
        <v>1</v>
      </c>
      <c r="G34" s="225" t="s">
        <v>116</v>
      </c>
    </row>
    <row r="35" spans="1:7" ht="13.5" customHeight="1">
      <c r="A35" s="888" t="s">
        <v>796</v>
      </c>
      <c r="B35" s="221" t="s">
        <v>60</v>
      </c>
      <c r="C35" s="226">
        <f>ROUND(C34*F35,0)</f>
        <v>110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239</v>
      </c>
      <c r="D37" s="223">
        <f>'数据-汇总表'!E3</f>
        <v>11966.17</v>
      </c>
      <c r="E37" s="255">
        <f>'数据-取费表'!B35</f>
        <v>200</v>
      </c>
      <c r="F37" s="265"/>
      <c r="G37" s="267" t="s">
        <v>119</v>
      </c>
    </row>
    <row r="38" spans="1:7" ht="13.5" customHeight="1">
      <c r="A38" s="888" t="s">
        <v>799</v>
      </c>
      <c r="B38" s="221" t="s">
        <v>63</v>
      </c>
      <c r="C38" s="226">
        <f>ROUND(C34*F38,0)</f>
        <v>55</v>
      </c>
      <c r="D38" s="226"/>
      <c r="E38" s="226"/>
      <c r="F38" s="265">
        <f>'数据-取费表'!B36</f>
        <v>1.4999999999999999E-2</v>
      </c>
      <c r="G38" s="225" t="s">
        <v>117</v>
      </c>
    </row>
    <row r="39" spans="1:7" s="220" customFormat="1" ht="13.5" customHeight="1">
      <c r="A39" s="885" t="s">
        <v>783</v>
      </c>
      <c r="B39" s="216" t="s">
        <v>104</v>
      </c>
      <c r="C39" s="238">
        <f>ROUND(C33*F20,0)</f>
        <v>81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197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193</v>
      </c>
      <c r="D42" s="244"/>
      <c r="E42" s="244"/>
      <c r="F42" s="245"/>
      <c r="G42" s="3297" t="s">
        <v>121</v>
      </c>
    </row>
    <row r="43" spans="1:7" ht="13.5" customHeight="1">
      <c r="A43" s="888" t="s">
        <v>792</v>
      </c>
      <c r="B43" s="221" t="s">
        <v>1032</v>
      </c>
      <c r="C43" s="244">
        <f ca="1">ROUND(IF('数据-取费表'!B22&lt;=1,C39*F22*'数据-取费表'!B21/2,C39*(POWER((1+F22),'数据-取费表'!B21/2)-1)),0)</f>
        <v>4</v>
      </c>
      <c r="D43" s="244"/>
      <c r="E43" s="244"/>
      <c r="F43" s="245"/>
      <c r="G43" s="3298"/>
    </row>
    <row r="44" spans="1:7" ht="13.5" customHeight="1">
      <c r="A44" s="888" t="s">
        <v>793</v>
      </c>
      <c r="B44" s="221" t="s">
        <v>1034</v>
      </c>
      <c r="C44" s="244">
        <f ca="1">ROUND(IF('数据-取费表'!B22&lt;=1,C40*F22*'数据-取费表'!B21/2,C40*(POWER((1+F22),'数据-取费表'!B21/2)-1)),4)</f>
        <v>1E-3</v>
      </c>
      <c r="D44" s="244"/>
      <c r="E44" s="244"/>
      <c r="F44" s="245"/>
      <c r="G44" s="3299"/>
    </row>
    <row r="45" spans="1:7" s="220" customFormat="1" ht="13.5" customHeight="1">
      <c r="A45" s="885" t="s">
        <v>786</v>
      </c>
      <c r="B45" s="250" t="s">
        <v>112</v>
      </c>
      <c r="C45" s="251">
        <f>C46</f>
        <v>663</v>
      </c>
      <c r="D45" s="241">
        <f>C47</f>
        <v>3.2000000000000002E-3</v>
      </c>
      <c r="E45" s="242" t="s">
        <v>129</v>
      </c>
      <c r="F45" s="252"/>
      <c r="G45" s="253" t="s">
        <v>1040</v>
      </c>
    </row>
    <row r="46" spans="1:7" s="220" customFormat="1" ht="13.5" customHeight="1">
      <c r="A46" s="888" t="s">
        <v>794</v>
      </c>
      <c r="B46" s="254" t="s">
        <v>1033</v>
      </c>
      <c r="C46" s="255">
        <f>ROUND((C33+C39)*F27,0)</f>
        <v>663</v>
      </c>
      <c r="D46" s="269"/>
      <c r="E46" s="242"/>
      <c r="F46" s="252"/>
      <c r="G46" s="253"/>
    </row>
    <row r="47" spans="1:7" s="220" customFormat="1" ht="13.5" customHeight="1">
      <c r="A47" s="888" t="s">
        <v>792</v>
      </c>
      <c r="B47" s="254" t="s">
        <v>1035</v>
      </c>
      <c r="C47" s="244">
        <f>ROUND(C40*F27,4)</f>
        <v>3.2000000000000002E-3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5426</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5426</v>
      </c>
      <c r="D51" s="238"/>
      <c r="E51" s="238"/>
      <c r="F51" s="270"/>
      <c r="G51" s="240" t="s">
        <v>64</v>
      </c>
    </row>
    <row r="52" spans="1:7" s="214" customFormat="1" ht="16.5" thickBot="1">
      <c r="A52" s="271" t="s">
        <v>65</v>
      </c>
      <c r="B52" s="272"/>
      <c r="C52" s="273">
        <f ca="1">C31+C51</f>
        <v>34387</v>
      </c>
      <c r="D52" s="272"/>
      <c r="E52" s="272"/>
      <c r="F52" s="272"/>
      <c r="G52" s="274"/>
    </row>
    <row r="55" spans="1:7" ht="15">
      <c r="B55" s="276" t="s">
        <v>66</v>
      </c>
      <c r="C55" s="277"/>
    </row>
    <row r="56" spans="1:7">
      <c r="B56" s="279" t="s">
        <v>67</v>
      </c>
      <c r="C56" s="280">
        <f ca="1">ROUND(C51/C52,3)</f>
        <v>0.158</v>
      </c>
    </row>
    <row r="57" spans="1:7">
      <c r="B57" s="279" t="s">
        <v>68</v>
      </c>
      <c r="C57" s="281">
        <f ca="1">1-C56</f>
        <v>0.84199999999999997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3" t="s">
        <v>156</v>
      </c>
      <c r="B1" s="3443"/>
      <c r="C1" s="3443"/>
      <c r="D1" s="3443"/>
      <c r="E1" s="3443"/>
      <c r="F1" s="34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4" t="s">
        <v>169</v>
      </c>
      <c r="B2" s="3444"/>
      <c r="C2" s="3444"/>
      <c r="D2" s="3444"/>
      <c r="E2" s="3444"/>
      <c r="F2" s="34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3" t="s">
        <v>839</v>
      </c>
      <c r="B1" s="34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44218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26" t="str">
        <f>IF(项目基本情况!B9="房地产市场价值","估价结果一览表","结果表-2")</f>
        <v>结果表-2</v>
      </c>
      <c r="B1" s="3126"/>
      <c r="C1" s="3126"/>
      <c r="D1" s="3126"/>
      <c r="E1" s="3126"/>
      <c r="F1" s="3126"/>
      <c r="G1" s="3126"/>
      <c r="H1" s="3126"/>
      <c r="I1" s="3126"/>
    </row>
    <row r="2" spans="1:9" ht="30" customHeight="1" thickTop="1">
      <c r="A2" s="3127" t="s">
        <v>1606</v>
      </c>
      <c r="B2" s="3127" t="s">
        <v>1607</v>
      </c>
      <c r="C2" s="3127" t="s">
        <v>1608</v>
      </c>
      <c r="D2" s="3127" t="str">
        <f>'结果表（商业）'!D116</f>
        <v>出让国有建设用地使用权价值</v>
      </c>
      <c r="E2" s="3127"/>
      <c r="F2" s="3127" t="str">
        <f>'结果表（商业）'!F116</f>
        <v>建筑物价值</v>
      </c>
      <c r="G2" s="3127"/>
      <c r="H2" s="3127" t="str">
        <f>IF(项目基本情况!B9="房地产市场价值","房地产市场价值","房地产价值")</f>
        <v>房地产价值</v>
      </c>
      <c r="I2" s="3127"/>
    </row>
    <row r="3" spans="1:9" ht="15">
      <c r="A3" s="3121"/>
      <c r="B3" s="3121"/>
      <c r="C3" s="3121"/>
      <c r="D3" s="963" t="s">
        <v>1603</v>
      </c>
      <c r="E3" s="963" t="s">
        <v>1609</v>
      </c>
      <c r="F3" s="963" t="s">
        <v>1603</v>
      </c>
      <c r="G3" s="963" t="s">
        <v>1604</v>
      </c>
      <c r="H3" s="963" t="s">
        <v>1603</v>
      </c>
      <c r="I3" s="963" t="s">
        <v>1604</v>
      </c>
    </row>
    <row r="4" spans="1:9" ht="15">
      <c r="A4" s="1692" t="str">
        <f>项目基本情况!S2</f>
        <v>北京市房地产</v>
      </c>
      <c r="B4" s="963">
        <f>项目基本情况!C17</f>
        <v>11966.17</v>
      </c>
      <c r="C4" s="963">
        <f>项目基本情况!C18</f>
        <v>2411.61</v>
      </c>
      <c r="D4" s="963">
        <f ca="1">'结果表（商业）'!D118</f>
        <v>4054</v>
      </c>
      <c r="E4" s="963">
        <f ca="1">'结果表（商业）'!E118</f>
        <v>28791</v>
      </c>
      <c r="F4" s="963">
        <f ca="1">'结果表（商业）'!F118</f>
        <v>660</v>
      </c>
      <c r="G4" s="963">
        <f ca="1">'结果表（商业）'!G118</f>
        <v>4687</v>
      </c>
      <c r="H4" s="963">
        <f ca="1">'结果表（商业）'!H118</f>
        <v>4714</v>
      </c>
      <c r="I4" s="963">
        <f ca="1">'结果表（商业）'!I118</f>
        <v>33478</v>
      </c>
    </row>
    <row r="5" spans="1:9" ht="30" customHeight="1">
      <c r="A5" s="3121" t="s">
        <v>1605</v>
      </c>
      <c r="B5" s="3121"/>
      <c r="C5" s="3121"/>
      <c r="D5" s="3122" t="str">
        <f ca="1">'结果表（商业）'!D119</f>
        <v>肆仟零伍拾肆万元整</v>
      </c>
      <c r="E5" s="3122"/>
      <c r="F5" s="3122" t="str">
        <f ca="1">'结果表（商业）'!F119</f>
        <v>陆佰陆拾万元整</v>
      </c>
      <c r="G5" s="3122"/>
      <c r="H5" s="3122" t="str">
        <f ca="1">'结果表（商业）'!H119</f>
        <v>肆仟柒佰壹拾肆万元整</v>
      </c>
      <c r="I5" s="3122"/>
    </row>
    <row r="6" spans="1:9" ht="15.75">
      <c r="A6" s="3120" t="str">
        <f>'结果表（商业）'!A120</f>
        <v>估价师知悉的法定优先受偿款</v>
      </c>
      <c r="B6" s="3120"/>
      <c r="C6" s="3120"/>
      <c r="D6" s="3120">
        <f>'结果表（商业）'!D120</f>
        <v>0</v>
      </c>
      <c r="E6" s="3120"/>
      <c r="F6" s="3120"/>
      <c r="G6" s="3120"/>
      <c r="H6" s="3120"/>
      <c r="I6" s="3120"/>
    </row>
    <row r="7" spans="1:9" ht="15">
      <c r="A7" s="3121" t="s">
        <v>1605</v>
      </c>
      <c r="B7" s="3121"/>
      <c r="C7" s="3121"/>
      <c r="D7" s="3123" t="str">
        <f>'结果表（商业）'!D121</f>
        <v>零元整</v>
      </c>
      <c r="E7" s="3124"/>
      <c r="F7" s="3124"/>
      <c r="G7" s="3124"/>
      <c r="H7" s="3124"/>
      <c r="I7" s="3125"/>
    </row>
    <row r="8" spans="1:9" ht="15.75">
      <c r="A8" s="3120" t="str">
        <f>'结果表（商业）'!A122</f>
        <v>房地产抵押价值</v>
      </c>
      <c r="B8" s="3120"/>
      <c r="C8" s="3120"/>
      <c r="D8" s="3120">
        <f ca="1">'结果表（商业）'!D122</f>
        <v>4714</v>
      </c>
      <c r="E8" s="3120"/>
      <c r="F8" s="3120"/>
      <c r="G8" s="3120"/>
      <c r="H8" s="3120"/>
      <c r="I8" s="3120"/>
    </row>
    <row r="9" spans="1:9" ht="15">
      <c r="A9" s="3121" t="s">
        <v>1605</v>
      </c>
      <c r="B9" s="3121"/>
      <c r="C9" s="3121"/>
      <c r="D9" s="3122" t="str">
        <f ca="1">'结果表（商业）'!D123</f>
        <v>肆仟柒佰壹拾肆万元整</v>
      </c>
      <c r="E9" s="3122"/>
      <c r="F9" s="3122"/>
      <c r="G9" s="3122"/>
      <c r="H9" s="3122"/>
      <c r="I9" s="3122"/>
    </row>
    <row r="10" spans="1:9" ht="15.75">
      <c r="A10" s="3120" t="str">
        <f>'结果表（商业）'!A124</f>
        <v/>
      </c>
      <c r="B10" s="3120"/>
      <c r="C10" s="3120"/>
      <c r="D10" s="3120" t="str">
        <f>'结果表（商业）'!D124</f>
        <v>——</v>
      </c>
      <c r="E10" s="3120"/>
      <c r="F10" s="3120"/>
      <c r="G10" s="3120"/>
      <c r="H10" s="3120"/>
      <c r="I10" s="3120"/>
    </row>
    <row r="11" spans="1:9" ht="15">
      <c r="A11" s="3121" t="s">
        <v>1605</v>
      </c>
      <c r="B11" s="3121"/>
      <c r="C11" s="3121"/>
      <c r="D11" s="3122" t="e">
        <f>'结果表（商业）'!D125</f>
        <v>#VALUE!</v>
      </c>
      <c r="E11" s="3122"/>
      <c r="F11" s="3122"/>
      <c r="G11" s="3122"/>
      <c r="H11" s="3122"/>
      <c r="I11" s="3122"/>
    </row>
    <row r="12" spans="1:9" ht="15.75">
      <c r="A12" s="3120" t="str">
        <f>'结果表（商业）'!A126</f>
        <v/>
      </c>
      <c r="B12" s="3120"/>
      <c r="C12" s="3120"/>
      <c r="D12" s="3120" t="str">
        <f>'结果表（商业）'!D126</f>
        <v>——</v>
      </c>
      <c r="E12" s="3120"/>
      <c r="F12" s="3120"/>
      <c r="G12" s="3120"/>
      <c r="H12" s="3120"/>
      <c r="I12" s="3120"/>
    </row>
    <row r="13" spans="1:9" ht="15.75" thickBot="1">
      <c r="A13" s="3117" t="s">
        <v>1605</v>
      </c>
      <c r="B13" s="3117"/>
      <c r="C13" s="3117"/>
      <c r="D13" s="3118" t="e">
        <f>'结果表（商业）'!D127</f>
        <v>#VALUE!</v>
      </c>
      <c r="E13" s="3118"/>
      <c r="F13" s="3118"/>
      <c r="G13" s="3118"/>
      <c r="H13" s="3118"/>
      <c r="I13" s="3118"/>
    </row>
    <row r="14" spans="1:9" ht="15" thickTop="1">
      <c r="A14" s="3119" t="s">
        <v>1610</v>
      </c>
      <c r="B14" s="3119"/>
      <c r="C14" s="3119"/>
      <c r="D14" s="3119"/>
      <c r="E14" s="3119"/>
      <c r="F14" s="3119"/>
      <c r="G14" s="3119"/>
      <c r="H14" s="3119"/>
      <c r="I14" s="3119"/>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34" t="s">
        <v>1627</v>
      </c>
      <c r="B1" s="3134"/>
      <c r="C1" s="3134"/>
      <c r="D1" s="3134"/>
    </row>
    <row r="2" spans="1:4" ht="18">
      <c r="A2" s="3135" t="s">
        <v>1611</v>
      </c>
      <c r="B2" s="3135"/>
      <c r="C2" s="3135"/>
      <c r="D2" s="3135"/>
    </row>
    <row r="3" spans="1:4" ht="18.7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8">
      <c r="A6" s="3135" t="s">
        <v>1617</v>
      </c>
      <c r="B6" s="3135"/>
      <c r="C6" s="3135"/>
      <c r="D6" s="3135"/>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36" t="s">
        <v>1620</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3"/>
      <c r="C12" s="3133"/>
      <c r="D12" s="3133"/>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3"/>
      <c r="C13" s="3133"/>
      <c r="D13" s="3133"/>
    </row>
    <row r="14" spans="1:4" ht="15.75" customHeight="1">
      <c r="A14" s="3128" t="str">
        <f>IF(项目基本情况!B8="抵押","4.本次评估估价师所知悉的法定优先受偿款情况说明如下：","——")</f>
        <v>4.本次评估估价师所知悉的法定优先受偿款情况说明如下：</v>
      </c>
      <c r="B14" s="3133"/>
      <c r="C14" s="3133"/>
      <c r="D14" s="3133"/>
    </row>
    <row r="15" spans="1:4" ht="42" customHeight="1">
      <c r="A15" s="31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spans="1:4" ht="30" customHeight="1">
      <c r="A16" s="3130" t="s">
        <v>1621</v>
      </c>
      <c r="B16" s="3130"/>
      <c r="C16" s="3130"/>
      <c r="D16" s="3130"/>
    </row>
    <row r="17" spans="1:4" ht="144" customHeight="1">
      <c r="A17" s="3130" t="s">
        <v>1622</v>
      </c>
      <c r="B17" s="3130"/>
      <c r="C17" s="3130"/>
      <c r="D17" s="3130"/>
    </row>
    <row r="18" spans="1:4" ht="15.75" customHeight="1">
      <c r="A18" s="3128" t="str">
        <f>IF(项目基本情况!B8="抵押",'结果表（商业）'!K120,"——")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8"/>
      <c r="C20" s="3128"/>
      <c r="D20" s="3128"/>
    </row>
    <row r="21" spans="1:4" ht="57.75" customHeight="1">
      <c r="A21" s="3131"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1"/>
      <c r="C21" s="3131"/>
      <c r="D21" s="3131"/>
    </row>
    <row r="22" spans="1:4" ht="18.75" customHeight="1">
      <c r="A22" s="3132" t="s">
        <v>1623</v>
      </c>
      <c r="B22" s="3132"/>
      <c r="C22" s="3132"/>
      <c r="D22" s="3132"/>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29">
        <v>42551</v>
      </c>
      <c r="D31" s="31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42" t="s">
        <v>1634</v>
      </c>
      <c r="B15" s="3137" t="s">
        <v>136</v>
      </c>
      <c r="C15" s="3138"/>
    </row>
    <row r="16" spans="1:7" ht="13.5">
      <c r="A16" s="3143"/>
      <c r="B16" s="3137" t="s">
        <v>69</v>
      </c>
      <c r="C16" s="3138"/>
    </row>
    <row r="17" spans="1:3" ht="13.5">
      <c r="A17" s="3143"/>
      <c r="B17" s="3140" t="s">
        <v>1635</v>
      </c>
      <c r="C17" s="1719" t="s">
        <v>1634</v>
      </c>
    </row>
    <row r="18" spans="1:3" ht="13.5">
      <c r="A18" s="3143"/>
      <c r="B18" s="3140"/>
      <c r="C18" s="1719" t="s">
        <v>1636</v>
      </c>
    </row>
    <row r="19" spans="1:3" ht="13.5">
      <c r="A19" s="3143"/>
      <c r="B19" s="3140"/>
      <c r="C19" s="1719" t="s">
        <v>1637</v>
      </c>
    </row>
    <row r="20" spans="1:3" ht="13.5">
      <c r="A20" s="3144"/>
      <c r="B20" s="3139" t="s">
        <v>1638</v>
      </c>
      <c r="C20" s="3138"/>
    </row>
    <row r="21" spans="1:3" ht="13.5">
      <c r="A21" s="1720" t="s">
        <v>1639</v>
      </c>
      <c r="B21" s="1721"/>
      <c r="C21" s="1722"/>
    </row>
    <row r="22" spans="1:3" ht="13.5">
      <c r="A22" s="3141" t="s">
        <v>1640</v>
      </c>
      <c r="B22" s="3139" t="s">
        <v>1641</v>
      </c>
      <c r="C22" s="3138"/>
    </row>
    <row r="23" spans="1:3" ht="13.5">
      <c r="A23" s="3141"/>
      <c r="B23" s="3139" t="s">
        <v>1642</v>
      </c>
      <c r="C23" s="3138"/>
    </row>
    <row r="24" spans="1:3" ht="13.5">
      <c r="A24" s="3141"/>
      <c r="B24" s="3139" t="s">
        <v>1643</v>
      </c>
      <c r="C24" s="3138"/>
    </row>
    <row r="25" spans="1:3" ht="13.5">
      <c r="A25" s="3141"/>
      <c r="B25" s="3140" t="s">
        <v>1644</v>
      </c>
      <c r="C25" s="1719" t="s">
        <v>1645</v>
      </c>
    </row>
    <row r="26" spans="1:3" ht="13.5">
      <c r="A26" s="3141"/>
      <c r="B26" s="3140"/>
      <c r="C26" s="1719" t="s">
        <v>1646</v>
      </c>
    </row>
    <row r="27" spans="1:3" ht="13.5">
      <c r="A27" s="3141"/>
      <c r="B27" s="3140"/>
      <c r="C27" s="1719" t="s">
        <v>1647</v>
      </c>
    </row>
    <row r="28" spans="1:3" ht="13.5">
      <c r="A28" s="3141"/>
      <c r="B28" s="3140"/>
      <c r="C28" s="1719" t="s">
        <v>1648</v>
      </c>
    </row>
    <row r="29" spans="1:3" ht="13.5">
      <c r="A29" s="3141"/>
      <c r="B29" s="3140"/>
      <c r="C29" s="1719" t="s">
        <v>1649</v>
      </c>
    </row>
    <row r="30" spans="1:3" ht="13.5">
      <c r="A30" s="3141"/>
      <c r="B30" s="3140"/>
      <c r="C30" s="1719" t="s">
        <v>1650</v>
      </c>
    </row>
    <row r="31" spans="1:3" ht="13.5">
      <c r="A31" s="3141"/>
      <c r="B31" s="3140"/>
      <c r="C31" s="1719" t="s">
        <v>1651</v>
      </c>
    </row>
    <row r="32" spans="1:3" ht="13.5">
      <c r="A32" s="3141"/>
      <c r="B32" s="3140"/>
      <c r="C32" s="1719" t="s">
        <v>1652</v>
      </c>
    </row>
    <row r="33" spans="1:3" ht="13.5">
      <c r="A33" s="3141"/>
      <c r="B33" s="3140"/>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44223</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45" t="s">
        <v>2902</v>
      </c>
      <c r="B17" s="3145"/>
      <c r="C17" s="3145"/>
      <c r="D17" s="3145"/>
      <c r="E17" s="3145"/>
      <c r="F17" s="3145"/>
      <c r="G17" s="3145"/>
      <c r="H17" s="3145"/>
    </row>
    <row r="18" spans="1:8" ht="24" customHeight="1">
      <c r="A18" s="3146" t="s">
        <v>2903</v>
      </c>
      <c r="B18" s="3146"/>
      <c r="C18" s="3146"/>
      <c r="D18" s="2568"/>
      <c r="E18" s="3147" t="s">
        <v>2904</v>
      </c>
      <c r="F18" s="3146"/>
      <c r="G18" s="3146"/>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158</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信息</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收益法</vt:lpstr>
      <vt:lpstr>修正</vt:lpstr>
      <vt:lpstr>容积率修正</vt:lpstr>
      <vt:lpstr>基准地价（汇总）</vt:lpstr>
      <vt:lpstr>结果表 (办公)</vt:lpstr>
      <vt:lpstr>结果表</vt:lpstr>
      <vt:lpstr>成本法 (办公)</vt:lpstr>
      <vt:lpstr>基准地价修正 (办公)</vt:lpstr>
      <vt:lpstr>收益法（办公）</vt:lpstr>
      <vt:lpstr>收益法（汇总）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(办公)'!Print_Area</vt:lpstr>
      <vt:lpstr>'成本法 (元)'!Print_Area</vt:lpstr>
      <vt:lpstr>估价对象房地状况!Print_Area</vt:lpstr>
      <vt:lpstr>估价师及机构信息!Print_Area</vt:lpstr>
      <vt:lpstr>'基准地价（汇总）'!Print_Area</vt:lpstr>
      <vt:lpstr>基准地价修正!Print_Area</vt:lpstr>
      <vt:lpstr>'基准地价修正 (办公)'!Print_Area</vt:lpstr>
      <vt:lpstr>假设开发法!Print_Area</vt:lpstr>
      <vt:lpstr>'结果表 (办公)'!Print_Area</vt:lpstr>
      <vt:lpstr>'结果表（商业）'!Print_Area</vt:lpstr>
      <vt:lpstr>收益法!Print_Area</vt:lpstr>
      <vt:lpstr>'收益法 (元)'!Print_Area</vt:lpstr>
      <vt:lpstr>'收益法（办公）'!Print_Area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2021-01-27T12:33:29Z</dcterms:modified>
</cp:coreProperties>
</file>