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65" windowWidth="11370" windowHeight="9300" tabRatio="885" firstSheet="9" activeTab="4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存贷款利率" sheetId="61" state="hidden" r:id="rId42"/>
    <sheet name="Sheet1" sheetId="69" state="hidden" r:id="rId43"/>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3" i="33" l="1"/>
  <c r="E33" i="33"/>
  <c r="C8" i="65" l="1"/>
  <c r="R47" i="66"/>
  <c r="D123" i="66"/>
  <c r="F42" i="66"/>
  <c r="AA42" i="66" s="1"/>
  <c r="T47" i="66"/>
  <c r="H42" i="66"/>
  <c r="AB42" i="66" s="1"/>
  <c r="V47" i="66"/>
  <c r="J42" i="66"/>
  <c r="AC42" i="66" s="1"/>
  <c r="E33" i="66"/>
  <c r="C2" i="69"/>
  <c r="C3" i="69"/>
  <c r="C4" i="69"/>
  <c r="C5" i="69"/>
  <c r="C1" i="69"/>
  <c r="G33" i="33"/>
  <c r="B2" i="69"/>
  <c r="B3" i="69"/>
  <c r="B4" i="69"/>
  <c r="B1" i="69"/>
  <c r="I5" i="64"/>
  <c r="I4" i="64"/>
  <c r="G5" i="64"/>
  <c r="G4" i="64"/>
  <c r="E5" i="64"/>
  <c r="E4" i="64"/>
  <c r="C4" i="64"/>
  <c r="R47" i="33"/>
  <c r="V47" i="33"/>
  <c r="T47" i="33"/>
  <c r="D116" i="33"/>
  <c r="G3" i="43"/>
  <c r="D29" i="43"/>
  <c r="I20" i="65"/>
  <c r="H12" i="65"/>
  <c r="H9" i="65"/>
  <c r="B130" i="66"/>
  <c r="H46" i="66"/>
  <c r="U46" i="66" s="1"/>
  <c r="B128" i="66"/>
  <c r="H45" i="66"/>
  <c r="AB45" i="66" s="1"/>
  <c r="B126" i="66"/>
  <c r="D125" i="66"/>
  <c r="E125" i="66"/>
  <c r="F125" i="66" s="1"/>
  <c r="G125" i="66" s="1"/>
  <c r="E123" i="66"/>
  <c r="F123" i="66"/>
  <c r="G123" i="66" s="1"/>
  <c r="H123" i="66" s="1"/>
  <c r="I123" i="66" s="1"/>
  <c r="J123" i="66" s="1"/>
  <c r="K123" i="66" s="1"/>
  <c r="L123" i="66" s="1"/>
  <c r="M123" i="66" s="1"/>
  <c r="D121" i="66"/>
  <c r="E121" i="66" s="1"/>
  <c r="F121" i="66" s="1"/>
  <c r="G121" i="66" s="1"/>
  <c r="H121" i="66" s="1"/>
  <c r="I121" i="66" s="1"/>
  <c r="J121" i="66" s="1"/>
  <c r="K121" i="66" s="1"/>
  <c r="L121" i="66" s="1"/>
  <c r="M121" i="66" s="1"/>
  <c r="D117" i="66"/>
  <c r="E117" i="66" s="1"/>
  <c r="F117" i="66" s="1"/>
  <c r="G117" i="66" s="1"/>
  <c r="F39" i="66"/>
  <c r="D115" i="66"/>
  <c r="E115" i="66"/>
  <c r="F115" i="66" s="1"/>
  <c r="G115" i="66" s="1"/>
  <c r="H115" i="66" s="1"/>
  <c r="I115" i="66" s="1"/>
  <c r="J115" i="66" s="1"/>
  <c r="K115" i="66" s="1"/>
  <c r="L115" i="66" s="1"/>
  <c r="M115" i="66" s="1"/>
  <c r="D113" i="66"/>
  <c r="E113" i="66"/>
  <c r="F113" i="66" s="1"/>
  <c r="G113" i="66" s="1"/>
  <c r="H113" i="66" s="1"/>
  <c r="I113" i="66" s="1"/>
  <c r="J113" i="66" s="1"/>
  <c r="K113" i="66" s="1"/>
  <c r="L113" i="66" s="1"/>
  <c r="M113" i="66" s="1"/>
  <c r="D111" i="66"/>
  <c r="E111" i="66"/>
  <c r="F111" i="66" s="1"/>
  <c r="G111" i="66" s="1"/>
  <c r="H111" i="66" s="1"/>
  <c r="I111" i="66" s="1"/>
  <c r="J111" i="66" s="1"/>
  <c r="K111" i="66" s="1"/>
  <c r="L111" i="66" s="1"/>
  <c r="M111" i="66" s="1"/>
  <c r="G109" i="66"/>
  <c r="F109" i="66"/>
  <c r="E109" i="66"/>
  <c r="D109" i="66"/>
  <c r="C109" i="66"/>
  <c r="D108" i="66"/>
  <c r="E108" i="66" s="1"/>
  <c r="F108" i="66" s="1"/>
  <c r="G108" i="66" s="1"/>
  <c r="H108" i="66" s="1"/>
  <c r="I108" i="66" s="1"/>
  <c r="J108" i="66" s="1"/>
  <c r="K108" i="66" s="1"/>
  <c r="L108" i="66" s="1"/>
  <c r="M108" i="66" s="1"/>
  <c r="D106" i="66"/>
  <c r="E106" i="66" s="1"/>
  <c r="F106" i="66" s="1"/>
  <c r="G106" i="66" s="1"/>
  <c r="H106" i="66" s="1"/>
  <c r="I106" i="66" s="1"/>
  <c r="J106" i="66" s="1"/>
  <c r="K106" i="66" s="1"/>
  <c r="L106" i="66" s="1"/>
  <c r="M106" i="66" s="1"/>
  <c r="M102" i="66"/>
  <c r="L102" i="66"/>
  <c r="K102" i="66"/>
  <c r="J102" i="66"/>
  <c r="I102" i="66"/>
  <c r="H102" i="66"/>
  <c r="G102" i="66"/>
  <c r="F102" i="66"/>
  <c r="E102" i="66"/>
  <c r="D102" i="66"/>
  <c r="C102" i="66"/>
  <c r="D101" i="66"/>
  <c r="E101" i="66"/>
  <c r="B98" i="66"/>
  <c r="B96" i="66"/>
  <c r="B94" i="66"/>
  <c r="B92" i="66"/>
  <c r="D91" i="66"/>
  <c r="E91" i="66"/>
  <c r="F91" i="66" s="1"/>
  <c r="G91" i="66" s="1"/>
  <c r="H91" i="66" s="1"/>
  <c r="I91" i="66" s="1"/>
  <c r="J91" i="66" s="1"/>
  <c r="K91" i="66" s="1"/>
  <c r="L91" i="66" s="1"/>
  <c r="M91" i="66" s="1"/>
  <c r="B90" i="66"/>
  <c r="H27" i="66"/>
  <c r="B88" i="66"/>
  <c r="F26" i="66"/>
  <c r="AA26" i="66" s="1"/>
  <c r="D87" i="66"/>
  <c r="D85" i="66"/>
  <c r="E85" i="66" s="1"/>
  <c r="F85" i="66" s="1"/>
  <c r="G85" i="66" s="1"/>
  <c r="D83" i="66"/>
  <c r="E83" i="66" s="1"/>
  <c r="F83" i="66" s="1"/>
  <c r="G83" i="66" s="1"/>
  <c r="D81" i="66"/>
  <c r="E81" i="66" s="1"/>
  <c r="F81" i="66" s="1"/>
  <c r="G81" i="66" s="1"/>
  <c r="D79" i="66"/>
  <c r="E79" i="66" s="1"/>
  <c r="F79" i="66" s="1"/>
  <c r="G79" i="66" s="1"/>
  <c r="D77" i="66"/>
  <c r="E77" i="66" s="1"/>
  <c r="F77" i="66" s="1"/>
  <c r="G77" i="66" s="1"/>
  <c r="B74" i="66"/>
  <c r="B72" i="66"/>
  <c r="B70" i="66"/>
  <c r="D69" i="66"/>
  <c r="E69" i="66"/>
  <c r="F69" i="66" s="1"/>
  <c r="G69" i="66" s="1"/>
  <c r="H69" i="66" s="1"/>
  <c r="I69" i="66" s="1"/>
  <c r="J69" i="66" s="1"/>
  <c r="K69" i="66" s="1"/>
  <c r="L69" i="66" s="1"/>
  <c r="M69" i="66" s="1"/>
  <c r="M67" i="66"/>
  <c r="L67" i="66"/>
  <c r="K67" i="66"/>
  <c r="J67" i="66"/>
  <c r="I67" i="66"/>
  <c r="H67" i="66"/>
  <c r="G67" i="66"/>
  <c r="F67" i="66"/>
  <c r="E67" i="66"/>
  <c r="D67" i="66"/>
  <c r="C67" i="66"/>
  <c r="G66" i="66"/>
  <c r="H66" i="66" s="1"/>
  <c r="I66" i="66" s="1"/>
  <c r="C63" i="66"/>
  <c r="H9" i="66"/>
  <c r="I54" i="66"/>
  <c r="J54" i="66" s="1"/>
  <c r="G54" i="66"/>
  <c r="H54" i="66" s="1"/>
  <c r="E54" i="66"/>
  <c r="F54" i="66"/>
  <c r="J8" i="66"/>
  <c r="AC8" i="66"/>
  <c r="J9" i="66"/>
  <c r="AC9" i="66"/>
  <c r="J15" i="66"/>
  <c r="J17" i="66"/>
  <c r="AC17" i="66" s="1"/>
  <c r="J19" i="66"/>
  <c r="AC19" i="66" s="1"/>
  <c r="J21" i="66"/>
  <c r="AC21" i="66" s="1"/>
  <c r="J23" i="66"/>
  <c r="AC23" i="66" s="1"/>
  <c r="J34" i="66"/>
  <c r="J35" i="66"/>
  <c r="AC35" i="66"/>
  <c r="J37" i="66"/>
  <c r="AC37" i="66"/>
  <c r="J43" i="66"/>
  <c r="AC43" i="66"/>
  <c r="F11" i="66"/>
  <c r="AA11" i="66"/>
  <c r="F35" i="66"/>
  <c r="H8" i="66"/>
  <c r="AB8" i="66" s="1"/>
  <c r="H10" i="66"/>
  <c r="H15" i="66"/>
  <c r="AB15" i="66"/>
  <c r="H17" i="66"/>
  <c r="AB17" i="66"/>
  <c r="H19" i="66"/>
  <c r="AB19" i="66"/>
  <c r="H21" i="66"/>
  <c r="H43" i="66"/>
  <c r="H35" i="66"/>
  <c r="AB35" i="66"/>
  <c r="P49" i="66"/>
  <c r="P48" i="66"/>
  <c r="P47" i="66"/>
  <c r="J46" i="66"/>
  <c r="AC46" i="66" s="1"/>
  <c r="F46" i="66"/>
  <c r="AA46" i="66" s="1"/>
  <c r="Q46" i="66"/>
  <c r="Z46" i="66" s="1"/>
  <c r="Q45" i="66"/>
  <c r="Z45" i="66" s="1"/>
  <c r="J44" i="66"/>
  <c r="AC44" i="66" s="1"/>
  <c r="H44" i="66"/>
  <c r="AB44" i="66" s="1"/>
  <c r="F44" i="66"/>
  <c r="AA44" i="66" s="1"/>
  <c r="Q44" i="66"/>
  <c r="Z44" i="66" s="1"/>
  <c r="W44" i="66"/>
  <c r="F43" i="66"/>
  <c r="AA43" i="66"/>
  <c r="Q43" i="66"/>
  <c r="Z43" i="66"/>
  <c r="Q42" i="66"/>
  <c r="Z42" i="66"/>
  <c r="J41" i="66"/>
  <c r="AC41" i="66"/>
  <c r="H41" i="66"/>
  <c r="AB41" i="66"/>
  <c r="F41" i="66"/>
  <c r="S41" i="66"/>
  <c r="Q41" i="66"/>
  <c r="Z41" i="66"/>
  <c r="U41" i="66"/>
  <c r="J40" i="66"/>
  <c r="AC40" i="66" s="1"/>
  <c r="H40" i="66"/>
  <c r="AB40" i="66" s="1"/>
  <c r="F40" i="66"/>
  <c r="AA40" i="66" s="1"/>
  <c r="Q40" i="66"/>
  <c r="Z40" i="66" s="1"/>
  <c r="Q39" i="66"/>
  <c r="Z39" i="66" s="1"/>
  <c r="J38" i="66"/>
  <c r="W38" i="66" s="1"/>
  <c r="H38" i="66"/>
  <c r="F38" i="66"/>
  <c r="AA38" i="66"/>
  <c r="Q38" i="66"/>
  <c r="Z38" i="66"/>
  <c r="F37" i="66"/>
  <c r="AA37" i="66"/>
  <c r="Q37" i="66"/>
  <c r="Z37" i="66"/>
  <c r="C36" i="66"/>
  <c r="Q36" i="66"/>
  <c r="Z36" i="66" s="1"/>
  <c r="Q35" i="66"/>
  <c r="Z35" i="66" s="1"/>
  <c r="H34" i="66"/>
  <c r="AB34" i="66" s="1"/>
  <c r="F34" i="66"/>
  <c r="S34" i="66" s="1"/>
  <c r="AA34" i="66"/>
  <c r="Q34" i="66"/>
  <c r="Z34" i="66"/>
  <c r="J33" i="66"/>
  <c r="Q33" i="66"/>
  <c r="Z33" i="66" s="1"/>
  <c r="H32" i="66"/>
  <c r="AB32" i="66" s="1"/>
  <c r="F32" i="66"/>
  <c r="AA32" i="66" s="1"/>
  <c r="Q32" i="66"/>
  <c r="Z32" i="66" s="1"/>
  <c r="J31" i="66"/>
  <c r="H31" i="66"/>
  <c r="AB31" i="66" s="1"/>
  <c r="F31" i="66"/>
  <c r="Q31" i="66"/>
  <c r="Z31" i="66"/>
  <c r="J30" i="66"/>
  <c r="AC30" i="66" s="1"/>
  <c r="H30" i="66"/>
  <c r="F30" i="66"/>
  <c r="S30" i="66"/>
  <c r="Q30" i="66"/>
  <c r="Z30" i="66"/>
  <c r="J29" i="66"/>
  <c r="AC29" i="66"/>
  <c r="Q29" i="66"/>
  <c r="Z29" i="66"/>
  <c r="F28" i="66"/>
  <c r="AA28" i="66"/>
  <c r="Q28" i="66"/>
  <c r="Z28" i="66"/>
  <c r="F27" i="66"/>
  <c r="AA27" i="66"/>
  <c r="Q27" i="66"/>
  <c r="Z27" i="66"/>
  <c r="Q26" i="66"/>
  <c r="Z26" i="66"/>
  <c r="Q25" i="66"/>
  <c r="Z25" i="66"/>
  <c r="F23" i="66"/>
  <c r="Q23" i="66"/>
  <c r="Z23" i="66" s="1"/>
  <c r="C23" i="66"/>
  <c r="F21" i="66"/>
  <c r="Q21" i="66"/>
  <c r="Z21" i="66" s="1"/>
  <c r="W21" i="66"/>
  <c r="C21" i="66"/>
  <c r="F19" i="66"/>
  <c r="Q19" i="66"/>
  <c r="Z19" i="66"/>
  <c r="W19" i="66"/>
  <c r="U19" i="66"/>
  <c r="C19" i="66"/>
  <c r="F17" i="66"/>
  <c r="Q17" i="66"/>
  <c r="Z17" i="66"/>
  <c r="W17" i="66"/>
  <c r="C17" i="66"/>
  <c r="F15" i="66"/>
  <c r="Q15" i="66"/>
  <c r="Z15" i="66" s="1"/>
  <c r="U15" i="66"/>
  <c r="C15" i="66"/>
  <c r="J14" i="66"/>
  <c r="AC14" i="66"/>
  <c r="H14" i="66"/>
  <c r="U14" i="66"/>
  <c r="F14" i="66"/>
  <c r="Q14" i="66"/>
  <c r="Z14" i="66" s="1"/>
  <c r="W14" i="66"/>
  <c r="Q13" i="66"/>
  <c r="Z13" i="66"/>
  <c r="J12" i="66"/>
  <c r="AC12" i="66"/>
  <c r="H12" i="66"/>
  <c r="F12" i="66"/>
  <c r="Q12" i="66"/>
  <c r="Z12" i="66"/>
  <c r="W12" i="66"/>
  <c r="Q11" i="66"/>
  <c r="Z11" i="66" s="1"/>
  <c r="S11" i="66"/>
  <c r="F10" i="66"/>
  <c r="AA10" i="66"/>
  <c r="Q10" i="66"/>
  <c r="Z10" i="66"/>
  <c r="F9" i="66"/>
  <c r="S9" i="66"/>
  <c r="Q9" i="66"/>
  <c r="Z9" i="66"/>
  <c r="W9" i="66"/>
  <c r="F8" i="66"/>
  <c r="W8" i="66"/>
  <c r="U8" i="66"/>
  <c r="C2" i="66"/>
  <c r="F2" i="66"/>
  <c r="L23" i="1"/>
  <c r="K24" i="1"/>
  <c r="I24" i="1"/>
  <c r="I17" i="1"/>
  <c r="C36" i="33"/>
  <c r="A6" i="69"/>
  <c r="B5" i="69" s="1"/>
  <c r="C36" i="65"/>
  <c r="E36" i="64"/>
  <c r="N36" i="64"/>
  <c r="W5" i="64"/>
  <c r="W6" i="64"/>
  <c r="F7" i="64"/>
  <c r="W7" i="64"/>
  <c r="W8" i="64"/>
  <c r="F9" i="64"/>
  <c r="F10" i="64"/>
  <c r="W10" i="64"/>
  <c r="W11" i="64"/>
  <c r="W12" i="64"/>
  <c r="W13" i="64"/>
  <c r="W14" i="64"/>
  <c r="W15" i="64"/>
  <c r="F16" i="64"/>
  <c r="W17" i="64"/>
  <c r="F18" i="64"/>
  <c r="W19" i="64"/>
  <c r="F20" i="64"/>
  <c r="W20" i="64" s="1"/>
  <c r="W21" i="64"/>
  <c r="W22" i="64"/>
  <c r="W23" i="64"/>
  <c r="W24" i="64"/>
  <c r="W25" i="64"/>
  <c r="W26" i="64"/>
  <c r="W27" i="64"/>
  <c r="W28" i="64"/>
  <c r="W29" i="64"/>
  <c r="F30" i="64"/>
  <c r="W30" i="64"/>
  <c r="W31" i="64"/>
  <c r="W32" i="64"/>
  <c r="F33" i="64"/>
  <c r="J33" i="64"/>
  <c r="W34" i="64"/>
  <c r="F35" i="64"/>
  <c r="G36" i="64"/>
  <c r="P36" i="64"/>
  <c r="X5" i="64"/>
  <c r="X6" i="64"/>
  <c r="H7" i="64"/>
  <c r="H8" i="64"/>
  <c r="X8" i="64" s="1"/>
  <c r="H9" i="64"/>
  <c r="X9" i="64" s="1"/>
  <c r="H10" i="64"/>
  <c r="X11" i="64"/>
  <c r="X12" i="64"/>
  <c r="X13" i="64"/>
  <c r="X14" i="64"/>
  <c r="X15" i="64"/>
  <c r="X16" i="64"/>
  <c r="X17" i="64"/>
  <c r="H18" i="64"/>
  <c r="X19" i="64"/>
  <c r="H20" i="64"/>
  <c r="X20" i="64" s="1"/>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s="1"/>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M34" i="64"/>
  <c r="V34" i="64" s="1"/>
  <c r="Q34" i="64"/>
  <c r="O34" i="64"/>
  <c r="I34" i="64"/>
  <c r="G34" i="64"/>
  <c r="M33" i="64"/>
  <c r="V33" i="64" s="1"/>
  <c r="M32" i="64"/>
  <c r="V32" i="64" s="1"/>
  <c r="Q32" i="64"/>
  <c r="O32" i="64"/>
  <c r="G32" i="64"/>
  <c r="I32" i="64" s="1"/>
  <c r="M31" i="64"/>
  <c r="V31" i="64" s="1"/>
  <c r="S31" i="64"/>
  <c r="Q31" i="64"/>
  <c r="O31" i="64"/>
  <c r="M30" i="64"/>
  <c r="V30" i="64"/>
  <c r="M29" i="64"/>
  <c r="V29" i="64"/>
  <c r="S29" i="64"/>
  <c r="Q29" i="64"/>
  <c r="O29" i="64"/>
  <c r="M28" i="64"/>
  <c r="V28" i="64" s="1"/>
  <c r="S28" i="64"/>
  <c r="Q28" i="64"/>
  <c r="O28" i="64"/>
  <c r="M27" i="64"/>
  <c r="V27" i="64"/>
  <c r="S27" i="64"/>
  <c r="Q27" i="64"/>
  <c r="O27" i="64"/>
  <c r="M26" i="64"/>
  <c r="V26" i="64" s="1"/>
  <c r="S26" i="64"/>
  <c r="Q26" i="64"/>
  <c r="O26" i="64"/>
  <c r="M25" i="64"/>
  <c r="V25" i="64"/>
  <c r="S25" i="64"/>
  <c r="Q25" i="64"/>
  <c r="O25" i="64"/>
  <c r="M24" i="64"/>
  <c r="V24" i="64" s="1"/>
  <c r="S24" i="64"/>
  <c r="Q24" i="64"/>
  <c r="O24" i="64"/>
  <c r="M23" i="64"/>
  <c r="V23" i="64"/>
  <c r="S23" i="64"/>
  <c r="Q23" i="64"/>
  <c r="O23" i="64"/>
  <c r="M22" i="64"/>
  <c r="V22" i="64" s="1"/>
  <c r="S22" i="64"/>
  <c r="Q22" i="64"/>
  <c r="O22" i="64"/>
  <c r="M21" i="64"/>
  <c r="V21" i="64"/>
  <c r="S21" i="64"/>
  <c r="Q21" i="64"/>
  <c r="O21" i="64"/>
  <c r="M20" i="64"/>
  <c r="V20" i="64" s="1"/>
  <c r="O20" i="64"/>
  <c r="M19" i="64"/>
  <c r="V19" i="64"/>
  <c r="S19" i="64"/>
  <c r="Q19" i="64"/>
  <c r="O19" i="64"/>
  <c r="M18" i="64"/>
  <c r="V18" i="64" s="1"/>
  <c r="I18" i="64"/>
  <c r="G18" i="64"/>
  <c r="E18" i="64"/>
  <c r="M17" i="64"/>
  <c r="V17" i="64"/>
  <c r="S17" i="64"/>
  <c r="Q17" i="64"/>
  <c r="O17" i="64"/>
  <c r="M16" i="64"/>
  <c r="V16" i="64" s="1"/>
  <c r="S16" i="64"/>
  <c r="Q16" i="64"/>
  <c r="M15" i="64"/>
  <c r="V15" i="64" s="1"/>
  <c r="S15" i="64"/>
  <c r="Q15" i="64"/>
  <c r="O15" i="64"/>
  <c r="M14" i="64"/>
  <c r="V14" i="64"/>
  <c r="S14" i="64"/>
  <c r="Q14" i="64"/>
  <c r="O14" i="64"/>
  <c r="M13" i="64"/>
  <c r="V13" i="64" s="1"/>
  <c r="S13" i="64"/>
  <c r="Q13" i="64"/>
  <c r="O13" i="64"/>
  <c r="M12" i="64"/>
  <c r="V12" i="64"/>
  <c r="S12" i="64"/>
  <c r="Q12" i="64"/>
  <c r="O12" i="64"/>
  <c r="M11" i="64"/>
  <c r="V11" i="64" s="1"/>
  <c r="S11" i="64"/>
  <c r="Q11" i="64"/>
  <c r="O11" i="64"/>
  <c r="M10" i="64"/>
  <c r="V10" i="64"/>
  <c r="O10" i="64"/>
  <c r="M9" i="64"/>
  <c r="V9" i="64" s="1"/>
  <c r="M8" i="64"/>
  <c r="V8" i="64" s="1"/>
  <c r="O8" i="64"/>
  <c r="I8" i="64"/>
  <c r="G8" i="64"/>
  <c r="M7" i="64"/>
  <c r="V7" i="64"/>
  <c r="S7" i="64"/>
  <c r="I7" i="64"/>
  <c r="G7" i="64"/>
  <c r="S6" i="64"/>
  <c r="Q6" i="64"/>
  <c r="O6" i="64"/>
  <c r="S5" i="64"/>
  <c r="Q5" i="64"/>
  <c r="O5" i="64"/>
  <c r="R3" i="64"/>
  <c r="Y3" i="64" s="1"/>
  <c r="P3" i="64"/>
  <c r="X3" i="64" s="1"/>
  <c r="N3" i="64"/>
  <c r="W3" i="64" s="1"/>
  <c r="AH5" i="59"/>
  <c r="AG5" i="59"/>
  <c r="AE5" i="59"/>
  <c r="AF5" i="59" s="1"/>
  <c r="AD5" i="59"/>
  <c r="Q5" i="59"/>
  <c r="Q6" i="59"/>
  <c r="P5" i="59"/>
  <c r="P6" i="59"/>
  <c r="O5" i="59"/>
  <c r="O6" i="59"/>
  <c r="N5" i="59"/>
  <c r="N6" i="59"/>
  <c r="B2" i="48"/>
  <c r="B6" i="48" s="1"/>
  <c r="H17" i="48"/>
  <c r="D18" i="48"/>
  <c r="O7" i="59"/>
  <c r="O8" i="59"/>
  <c r="N7" i="59"/>
  <c r="N8" i="59"/>
  <c r="AH6" i="59"/>
  <c r="AG6" i="59"/>
  <c r="AE6" i="59"/>
  <c r="AF6" i="59" s="1"/>
  <c r="AD6" i="59"/>
  <c r="Q7" i="59"/>
  <c r="Q8" i="59"/>
  <c r="P7" i="59"/>
  <c r="P8" i="59"/>
  <c r="B2" i="1"/>
  <c r="J50" i="15"/>
  <c r="M48" i="15"/>
  <c r="B25" i="1"/>
  <c r="B5" i="1"/>
  <c r="E13" i="1"/>
  <c r="C8" i="11" s="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s="1"/>
  <c r="AD13" i="59"/>
  <c r="Q13" i="59"/>
  <c r="F13" i="59"/>
  <c r="P13" i="59"/>
  <c r="O13" i="59"/>
  <c r="C13" i="59" s="1"/>
  <c r="D13" i="59" s="1"/>
  <c r="N13" i="59"/>
  <c r="Q14" i="59"/>
  <c r="P14" i="59"/>
  <c r="O14" i="59"/>
  <c r="N14" i="59"/>
  <c r="D14" i="59"/>
  <c r="A2" i="50"/>
  <c r="B16" i="60"/>
  <c r="K60" i="15"/>
  <c r="A126" i="57"/>
  <c r="A123" i="9"/>
  <c r="A6" i="52"/>
  <c r="B64" i="60" s="1"/>
  <c r="A16" i="54"/>
  <c r="B14" i="60" s="1"/>
  <c r="A14" i="54"/>
  <c r="B12" i="60" s="1"/>
  <c r="A19" i="55"/>
  <c r="B49" i="60" s="1"/>
  <c r="A13" i="55"/>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C23" i="31"/>
  <c r="B3" i="62"/>
  <c r="O16" i="59"/>
  <c r="P16" i="59"/>
  <c r="Q16" i="59"/>
  <c r="N16"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J1" i="61" s="1"/>
  <c r="B68" i="60"/>
  <c r="D28" i="57"/>
  <c r="D29" i="57"/>
  <c r="D28" i="9"/>
  <c r="D29" i="9"/>
  <c r="A10" i="54"/>
  <c r="B9" i="60" s="1"/>
  <c r="Y12" i="43"/>
  <c r="Y10" i="43"/>
  <c r="AJ9" i="43"/>
  <c r="AJ12" i="43"/>
  <c r="AI9" i="43"/>
  <c r="AH9" i="43"/>
  <c r="AG9" i="43"/>
  <c r="AG12" i="43"/>
  <c r="AF9" i="43"/>
  <c r="AF12" i="43"/>
  <c r="AE9" i="43"/>
  <c r="AD9" i="43"/>
  <c r="AD12" i="43" s="1"/>
  <c r="AC9" i="43"/>
  <c r="AB9" i="43"/>
  <c r="AB12" i="43"/>
  <c r="AA9" i="43"/>
  <c r="Z9" i="43"/>
  <c r="AG10" i="43"/>
  <c r="K50" i="57"/>
  <c r="K49" i="9"/>
  <c r="F111" i="57"/>
  <c r="A115" i="57"/>
  <c r="A128" i="57"/>
  <c r="A112" i="9"/>
  <c r="A125" i="9"/>
  <c r="A8" i="52" s="1"/>
  <c r="B65" i="60" s="1"/>
  <c r="F110" i="9"/>
  <c r="B15" i="50"/>
  <c r="B36" i="50" s="1"/>
  <c r="F115" i="57"/>
  <c r="A132" i="57"/>
  <c r="A119" i="57"/>
  <c r="A116" i="9"/>
  <c r="F113" i="57"/>
  <c r="A117" i="57"/>
  <c r="A130" i="57"/>
  <c r="A114" i="9"/>
  <c r="A127" i="9"/>
  <c r="A10" i="52" s="1"/>
  <c r="B66" i="60" s="1"/>
  <c r="F114" i="9"/>
  <c r="A129" i="9"/>
  <c r="A12" i="52" s="1"/>
  <c r="B67" i="60" s="1"/>
  <c r="F112" i="9"/>
  <c r="B18" i="50"/>
  <c r="B39" i="50" s="1"/>
  <c r="B45" i="50"/>
  <c r="B59" i="60" s="1"/>
  <c r="D2" i="52"/>
  <c r="B60" i="60" s="1"/>
  <c r="B10" i="50"/>
  <c r="B31" i="50" s="1"/>
  <c r="C6" i="50"/>
  <c r="B18" i="60" s="1"/>
  <c r="A13" i="54"/>
  <c r="B10" i="60" s="1"/>
  <c r="B51" i="60"/>
  <c r="B50" i="60"/>
  <c r="B47" i="60"/>
  <c r="B51" i="10"/>
  <c r="A15" i="55"/>
  <c r="B45" i="60"/>
  <c r="A14" i="55"/>
  <c r="B44" i="60"/>
  <c r="B43" i="60"/>
  <c r="C10" i="50"/>
  <c r="B24" i="60" s="1"/>
  <c r="C7" i="50"/>
  <c r="C15" i="50" s="1"/>
  <c r="C18"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c r="E71" i="59" s="1"/>
  <c r="C73" i="59"/>
  <c r="C72" i="59" s="1"/>
  <c r="B73" i="59"/>
  <c r="B72" i="59" s="1"/>
  <c r="B71" i="59" s="1"/>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s="1"/>
  <c r="E65" i="59"/>
  <c r="C65" i="59"/>
  <c r="T65" i="59"/>
  <c r="B65" i="59"/>
  <c r="B64" i="59"/>
  <c r="B63" i="59" s="1"/>
  <c r="Q64" i="59"/>
  <c r="P64" i="59"/>
  <c r="O64" i="59"/>
  <c r="N64" i="59"/>
  <c r="F64" i="59"/>
  <c r="F63" i="59" s="1"/>
  <c r="Q63" i="59"/>
  <c r="P63" i="59"/>
  <c r="O63" i="59"/>
  <c r="N63" i="59"/>
  <c r="Q62" i="59"/>
  <c r="P62" i="59"/>
  <c r="O62" i="59"/>
  <c r="N62" i="59"/>
  <c r="D62" i="59"/>
  <c r="Q61" i="59"/>
  <c r="P61" i="59"/>
  <c r="O61" i="59"/>
  <c r="N61" i="59"/>
  <c r="F61" i="59"/>
  <c r="E61" i="59"/>
  <c r="E60" i="59" s="1"/>
  <c r="E59" i="59" s="1"/>
  <c r="C61" i="59"/>
  <c r="T61" i="59"/>
  <c r="B61" i="59"/>
  <c r="Q60" i="59"/>
  <c r="P60" i="59"/>
  <c r="O60" i="59"/>
  <c r="N60" i="59"/>
  <c r="Q59" i="59"/>
  <c r="P59" i="59"/>
  <c r="O59" i="59"/>
  <c r="N59" i="59"/>
  <c r="Q58" i="59"/>
  <c r="P58" i="59"/>
  <c r="O58" i="59"/>
  <c r="N58" i="59"/>
  <c r="D58" i="59"/>
  <c r="F57" i="59"/>
  <c r="E57" i="59"/>
  <c r="P57" i="59" s="1"/>
  <c r="C57" i="59"/>
  <c r="T57" i="59" s="1"/>
  <c r="B57" i="59"/>
  <c r="D54" i="59"/>
  <c r="Q53" i="59"/>
  <c r="P53" i="59"/>
  <c r="O53" i="59"/>
  <c r="N53" i="59"/>
  <c r="Q52" i="59"/>
  <c r="P52" i="59"/>
  <c r="O52" i="59"/>
  <c r="N52" i="59"/>
  <c r="Q51" i="59"/>
  <c r="P51" i="59"/>
  <c r="O51" i="59"/>
  <c r="N51" i="59"/>
  <c r="Q50" i="59"/>
  <c r="F51" i="59" s="1"/>
  <c r="F52" i="59" s="1"/>
  <c r="F53" i="59" s="1"/>
  <c r="V53" i="59" s="1"/>
  <c r="P50" i="59"/>
  <c r="E51" i="59"/>
  <c r="E52" i="59" s="1"/>
  <c r="E53" i="59" s="1"/>
  <c r="U53" i="59" s="1"/>
  <c r="O50" i="59"/>
  <c r="C51" i="59" s="1"/>
  <c r="D51" i="59" s="1"/>
  <c r="N50" i="59"/>
  <c r="B51" i="59"/>
  <c r="B52" i="59" s="1"/>
  <c r="B53" i="59" s="1"/>
  <c r="S53" i="59" s="1"/>
  <c r="D50" i="59"/>
  <c r="Q49" i="59"/>
  <c r="P49" i="59"/>
  <c r="O49" i="59"/>
  <c r="N49" i="59"/>
  <c r="Q48" i="59"/>
  <c r="P48" i="59"/>
  <c r="O48" i="59"/>
  <c r="N48" i="59"/>
  <c r="Q47" i="59"/>
  <c r="P47" i="59"/>
  <c r="O47" i="59"/>
  <c r="N47" i="59"/>
  <c r="Q46" i="59"/>
  <c r="F47" i="59"/>
  <c r="P46" i="59"/>
  <c r="E47" i="59"/>
  <c r="O46" i="59"/>
  <c r="C47" i="59"/>
  <c r="N46" i="59"/>
  <c r="B47" i="59"/>
  <c r="B48" i="59" s="1"/>
  <c r="B49" i="59" s="1"/>
  <c r="S49" i="59" s="1"/>
  <c r="D46" i="59"/>
  <c r="Q45" i="59"/>
  <c r="P45" i="59"/>
  <c r="O45" i="59"/>
  <c r="N45" i="59"/>
  <c r="Q44" i="59"/>
  <c r="P44" i="59"/>
  <c r="O44" i="59"/>
  <c r="N44" i="59"/>
  <c r="Q43" i="59"/>
  <c r="P43" i="59"/>
  <c r="O43" i="59"/>
  <c r="N43" i="59"/>
  <c r="Q42" i="59"/>
  <c r="F43" i="59"/>
  <c r="P42" i="59"/>
  <c r="E43" i="59"/>
  <c r="O42" i="59"/>
  <c r="C43" i="59"/>
  <c r="D43" i="59" s="1"/>
  <c r="N42" i="59"/>
  <c r="B43" i="59" s="1"/>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D35" i="59" s="1"/>
  <c r="N34" i="59"/>
  <c r="B35" i="59" s="1"/>
  <c r="D34" i="59"/>
  <c r="Q33" i="59"/>
  <c r="P33" i="59"/>
  <c r="O33" i="59"/>
  <c r="N33" i="59"/>
  <c r="Q32" i="59"/>
  <c r="P32" i="59"/>
  <c r="O32" i="59"/>
  <c r="N32" i="59"/>
  <c r="Q31" i="59"/>
  <c r="P31" i="59"/>
  <c r="O31" i="59"/>
  <c r="N31" i="59"/>
  <c r="Q30" i="59"/>
  <c r="F31" i="59"/>
  <c r="F32" i="59" s="1"/>
  <c r="F33" i="59" s="1"/>
  <c r="V33" i="59" s="1"/>
  <c r="P30" i="59"/>
  <c r="E31" i="59" s="1"/>
  <c r="E32" i="59" s="1"/>
  <c r="E33" i="59" s="1"/>
  <c r="U33" i="59" s="1"/>
  <c r="O30" i="59"/>
  <c r="C31" i="59"/>
  <c r="N30" i="59"/>
  <c r="B31" i="59"/>
  <c r="D30" i="59"/>
  <c r="Q29" i="59"/>
  <c r="P29" i="59"/>
  <c r="O29" i="59"/>
  <c r="N29" i="59"/>
  <c r="Q28" i="59"/>
  <c r="AB28" i="59" s="1"/>
  <c r="P28" i="59"/>
  <c r="AA28" i="59" s="1"/>
  <c r="O28" i="59"/>
  <c r="Y28" i="59" s="1"/>
  <c r="Z28" i="59" s="1"/>
  <c r="N28" i="59"/>
  <c r="X28" i="59"/>
  <c r="Q27" i="59"/>
  <c r="P27" i="59"/>
  <c r="O27" i="59"/>
  <c r="Y27" i="59"/>
  <c r="Z27" i="59" s="1"/>
  <c r="N27" i="59"/>
  <c r="Q26" i="59"/>
  <c r="P26" i="59"/>
  <c r="AA26" i="59" s="1"/>
  <c r="O26" i="59"/>
  <c r="N26" i="59"/>
  <c r="B27" i="59"/>
  <c r="D26" i="59"/>
  <c r="Q25" i="59"/>
  <c r="P25" i="59"/>
  <c r="AA25" i="59"/>
  <c r="O25" i="59"/>
  <c r="N25" i="59"/>
  <c r="X25" i="59" s="1"/>
  <c r="Q24" i="59"/>
  <c r="P24" i="59"/>
  <c r="AA24" i="59"/>
  <c r="O24" i="59"/>
  <c r="N24" i="59"/>
  <c r="Q23" i="59"/>
  <c r="P23" i="59"/>
  <c r="AA23" i="59" s="1"/>
  <c r="O23" i="59"/>
  <c r="N23" i="59"/>
  <c r="Q22" i="59"/>
  <c r="P22" i="59"/>
  <c r="E23" i="59"/>
  <c r="O22" i="59"/>
  <c r="N22" i="59"/>
  <c r="B23" i="59" s="1"/>
  <c r="B24" i="59" s="1"/>
  <c r="B25" i="59" s="1"/>
  <c r="S25" i="59" s="1"/>
  <c r="D22" i="59"/>
  <c r="Q21" i="59"/>
  <c r="P21" i="59"/>
  <c r="O21" i="59"/>
  <c r="N21" i="59"/>
  <c r="Q20" i="59"/>
  <c r="P20" i="59"/>
  <c r="O20" i="59"/>
  <c r="N20" i="59"/>
  <c r="Q19" i="59"/>
  <c r="P19" i="59"/>
  <c r="O19" i="59"/>
  <c r="N19" i="59"/>
  <c r="Q18" i="59"/>
  <c r="F19" i="59" s="1"/>
  <c r="F20" i="59" s="1"/>
  <c r="F21" i="59" s="1"/>
  <c r="V21" i="59" s="1"/>
  <c r="P18" i="59"/>
  <c r="E19" i="59"/>
  <c r="E20" i="59" s="1"/>
  <c r="E21" i="59" s="1"/>
  <c r="U21" i="59" s="1"/>
  <c r="O18" i="59"/>
  <c r="C19" i="59" s="1"/>
  <c r="N18" i="59"/>
  <c r="B19" i="59" s="1"/>
  <c r="D18" i="59"/>
  <c r="O17" i="59"/>
  <c r="N17" i="59"/>
  <c r="B17" i="59" s="1"/>
  <c r="P17" i="59"/>
  <c r="Q17" i="59"/>
  <c r="D57" i="59"/>
  <c r="D61" i="59"/>
  <c r="D65" i="59"/>
  <c r="D69" i="59"/>
  <c r="Q25" i="40"/>
  <c r="Z25" i="40" s="1"/>
  <c r="D94" i="40"/>
  <c r="E94" i="40" s="1"/>
  <c r="F94" i="40" s="1"/>
  <c r="G94" i="40" s="1"/>
  <c r="H25" i="40"/>
  <c r="U25" i="40" s="1"/>
  <c r="F25" i="40"/>
  <c r="AA25" i="40" s="1"/>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F18" i="35"/>
  <c r="AA18" i="35" s="1"/>
  <c r="C18" i="35"/>
  <c r="Q21" i="37"/>
  <c r="Z21" i="37"/>
  <c r="D77" i="37"/>
  <c r="E77" i="37"/>
  <c r="F77" i="37" s="1"/>
  <c r="G77" i="37"/>
  <c r="H21" i="37"/>
  <c r="F21" i="37"/>
  <c r="AA21" i="37" s="1"/>
  <c r="C21" i="37"/>
  <c r="Q21" i="34"/>
  <c r="Z21" i="34"/>
  <c r="D84" i="34"/>
  <c r="E84" i="34"/>
  <c r="F84" i="34" s="1"/>
  <c r="F21" i="34"/>
  <c r="C21" i="34"/>
  <c r="Q21" i="33"/>
  <c r="Z21" i="33" s="1"/>
  <c r="D83" i="33"/>
  <c r="E83" i="33" s="1"/>
  <c r="F83" i="33"/>
  <c r="G83" i="33" s="1"/>
  <c r="H21" i="33"/>
  <c r="U21" i="33" s="1"/>
  <c r="F21" i="33"/>
  <c r="AA21" i="33" s="1"/>
  <c r="C21" i="33"/>
  <c r="Q21" i="21"/>
  <c r="Z21" i="21" s="1"/>
  <c r="D83" i="21"/>
  <c r="E83" i="21" s="1"/>
  <c r="F83" i="21" s="1"/>
  <c r="F21" i="21"/>
  <c r="C21" i="21"/>
  <c r="G20" i="20"/>
  <c r="C25" i="40" s="1"/>
  <c r="C22" i="20"/>
  <c r="AB25" i="40"/>
  <c r="W18" i="35"/>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9" i="15"/>
  <c r="F6" i="15"/>
  <c r="G58" i="40"/>
  <c r="C58" i="40" s="1"/>
  <c r="M19" i="15"/>
  <c r="M24" i="15"/>
  <c r="M22" i="15"/>
  <c r="J15" i="15"/>
  <c r="M23" i="15"/>
  <c r="C2" i="11"/>
  <c r="F2" i="11"/>
  <c r="C7" i="12"/>
  <c r="C8" i="12"/>
  <c r="C4" i="12" s="1"/>
  <c r="F23" i="12"/>
  <c r="F11" i="12"/>
  <c r="D20" i="12"/>
  <c r="D19" i="12"/>
  <c r="D17" i="12"/>
  <c r="D14" i="12"/>
  <c r="C2" i="12"/>
  <c r="B24" i="1"/>
  <c r="F28" i="12"/>
  <c r="I1" i="4"/>
  <c r="B6" i="50"/>
  <c r="B17" i="60" s="1"/>
  <c r="B1" i="4"/>
  <c r="B9" i="49" s="1"/>
  <c r="B2" i="60" s="1"/>
  <c r="C31" i="58"/>
  <c r="C27" i="58"/>
  <c r="I23" i="58"/>
  <c r="D20" i="58"/>
  <c r="I19" i="58"/>
  <c r="I18" i="58"/>
  <c r="I17" i="58"/>
  <c r="E15" i="58"/>
  <c r="I14" i="58"/>
  <c r="I13" i="58"/>
  <c r="I12" i="58"/>
  <c r="I9" i="58"/>
  <c r="I8" i="58"/>
  <c r="I7" i="58"/>
  <c r="I6" i="58"/>
  <c r="I5" i="58"/>
  <c r="I4" i="58"/>
  <c r="I3" i="58"/>
  <c r="G57" i="40"/>
  <c r="G56" i="40"/>
  <c r="C56" i="40" s="1"/>
  <c r="B21" i="50"/>
  <c r="B42" i="50" s="1"/>
  <c r="D1" i="43"/>
  <c r="F113" i="43"/>
  <c r="N99" i="43"/>
  <c r="M99" i="43"/>
  <c r="M100" i="43"/>
  <c r="L99" i="43"/>
  <c r="K99" i="43"/>
  <c r="J99" i="43"/>
  <c r="J108" i="43"/>
  <c r="I99" i="43"/>
  <c r="I108" i="43"/>
  <c r="H99" i="43"/>
  <c r="H108" i="43"/>
  <c r="G99" i="43"/>
  <c r="G108" i="43"/>
  <c r="F99" i="43"/>
  <c r="E99" i="43"/>
  <c r="E100" i="43" s="1"/>
  <c r="D99" i="43"/>
  <c r="C99" i="43"/>
  <c r="G100" i="43"/>
  <c r="J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c r="D101" i="57"/>
  <c r="C101" i="57"/>
  <c r="C92" i="57"/>
  <c r="E91" i="57"/>
  <c r="D90" i="57"/>
  <c r="C90" i="57"/>
  <c r="C88" i="57" s="1"/>
  <c r="H78" i="57"/>
  <c r="D78" i="57"/>
  <c r="F60" i="57"/>
  <c r="O56" i="57" s="1"/>
  <c r="E60" i="57"/>
  <c r="N56" i="57" s="1"/>
  <c r="D60" i="57"/>
  <c r="M56" i="57" s="1"/>
  <c r="F57" i="57"/>
  <c r="O55" i="57" s="1"/>
  <c r="K56" i="57"/>
  <c r="I56" i="57"/>
  <c r="F56" i="57"/>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T75" i="31"/>
  <c r="R76" i="31"/>
  <c r="R77" i="31"/>
  <c r="T77" i="31" s="1"/>
  <c r="R78" i="31"/>
  <c r="R79" i="31"/>
  <c r="R80" i="31"/>
  <c r="R81" i="31"/>
  <c r="T81" i="31"/>
  <c r="R82" i="31"/>
  <c r="T82" i="31"/>
  <c r="R83" i="31"/>
  <c r="T83" i="31"/>
  <c r="R84" i="31"/>
  <c r="T84" i="31"/>
  <c r="R85" i="31"/>
  <c r="T85" i="31"/>
  <c r="R86" i="31"/>
  <c r="T86" i="31"/>
  <c r="R87" i="31"/>
  <c r="T87" i="31"/>
  <c r="R88" i="31"/>
  <c r="T88" i="31"/>
  <c r="R89" i="3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s="1"/>
  <c r="R134" i="31"/>
  <c r="T134" i="31" s="1"/>
  <c r="R135" i="31"/>
  <c r="T135" i="31" s="1"/>
  <c r="R136" i="31"/>
  <c r="T136" i="31" s="1"/>
  <c r="R137" i="31"/>
  <c r="T137" i="31" s="1"/>
  <c r="R138" i="31"/>
  <c r="T138" i="31" s="1"/>
  <c r="R139" i="31"/>
  <c r="R140" i="31"/>
  <c r="R141" i="31"/>
  <c r="T141" i="31" s="1"/>
  <c r="R142" i="31"/>
  <c r="T142" i="31" s="1"/>
  <c r="R143" i="31"/>
  <c r="T143" i="31" s="1"/>
  <c r="R144" i="31"/>
  <c r="T144" i="31" s="1"/>
  <c r="R145" i="31"/>
  <c r="T145" i="31" s="1"/>
  <c r="R146" i="31"/>
  <c r="R147" i="31"/>
  <c r="T147" i="31"/>
  <c r="R148" i="31"/>
  <c r="R149" i="31"/>
  <c r="T149" i="31" s="1"/>
  <c r="R150" i="31"/>
  <c r="T150" i="31" s="1"/>
  <c r="R151" i="31"/>
  <c r="T151" i="31" s="1"/>
  <c r="R152" i="31"/>
  <c r="T152" i="31" s="1"/>
  <c r="R153" i="31"/>
  <c r="T153" i="31" s="1"/>
  <c r="R154" i="31"/>
  <c r="T154" i="31" s="1"/>
  <c r="R155" i="31"/>
  <c r="T155" i="31" s="1"/>
  <c r="R156" i="31"/>
  <c r="R157" i="31"/>
  <c r="T157" i="31"/>
  <c r="R158" i="31"/>
  <c r="T158" i="31"/>
  <c r="R159" i="31"/>
  <c r="T159" i="31"/>
  <c r="R160" i="31"/>
  <c r="T160" i="31"/>
  <c r="R161" i="31"/>
  <c r="T161" i="31"/>
  <c r="R162" i="31"/>
  <c r="T162" i="31"/>
  <c r="R163" i="31"/>
  <c r="T163" i="31"/>
  <c r="R164" i="31"/>
  <c r="R165" i="31"/>
  <c r="T165" i="31" s="1"/>
  <c r="R166" i="31"/>
  <c r="T166" i="31" s="1"/>
  <c r="R167" i="31"/>
  <c r="T167" i="31" s="1"/>
  <c r="R168" i="31"/>
  <c r="T168" i="31" s="1"/>
  <c r="R169" i="31"/>
  <c r="T169" i="31" s="1"/>
  <c r="R170" i="31"/>
  <c r="T170" i="31" s="1"/>
  <c r="R171" i="31"/>
  <c r="R172" i="31"/>
  <c r="R173" i="31"/>
  <c r="T173" i="31" s="1"/>
  <c r="R174" i="31"/>
  <c r="T174" i="31" s="1"/>
  <c r="R175" i="31"/>
  <c r="T175" i="31" s="1"/>
  <c r="R176" i="31"/>
  <c r="T176" i="31" s="1"/>
  <c r="R177" i="31"/>
  <c r="T177" i="31" s="1"/>
  <c r="R178" i="31"/>
  <c r="R179" i="31"/>
  <c r="T179" i="31"/>
  <c r="R180" i="31"/>
  <c r="R181" i="31"/>
  <c r="T181" i="31" s="1"/>
  <c r="R182" i="31"/>
  <c r="T182" i="31" s="1"/>
  <c r="R183" i="31"/>
  <c r="T183" i="31" s="1"/>
  <c r="R184" i="31"/>
  <c r="T184" i="31" s="1"/>
  <c r="R185" i="31"/>
  <c r="T185" i="31" s="1"/>
  <c r="R186" i="31"/>
  <c r="T186" i="31" s="1"/>
  <c r="R187" i="31"/>
  <c r="T187" i="31" s="1"/>
  <c r="R188" i="31"/>
  <c r="R189" i="31"/>
  <c r="T189" i="31"/>
  <c r="R190" i="31"/>
  <c r="T190" i="31"/>
  <c r="R191" i="31"/>
  <c r="T191" i="31"/>
  <c r="R192" i="31"/>
  <c r="T192" i="31"/>
  <c r="R193" i="31"/>
  <c r="T193" i="31"/>
  <c r="R194" i="31"/>
  <c r="T194" i="31"/>
  <c r="R195" i="31"/>
  <c r="T195" i="31"/>
  <c r="R196" i="31"/>
  <c r="R197" i="31"/>
  <c r="T197" i="31" s="1"/>
  <c r="R198" i="31"/>
  <c r="T198" i="31" s="1"/>
  <c r="R199" i="31"/>
  <c r="T199" i="31" s="1"/>
  <c r="R200" i="31"/>
  <c r="T200" i="31" s="1"/>
  <c r="R201" i="31"/>
  <c r="T201" i="31" s="1"/>
  <c r="R202" i="31"/>
  <c r="T202" i="31" s="1"/>
  <c r="R203" i="31"/>
  <c r="R204" i="31"/>
  <c r="R205" i="31"/>
  <c r="T205" i="31" s="1"/>
  <c r="R206" i="31"/>
  <c r="T206" i="31" s="1"/>
  <c r="R207" i="31"/>
  <c r="T207" i="31" s="1"/>
  <c r="R208" i="31"/>
  <c r="T208" i="31" s="1"/>
  <c r="R209" i="31"/>
  <c r="T209" i="31" s="1"/>
  <c r="R210" i="31"/>
  <c r="R211" i="31"/>
  <c r="T211" i="31"/>
  <c r="R212" i="31"/>
  <c r="R213" i="31"/>
  <c r="T213" i="31" s="1"/>
  <c r="R214" i="31"/>
  <c r="T214" i="31" s="1"/>
  <c r="R215" i="31"/>
  <c r="T215" i="31" s="1"/>
  <c r="R216" i="31"/>
  <c r="T216" i="31" s="1"/>
  <c r="R217" i="31"/>
  <c r="T217" i="31" s="1"/>
  <c r="R218" i="31"/>
  <c r="T218" i="31" s="1"/>
  <c r="R219" i="31"/>
  <c r="T219" i="31" s="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s="1"/>
  <c r="R237" i="31"/>
  <c r="T237" i="31" s="1"/>
  <c r="R238" i="31"/>
  <c r="T238" i="31" s="1"/>
  <c r="R239" i="31"/>
  <c r="R240" i="31"/>
  <c r="T240" i="31"/>
  <c r="R241" i="31"/>
  <c r="T241" i="31"/>
  <c r="R242" i="31"/>
  <c r="T242" i="31"/>
  <c r="R243" i="31"/>
  <c r="R244" i="31"/>
  <c r="T244" i="31" s="1"/>
  <c r="R245" i="31"/>
  <c r="T245" i="31" s="1"/>
  <c r="R246" i="31"/>
  <c r="T246" i="31" s="1"/>
  <c r="R247" i="31"/>
  <c r="R248" i="31"/>
  <c r="T248" i="31"/>
  <c r="R249" i="31"/>
  <c r="T249" i="31"/>
  <c r="R250" i="31"/>
  <c r="T250" i="31"/>
  <c r="R251" i="31"/>
  <c r="R252" i="31"/>
  <c r="T252" i="31" s="1"/>
  <c r="R253" i="31"/>
  <c r="T253" i="31" s="1"/>
  <c r="R254" i="31"/>
  <c r="T254" i="31" s="1"/>
  <c r="R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R383" i="3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R513" i="31"/>
  <c r="T513" i="31"/>
  <c r="R514" i="31"/>
  <c r="T514" i="31"/>
  <c r="R515" i="31"/>
  <c r="T515" i="31"/>
  <c r="R516" i="31"/>
  <c r="T516" i="31"/>
  <c r="R517" i="31"/>
  <c r="R518" i="31"/>
  <c r="T518" i="31" s="1"/>
  <c r="R519" i="31"/>
  <c r="T519" i="31" s="1"/>
  <c r="R520" i="31"/>
  <c r="T520" i="31" s="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H23" i="48"/>
  <c r="H24" i="48"/>
  <c r="D24" i="48"/>
  <c r="D21" i="48"/>
  <c r="B21" i="49"/>
  <c r="B5" i="60" s="1"/>
  <c r="B12" i="49"/>
  <c r="B3" i="60" s="1"/>
  <c r="I2" i="43"/>
  <c r="H6" i="44" s="1"/>
  <c r="G2" i="43"/>
  <c r="E30" i="4"/>
  <c r="C7" i="4"/>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D44" i="47" s="1"/>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K1" i="61" s="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s="1"/>
  <c r="S35" i="39" s="1"/>
  <c r="B112" i="39"/>
  <c r="J30" i="36"/>
  <c r="H30" i="36"/>
  <c r="U30" i="36"/>
  <c r="F30" i="36"/>
  <c r="AA30" i="36"/>
  <c r="C79" i="35"/>
  <c r="J31" i="35"/>
  <c r="AC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c r="D99" i="37"/>
  <c r="E99" i="37"/>
  <c r="F99" i="37" s="1"/>
  <c r="G99" i="37" s="1"/>
  <c r="H42" i="34"/>
  <c r="J42" i="34"/>
  <c r="W42" i="34" s="1"/>
  <c r="F42" i="34"/>
  <c r="S42" i="34" s="1"/>
  <c r="J38" i="34"/>
  <c r="D114" i="34"/>
  <c r="D112" i="34"/>
  <c r="E112" i="34" s="1"/>
  <c r="F112" i="34" s="1"/>
  <c r="G112" i="34" s="1"/>
  <c r="H112" i="34" s="1"/>
  <c r="I112" i="34" s="1"/>
  <c r="J112" i="34" s="1"/>
  <c r="K112" i="34" s="1"/>
  <c r="L112" i="34" s="1"/>
  <c r="M112" i="34" s="1"/>
  <c r="F40" i="33"/>
  <c r="J41" i="33"/>
  <c r="W41" i="33"/>
  <c r="D113" i="33"/>
  <c r="F37" i="33"/>
  <c r="S37" i="33" s="1"/>
  <c r="D111" i="33"/>
  <c r="E111" i="33" s="1"/>
  <c r="S518" i="31"/>
  <c r="S519" i="31"/>
  <c r="S522" i="31"/>
  <c r="S523" i="31"/>
  <c r="S526" i="31"/>
  <c r="S527" i="3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B95" i="40"/>
  <c r="D92" i="40"/>
  <c r="E92" i="40"/>
  <c r="F92" i="40" s="1"/>
  <c r="G92" i="40" s="1"/>
  <c r="D90" i="40"/>
  <c r="E90" i="40"/>
  <c r="D88" i="40"/>
  <c r="E88" i="40"/>
  <c r="F88" i="40" s="1"/>
  <c r="G88" i="40" s="1"/>
  <c r="D86" i="40"/>
  <c r="E86" i="40"/>
  <c r="D84" i="40"/>
  <c r="E84" i="40"/>
  <c r="F84" i="40" s="1"/>
  <c r="G84" i="40" s="1"/>
  <c r="B81" i="40"/>
  <c r="H14"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S34" i="40" s="1"/>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c r="B127" i="39"/>
  <c r="J43" i="39"/>
  <c r="W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B84" i="39"/>
  <c r="B82" i="39"/>
  <c r="J12" i="39"/>
  <c r="W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s="1"/>
  <c r="H8" i="39"/>
  <c r="F8" i="39"/>
  <c r="AA8" i="39"/>
  <c r="C20" i="36"/>
  <c r="C20" i="35"/>
  <c r="C16" i="36"/>
  <c r="C16" i="35"/>
  <c r="C14" i="36"/>
  <c r="C14" i="35"/>
  <c r="B80" i="37"/>
  <c r="B110" i="37"/>
  <c r="B108" i="37"/>
  <c r="J38" i="37"/>
  <c r="AC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E103" i="37" s="1"/>
  <c r="F103" i="37"/>
  <c r="G103" i="37" s="1"/>
  <c r="H103" i="37" s="1"/>
  <c r="I103" i="37" s="1"/>
  <c r="J103" i="37" s="1"/>
  <c r="K103" i="37" s="1"/>
  <c r="L103" i="37" s="1"/>
  <c r="M103" i="37" s="1"/>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J27" i="37" s="1"/>
  <c r="B82" i="37"/>
  <c r="D79" i="37"/>
  <c r="E79" i="37"/>
  <c r="F79" i="37" s="1"/>
  <c r="G79" i="37"/>
  <c r="D75" i="37"/>
  <c r="E75" i="37"/>
  <c r="F75" i="37" s="1"/>
  <c r="G75" i="37" s="1"/>
  <c r="D73" i="37"/>
  <c r="E73" i="37"/>
  <c r="F73" i="37" s="1"/>
  <c r="G73" i="37"/>
  <c r="J17" i="37"/>
  <c r="D71" i="37"/>
  <c r="E71" i="37" s="1"/>
  <c r="F71" i="37" s="1"/>
  <c r="G71" i="37" s="1"/>
  <c r="B68" i="37"/>
  <c r="F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F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G79" i="36"/>
  <c r="F79" i="36"/>
  <c r="E79" i="36"/>
  <c r="D79" i="36"/>
  <c r="C79" i="36"/>
  <c r="B93" i="36"/>
  <c r="H33" i="36"/>
  <c r="AB33" i="36" s="1"/>
  <c r="B91" i="36"/>
  <c r="J32" i="36" s="1"/>
  <c r="B95" i="36"/>
  <c r="H34" i="36" s="1"/>
  <c r="U34" i="36"/>
  <c r="D83" i="36"/>
  <c r="E83" i="36"/>
  <c r="F83" i="36" s="1"/>
  <c r="D78" i="36"/>
  <c r="E78" i="36" s="1"/>
  <c r="F78" i="36"/>
  <c r="G78" i="36" s="1"/>
  <c r="H78" i="36" s="1"/>
  <c r="I78" i="36" s="1"/>
  <c r="J78" i="36" s="1"/>
  <c r="K78" i="36" s="1"/>
  <c r="L78" i="36" s="1"/>
  <c r="M78" i="36" s="1"/>
  <c r="B75" i="36"/>
  <c r="B73" i="36"/>
  <c r="B71" i="36"/>
  <c r="H23" i="36" s="1"/>
  <c r="AB23" i="36" s="1"/>
  <c r="D70" i="36"/>
  <c r="H22" i="36"/>
  <c r="D68" i="36"/>
  <c r="E68" i="36"/>
  <c r="F68" i="36" s="1"/>
  <c r="G68" i="36" s="1"/>
  <c r="D64" i="36"/>
  <c r="E64" i="36"/>
  <c r="F64" i="36" s="1"/>
  <c r="G64" i="36"/>
  <c r="J16" i="36"/>
  <c r="W16" i="36"/>
  <c r="D62" i="36"/>
  <c r="E62" i="36"/>
  <c r="F62" i="36" s="1"/>
  <c r="G62" i="36" s="1"/>
  <c r="H14" i="36"/>
  <c r="AB14" i="36"/>
  <c r="B59" i="36"/>
  <c r="F13" i="36"/>
  <c r="B57" i="36"/>
  <c r="F12"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s="1"/>
  <c r="B97" i="35"/>
  <c r="J34" i="35" s="1"/>
  <c r="AC34" i="35" s="1"/>
  <c r="B77" i="35"/>
  <c r="B75" i="35"/>
  <c r="B73" i="35"/>
  <c r="H23" i="35"/>
  <c r="B57" i="35"/>
  <c r="B61" i="35"/>
  <c r="B59" i="35"/>
  <c r="B131" i="34"/>
  <c r="J47" i="34" s="1"/>
  <c r="B129" i="34"/>
  <c r="B127" i="34"/>
  <c r="B99" i="34"/>
  <c r="J32" i="34" s="1"/>
  <c r="W32" i="34" s="1"/>
  <c r="B97" i="34"/>
  <c r="J31" i="34"/>
  <c r="B95" i="34"/>
  <c r="B93" i="34"/>
  <c r="B75" i="34"/>
  <c r="B73" i="34"/>
  <c r="J13" i="34" s="1"/>
  <c r="B71" i="34"/>
  <c r="B130" i="33"/>
  <c r="B128" i="33"/>
  <c r="J45" i="33" s="1"/>
  <c r="W45" i="33" s="1"/>
  <c r="B126" i="33"/>
  <c r="B98" i="33"/>
  <c r="B96" i="33"/>
  <c r="B94" i="33"/>
  <c r="B74" i="33"/>
  <c r="H14" i="33"/>
  <c r="AB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E126" i="34"/>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AA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Q38" i="34"/>
  <c r="Z38" i="34"/>
  <c r="Q37" i="34"/>
  <c r="Z37" i="34"/>
  <c r="Q36" i="34"/>
  <c r="Z36" i="34"/>
  <c r="Q35" i="34"/>
  <c r="Z35" i="34"/>
  <c r="Q34" i="34"/>
  <c r="Z34" i="34"/>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Q11" i="34"/>
  <c r="Z11" i="34" s="1"/>
  <c r="Q10" i="34"/>
  <c r="Z10" i="34" s="1"/>
  <c r="F10" i="34"/>
  <c r="AA10" i="34" s="1"/>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H43" i="33" s="1"/>
  <c r="U43" i="33" s="1"/>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F28" i="33"/>
  <c r="B90" i="33"/>
  <c r="D87" i="33"/>
  <c r="E87" i="33" s="1"/>
  <c r="F87" i="33" s="1"/>
  <c r="G87" i="33" s="1"/>
  <c r="H87" i="33" s="1"/>
  <c r="I87" i="33" s="1"/>
  <c r="J87" i="33" s="1"/>
  <c r="K87" i="33" s="1"/>
  <c r="L87" i="33" s="1"/>
  <c r="M87" i="33" s="1"/>
  <c r="D85" i="33"/>
  <c r="J23" i="33" s="1"/>
  <c r="AC23" i="33" s="1"/>
  <c r="D81" i="33"/>
  <c r="E81" i="33" s="1"/>
  <c r="F81" i="33" s="1"/>
  <c r="G81" i="33" s="1"/>
  <c r="D79" i="33"/>
  <c r="E79" i="33" s="1"/>
  <c r="F79" i="33" s="1"/>
  <c r="G79" i="33" s="1"/>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F10" i="33" s="1"/>
  <c r="C63" i="33"/>
  <c r="H9" i="33" s="1"/>
  <c r="P49" i="33"/>
  <c r="P48" i="33"/>
  <c r="P47" i="33"/>
  <c r="Q46" i="33"/>
  <c r="Z46" i="33"/>
  <c r="Q45" i="33"/>
  <c r="Z45" i="33"/>
  <c r="Q44" i="33"/>
  <c r="Z44" i="33"/>
  <c r="Q43" i="33"/>
  <c r="Z43" i="33"/>
  <c r="Q42" i="33"/>
  <c r="Z42" i="33"/>
  <c r="J42" i="33"/>
  <c r="AC42" i="33" s="1"/>
  <c r="Q41" i="33"/>
  <c r="Z41" i="33" s="1"/>
  <c r="Q40" i="33"/>
  <c r="Z40" i="33" s="1"/>
  <c r="J40" i="33"/>
  <c r="AC40" i="33" s="1"/>
  <c r="H40" i="33"/>
  <c r="AA40" i="33"/>
  <c r="Q39" i="33"/>
  <c r="Z39" i="33" s="1"/>
  <c r="Q38" i="33"/>
  <c r="Z38" i="33" s="1"/>
  <c r="J38" i="33"/>
  <c r="AC38" i="33" s="1"/>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s="1"/>
  <c r="Q11" i="33"/>
  <c r="Z11" i="33" s="1"/>
  <c r="Q10" i="33"/>
  <c r="Z10" i="33" s="1"/>
  <c r="Q9" i="33"/>
  <c r="Z9" i="33" s="1"/>
  <c r="J8" i="33"/>
  <c r="AC8" i="33" s="1"/>
  <c r="H8" i="33"/>
  <c r="AB8" i="33" s="1"/>
  <c r="F8" i="33"/>
  <c r="M102" i="21"/>
  <c r="D102" i="21"/>
  <c r="E102" i="21"/>
  <c r="F102" i="21"/>
  <c r="G102" i="21"/>
  <c r="H102" i="21"/>
  <c r="I102" i="21"/>
  <c r="J102" i="21"/>
  <c r="K102" i="21"/>
  <c r="L102" i="21"/>
  <c r="C102" i="21"/>
  <c r="C63" i="21"/>
  <c r="H9" i="21" s="1"/>
  <c r="G18" i="20"/>
  <c r="C21" i="40" s="1"/>
  <c r="G19" i="20"/>
  <c r="B85" i="43" s="1"/>
  <c r="G16" i="20"/>
  <c r="B82" i="43" s="1"/>
  <c r="G15" i="20"/>
  <c r="B81" i="43" s="1"/>
  <c r="C24" i="20"/>
  <c r="B73" i="43" s="1"/>
  <c r="B74" i="43"/>
  <c r="C20" i="20"/>
  <c r="B77" i="43"/>
  <c r="C18" i="20"/>
  <c r="B60"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D119" i="21"/>
  <c r="D117" i="21"/>
  <c r="E117" i="21"/>
  <c r="F117" i="21" s="1"/>
  <c r="G117" i="21"/>
  <c r="D115" i="21"/>
  <c r="E115" i="21"/>
  <c r="F115" i="21" s="1"/>
  <c r="G115" i="21" s="1"/>
  <c r="H115" i="21" s="1"/>
  <c r="I115" i="21" s="1"/>
  <c r="J115" i="21" s="1"/>
  <c r="K115" i="21" s="1"/>
  <c r="L115" i="21" s="1"/>
  <c r="M115" i="21" s="1"/>
  <c r="D113" i="21"/>
  <c r="E113" i="21"/>
  <c r="F113" i="21" s="1"/>
  <c r="G113" i="21" s="1"/>
  <c r="H113" i="21" s="1"/>
  <c r="F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H44" i="21"/>
  <c r="B98" i="21"/>
  <c r="B96" i="21"/>
  <c r="B94" i="21"/>
  <c r="B92" i="21"/>
  <c r="F28" i="21" s="1"/>
  <c r="B90" i="21"/>
  <c r="B74" i="21"/>
  <c r="F14" i="21"/>
  <c r="B72" i="21"/>
  <c r="B70" i="21"/>
  <c r="J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W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s="1"/>
  <c r="J19" i="21"/>
  <c r="W19" i="21" s="1"/>
  <c r="J26" i="21"/>
  <c r="W26" i="21" s="1"/>
  <c r="F26" i="21"/>
  <c r="S26" i="21" s="1"/>
  <c r="AB41" i="21"/>
  <c r="U41" i="21"/>
  <c r="S41" i="21"/>
  <c r="F45" i="39"/>
  <c r="J45" i="39"/>
  <c r="W45" i="39" s="1"/>
  <c r="J44" i="39"/>
  <c r="H36" i="39"/>
  <c r="S8" i="39"/>
  <c r="U38" i="39"/>
  <c r="H32" i="37"/>
  <c r="U32" i="37" s="1"/>
  <c r="AB32" i="37"/>
  <c r="U8" i="37"/>
  <c r="W31" i="37"/>
  <c r="F29" i="36"/>
  <c r="AA29" i="36"/>
  <c r="F16" i="36"/>
  <c r="S16" i="36"/>
  <c r="AA31" i="36"/>
  <c r="AC31" i="36"/>
  <c r="W31" i="36"/>
  <c r="J33" i="36"/>
  <c r="AB34" i="36"/>
  <c r="H22" i="35"/>
  <c r="AB22" i="35" s="1"/>
  <c r="U31" i="35"/>
  <c r="S32" i="35"/>
  <c r="S31" i="35"/>
  <c r="U32" i="35"/>
  <c r="F36" i="34"/>
  <c r="U39" i="34"/>
  <c r="S40" i="33"/>
  <c r="AC38" i="21"/>
  <c r="F11" i="40"/>
  <c r="S8" i="40"/>
  <c r="H11" i="40"/>
  <c r="U11" i="40" s="1"/>
  <c r="W8" i="40"/>
  <c r="U9" i="40"/>
  <c r="U34" i="40"/>
  <c r="F42" i="39"/>
  <c r="AA42" i="39"/>
  <c r="F41" i="39"/>
  <c r="AA41" i="39"/>
  <c r="H40" i="39"/>
  <c r="AB40" i="39"/>
  <c r="H39" i="39"/>
  <c r="U39" i="39"/>
  <c r="S38" i="39"/>
  <c r="H34" i="39"/>
  <c r="F109" i="39"/>
  <c r="G109" i="39"/>
  <c r="H109" i="39" s="1"/>
  <c r="I109" i="39" s="1"/>
  <c r="J109" i="39" s="1"/>
  <c r="K109" i="39" s="1"/>
  <c r="L109" i="39" s="1"/>
  <c r="M109" i="39" s="1"/>
  <c r="H31" i="39"/>
  <c r="AB31" i="39"/>
  <c r="F31" i="39"/>
  <c r="AA31" i="39"/>
  <c r="E103" i="39"/>
  <c r="F103" i="39"/>
  <c r="G103" i="39" s="1"/>
  <c r="H19" i="39"/>
  <c r="AB19" i="39" s="1"/>
  <c r="F19" i="39"/>
  <c r="S19" i="39" s="1"/>
  <c r="H17" i="39"/>
  <c r="U17" i="39" s="1"/>
  <c r="F17" i="39"/>
  <c r="S17" i="39" s="1"/>
  <c r="J23" i="40"/>
  <c r="AC23" i="40" s="1"/>
  <c r="H42" i="39"/>
  <c r="J34" i="39"/>
  <c r="AC34" i="39"/>
  <c r="J31" i="39"/>
  <c r="AC31" i="39"/>
  <c r="H29" i="39"/>
  <c r="U29" i="39"/>
  <c r="J19" i="39"/>
  <c r="J17" i="39"/>
  <c r="J29" i="39"/>
  <c r="F29" i="39"/>
  <c r="AA29" i="39" s="1"/>
  <c r="F11" i="21"/>
  <c r="S11" i="21" s="1"/>
  <c r="H11" i="39"/>
  <c r="AB11" i="39" s="1"/>
  <c r="AB39" i="39"/>
  <c r="H11" i="21"/>
  <c r="U11" i="21"/>
  <c r="J11" i="21"/>
  <c r="AC11" i="21"/>
  <c r="H36" i="40"/>
  <c r="F35" i="40"/>
  <c r="S35" i="40" s="1"/>
  <c r="J30" i="40"/>
  <c r="F30" i="40"/>
  <c r="AA30" i="40"/>
  <c r="F96" i="40"/>
  <c r="G96" i="40"/>
  <c r="H96" i="40" s="1"/>
  <c r="I96" i="40" s="1"/>
  <c r="J96" i="40" s="1"/>
  <c r="K96" i="40" s="1"/>
  <c r="L96" i="40" s="1"/>
  <c r="M96" i="40" s="1"/>
  <c r="H27" i="40"/>
  <c r="AB27" i="40"/>
  <c r="H23" i="40"/>
  <c r="AB23" i="40"/>
  <c r="J11" i="40"/>
  <c r="W11" i="40"/>
  <c r="AA12" i="33"/>
  <c r="F37" i="39"/>
  <c r="S37" i="39" s="1"/>
  <c r="F22" i="35"/>
  <c r="AA22" i="35" s="1"/>
  <c r="H10" i="35"/>
  <c r="U10" i="35" s="1"/>
  <c r="U33" i="36"/>
  <c r="F33" i="36"/>
  <c r="E85" i="36"/>
  <c r="F85" i="36" s="1"/>
  <c r="G85" i="36" s="1"/>
  <c r="H85" i="36" s="1"/>
  <c r="I85" i="36" s="1"/>
  <c r="J85" i="36" s="1"/>
  <c r="K85" i="36" s="1"/>
  <c r="L85" i="36" s="1"/>
  <c r="M85" i="36" s="1"/>
  <c r="J29" i="36"/>
  <c r="AA12" i="36"/>
  <c r="H20" i="36"/>
  <c r="J20" i="36"/>
  <c r="W20" i="36" s="1"/>
  <c r="AB8" i="36"/>
  <c r="F14" i="35"/>
  <c r="F23" i="35"/>
  <c r="AA23" i="35" s="1"/>
  <c r="J32" i="35"/>
  <c r="AC32" i="35" s="1"/>
  <c r="J16" i="35"/>
  <c r="W16" i="35" s="1"/>
  <c r="H14" i="35"/>
  <c r="AB14" i="35" s="1"/>
  <c r="H33" i="35"/>
  <c r="AB33" i="35" s="1"/>
  <c r="J20" i="35"/>
  <c r="H20" i="35"/>
  <c r="U20" i="35"/>
  <c r="F20" i="35"/>
  <c r="AA20" i="35"/>
  <c r="E101" i="37"/>
  <c r="F101" i="37"/>
  <c r="G101" i="37" s="1"/>
  <c r="H101" i="37" s="1"/>
  <c r="I101" i="37" s="1"/>
  <c r="J101" i="37" s="1"/>
  <c r="K101" i="37" s="1"/>
  <c r="L101" i="37" s="1"/>
  <c r="M101" i="37" s="1"/>
  <c r="J34" i="37"/>
  <c r="J43" i="34"/>
  <c r="AC43" i="34"/>
  <c r="H43" i="34"/>
  <c r="U42" i="34"/>
  <c r="H40" i="34"/>
  <c r="U40" i="34"/>
  <c r="E114" i="34"/>
  <c r="F114" i="34"/>
  <c r="G114" i="34" s="1"/>
  <c r="H114" i="34" s="1"/>
  <c r="I114" i="34" s="1"/>
  <c r="J114" i="34" s="1"/>
  <c r="K114" i="34" s="1"/>
  <c r="L114" i="34" s="1"/>
  <c r="M114" i="34" s="1"/>
  <c r="F38" i="34"/>
  <c r="AA38" i="34" s="1"/>
  <c r="F28" i="34"/>
  <c r="AA28" i="34" s="1"/>
  <c r="J19" i="34"/>
  <c r="J15" i="34"/>
  <c r="AC15" i="34"/>
  <c r="H15" i="34"/>
  <c r="J10" i="34"/>
  <c r="H10" i="34"/>
  <c r="AB10" i="34"/>
  <c r="F41" i="33"/>
  <c r="S41" i="33"/>
  <c r="E113" i="33"/>
  <c r="F113" i="33"/>
  <c r="G113" i="33" s="1"/>
  <c r="H113" i="33" s="1"/>
  <c r="I113" i="33" s="1"/>
  <c r="J113" i="33" s="1"/>
  <c r="K113" i="33" s="1"/>
  <c r="L113" i="33" s="1"/>
  <c r="M113" i="33" s="1"/>
  <c r="J34" i="33"/>
  <c r="J25" i="33"/>
  <c r="F19" i="33"/>
  <c r="J19" i="33"/>
  <c r="W19" i="33"/>
  <c r="H17" i="33"/>
  <c r="AB17" i="33" s="1"/>
  <c r="J15" i="33"/>
  <c r="AC15" i="33" s="1"/>
  <c r="F11" i="33"/>
  <c r="F37" i="40"/>
  <c r="AA37" i="40"/>
  <c r="F36" i="40"/>
  <c r="AA36" i="40"/>
  <c r="J27" i="40"/>
  <c r="AC27" i="40"/>
  <c r="F27" i="40"/>
  <c r="F23" i="40"/>
  <c r="AA23" i="40" s="1"/>
  <c r="AC11" i="40"/>
  <c r="W32" i="35"/>
  <c r="F29" i="35"/>
  <c r="S29" i="35" s="1"/>
  <c r="AB42" i="34"/>
  <c r="H38" i="34"/>
  <c r="H37" i="33"/>
  <c r="AB37" i="33" s="1"/>
  <c r="AA37" i="33"/>
  <c r="F17" i="33"/>
  <c r="AA17" i="33"/>
  <c r="H15" i="33"/>
  <c r="AB15" i="33"/>
  <c r="AC42" i="34"/>
  <c r="J37" i="33"/>
  <c r="AC37" i="33" s="1"/>
  <c r="J11" i="33"/>
  <c r="J42" i="21"/>
  <c r="AC42" i="21"/>
  <c r="H42" i="21"/>
  <c r="AB42" i="21"/>
  <c r="J10" i="35"/>
  <c r="J14" i="21"/>
  <c r="H14" i="21"/>
  <c r="H28" i="21"/>
  <c r="J28" i="21"/>
  <c r="W28" i="21" s="1"/>
  <c r="H30" i="21"/>
  <c r="J44" i="21"/>
  <c r="AC44" i="21"/>
  <c r="U44" i="21"/>
  <c r="F44" i="21"/>
  <c r="AA44" i="21" s="1"/>
  <c r="F46" i="21"/>
  <c r="E119" i="21"/>
  <c r="F119" i="21"/>
  <c r="G119" i="21" s="1"/>
  <c r="H119" i="21" s="1"/>
  <c r="I119" i="21" s="1"/>
  <c r="J119" i="21" s="1"/>
  <c r="K119" i="21" s="1"/>
  <c r="L119" i="21" s="1"/>
  <c r="M119" i="21" s="1"/>
  <c r="H26" i="33"/>
  <c r="U26" i="33" s="1"/>
  <c r="H28" i="33"/>
  <c r="S28" i="33"/>
  <c r="J28" i="33"/>
  <c r="AC28" i="33"/>
  <c r="F33" i="35"/>
  <c r="S33" i="35" s="1"/>
  <c r="J33" i="35"/>
  <c r="F30" i="35"/>
  <c r="S30" i="35"/>
  <c r="H10" i="36"/>
  <c r="AB10" i="36" s="1"/>
  <c r="G83" i="36"/>
  <c r="H83" i="36" s="1"/>
  <c r="I83" i="36" s="1"/>
  <c r="J83" i="36" s="1"/>
  <c r="K83" i="36" s="1"/>
  <c r="L83" i="36" s="1"/>
  <c r="M83" i="36" s="1"/>
  <c r="F28" i="36"/>
  <c r="J13" i="33"/>
  <c r="AC13" i="33" s="1"/>
  <c r="H13" i="33"/>
  <c r="AB13" i="33" s="1"/>
  <c r="F13" i="33"/>
  <c r="S13" i="33" s="1"/>
  <c r="J29" i="33"/>
  <c r="W29" i="33" s="1"/>
  <c r="J31" i="33"/>
  <c r="W31" i="33"/>
  <c r="H31" i="33"/>
  <c r="F31" i="33"/>
  <c r="J14" i="34"/>
  <c r="H30" i="34"/>
  <c r="U30" i="34" s="1"/>
  <c r="F30" i="34"/>
  <c r="S30" i="34" s="1"/>
  <c r="J30" i="34"/>
  <c r="W30" i="34" s="1"/>
  <c r="H32" i="34"/>
  <c r="H46" i="34"/>
  <c r="F46" i="34"/>
  <c r="S46" i="34" s="1"/>
  <c r="J46" i="34"/>
  <c r="W46" i="34" s="1"/>
  <c r="H11" i="35"/>
  <c r="U11" i="35" s="1"/>
  <c r="J11" i="35"/>
  <c r="F11" i="35"/>
  <c r="S11" i="35"/>
  <c r="J26" i="36"/>
  <c r="W26" i="36"/>
  <c r="H28" i="36"/>
  <c r="U28" i="36" s="1"/>
  <c r="H32" i="36"/>
  <c r="W32" i="36"/>
  <c r="J11" i="36"/>
  <c r="W11" i="36" s="1"/>
  <c r="H11" i="36"/>
  <c r="AB11" i="36" s="1"/>
  <c r="F11" i="36"/>
  <c r="AA11" i="36" s="1"/>
  <c r="H13" i="36"/>
  <c r="AB13" i="36" s="1"/>
  <c r="J13" i="36"/>
  <c r="W13" i="36" s="1"/>
  <c r="S13" i="36"/>
  <c r="H36" i="37"/>
  <c r="H37" i="37"/>
  <c r="U37" i="37" s="1"/>
  <c r="AC12" i="40"/>
  <c r="U14" i="33"/>
  <c r="F14" i="33"/>
  <c r="H30" i="33"/>
  <c r="F30" i="33"/>
  <c r="S30" i="33" s="1"/>
  <c r="J30" i="33"/>
  <c r="H44" i="33"/>
  <c r="AB44" i="33" s="1"/>
  <c r="J44" i="33"/>
  <c r="AC44" i="33" s="1"/>
  <c r="F44" i="33"/>
  <c r="S44" i="33" s="1"/>
  <c r="J46" i="33"/>
  <c r="F46" i="33"/>
  <c r="AA46" i="33" s="1"/>
  <c r="H46" i="33"/>
  <c r="H13" i="34"/>
  <c r="U13" i="34"/>
  <c r="F13" i="34"/>
  <c r="J29" i="34"/>
  <c r="AC29" i="34" s="1"/>
  <c r="F29" i="34"/>
  <c r="S29" i="34" s="1"/>
  <c r="H29" i="34"/>
  <c r="U29" i="34" s="1"/>
  <c r="AC31" i="34"/>
  <c r="F31" i="34"/>
  <c r="H45" i="34"/>
  <c r="U45" i="34" s="1"/>
  <c r="J45" i="34"/>
  <c r="W45" i="34" s="1"/>
  <c r="F45" i="34"/>
  <c r="S45" i="34" s="1"/>
  <c r="H47" i="34"/>
  <c r="U47" i="34" s="1"/>
  <c r="AC47" i="34"/>
  <c r="F13" i="35"/>
  <c r="J13" i="35"/>
  <c r="AC13" i="35" s="1"/>
  <c r="H13" i="35"/>
  <c r="J25" i="35"/>
  <c r="F25" i="35"/>
  <c r="S25" i="35" s="1"/>
  <c r="H25" i="35"/>
  <c r="AB25" i="35" s="1"/>
  <c r="J35" i="35"/>
  <c r="AC35" i="35" s="1"/>
  <c r="AA35" i="35"/>
  <c r="J25" i="36"/>
  <c r="F25" i="36"/>
  <c r="S25" i="36" s="1"/>
  <c r="H25" i="36"/>
  <c r="AB25" i="36" s="1"/>
  <c r="H13" i="37"/>
  <c r="F13" i="37"/>
  <c r="S13" i="37"/>
  <c r="J13" i="37"/>
  <c r="W13" i="37"/>
  <c r="F28" i="37"/>
  <c r="AA28" i="37"/>
  <c r="J28" i="37"/>
  <c r="H28" i="37"/>
  <c r="U28" i="37" s="1"/>
  <c r="H38" i="37"/>
  <c r="AB38" i="37" s="1"/>
  <c r="F43" i="39"/>
  <c r="AA43" i="39" s="1"/>
  <c r="H43" i="39"/>
  <c r="U43" i="39" s="1"/>
  <c r="J14" i="39"/>
  <c r="W14" i="39" s="1"/>
  <c r="H12" i="40"/>
  <c r="U12" i="40" s="1"/>
  <c r="H30" i="40"/>
  <c r="AB30" i="40" s="1"/>
  <c r="F33" i="40"/>
  <c r="H33" i="40"/>
  <c r="AB33" i="40"/>
  <c r="J35" i="40"/>
  <c r="H13" i="40"/>
  <c r="U13" i="40" s="1"/>
  <c r="J13" i="40"/>
  <c r="W13" i="40" s="1"/>
  <c r="F13" i="40"/>
  <c r="AA13" i="40" s="1"/>
  <c r="F13" i="39"/>
  <c r="J13" i="39"/>
  <c r="H13" i="39"/>
  <c r="U13" i="39" s="1"/>
  <c r="J14" i="40"/>
  <c r="F14" i="40"/>
  <c r="W13" i="35"/>
  <c r="AC32" i="34"/>
  <c r="J10" i="36"/>
  <c r="AC10" i="36" s="1"/>
  <c r="U42" i="21"/>
  <c r="S33"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F14" i="36"/>
  <c r="AA14" i="36"/>
  <c r="F22" i="36"/>
  <c r="F26" i="36"/>
  <c r="AA26" i="36" s="1"/>
  <c r="H27" i="34"/>
  <c r="U27" i="34" s="1"/>
  <c r="H35" i="34"/>
  <c r="U35" i="34" s="1"/>
  <c r="F41" i="34"/>
  <c r="S41" i="34" s="1"/>
  <c r="H41" i="34"/>
  <c r="U41" i="34" s="1"/>
  <c r="J41" i="34"/>
  <c r="F10" i="35"/>
  <c r="AA10" i="35"/>
  <c r="H23" i="37"/>
  <c r="AB23" i="37"/>
  <c r="J32" i="37"/>
  <c r="F36" i="37"/>
  <c r="F37" i="37"/>
  <c r="AA37" i="37"/>
  <c r="H31" i="40"/>
  <c r="F32" i="40"/>
  <c r="H32" i="40"/>
  <c r="U32" i="40"/>
  <c r="J36" i="40"/>
  <c r="J23" i="37"/>
  <c r="AC23" i="37" s="1"/>
  <c r="S30" i="31"/>
  <c r="AB20" i="35"/>
  <c r="AA11" i="35"/>
  <c r="AC8" i="37"/>
  <c r="W47" i="34"/>
  <c r="AB8" i="34"/>
  <c r="AA13" i="33"/>
  <c r="AA30"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s="1"/>
  <c r="F19" i="40"/>
  <c r="S19" i="40" s="1"/>
  <c r="S13" i="40"/>
  <c r="AC43" i="39"/>
  <c r="H37" i="39"/>
  <c r="U37" i="39" s="1"/>
  <c r="AC37" i="39"/>
  <c r="H25" i="39"/>
  <c r="U25" i="39"/>
  <c r="J25" i="39"/>
  <c r="F25" i="39"/>
  <c r="S25" i="39" s="1"/>
  <c r="F15" i="39"/>
  <c r="AA15" i="39" s="1"/>
  <c r="H15" i="39"/>
  <c r="U15" i="39" s="1"/>
  <c r="J15" i="39"/>
  <c r="W15" i="39" s="1"/>
  <c r="H41" i="39"/>
  <c r="AB41" i="39" s="1"/>
  <c r="F11" i="39"/>
  <c r="AA11" i="39" s="1"/>
  <c r="H21" i="39"/>
  <c r="U21" i="39" s="1"/>
  <c r="F32" i="39"/>
  <c r="S32" i="39" s="1"/>
  <c r="S42" i="39"/>
  <c r="S41" i="39"/>
  <c r="W39" i="39"/>
  <c r="AB25" i="39"/>
  <c r="W21" i="39"/>
  <c r="J11" i="39"/>
  <c r="W11" i="39"/>
  <c r="J32" i="39"/>
  <c r="AC32" i="39"/>
  <c r="E66" i="39"/>
  <c r="E61" i="40"/>
  <c r="F34" i="43"/>
  <c r="C21" i="11"/>
  <c r="H55" i="39"/>
  <c r="G60" i="40"/>
  <c r="C60" i="40" s="1"/>
  <c r="H16" i="44"/>
  <c r="D17" i="43"/>
  <c r="I17" i="43"/>
  <c r="D108" i="9"/>
  <c r="F22" i="43"/>
  <c r="B56" i="60"/>
  <c r="G22" i="43"/>
  <c r="E22" i="43"/>
  <c r="H14" i="44"/>
  <c r="B57" i="60"/>
  <c r="W40" i="39"/>
  <c r="AC30" i="34"/>
  <c r="H23" i="34"/>
  <c r="F33" i="34"/>
  <c r="S33" i="34"/>
  <c r="H36" i="34"/>
  <c r="F35" i="34"/>
  <c r="AA35" i="34" s="1"/>
  <c r="J35" i="34"/>
  <c r="AC35" i="34" s="1"/>
  <c r="F27" i="34"/>
  <c r="S27" i="34" s="1"/>
  <c r="J33" i="34"/>
  <c r="J37" i="34"/>
  <c r="W37" i="34"/>
  <c r="AB33" i="34"/>
  <c r="AC37" i="34"/>
  <c r="J26" i="35"/>
  <c r="W26" i="35"/>
  <c r="F26" i="35"/>
  <c r="H26" i="35"/>
  <c r="U26" i="35" s="1"/>
  <c r="K145" i="21"/>
  <c r="K144" i="21"/>
  <c r="K141" i="21"/>
  <c r="K143" i="21"/>
  <c r="B101" i="9"/>
  <c r="F23" i="21"/>
  <c r="AA23" i="21"/>
  <c r="J23" i="21"/>
  <c r="AC23" i="21"/>
  <c r="H23" i="21"/>
  <c r="F17" i="21"/>
  <c r="AA17" i="21" s="1"/>
  <c r="J17" i="21"/>
  <c r="H17" i="21"/>
  <c r="J15" i="21"/>
  <c r="AC35" i="21"/>
  <c r="H102" i="57"/>
  <c r="A131" i="9"/>
  <c r="A134" i="57"/>
  <c r="B102" i="57"/>
  <c r="C111" i="57"/>
  <c r="D127" i="57"/>
  <c r="T27" i="31"/>
  <c r="S27" i="31"/>
  <c r="B113" i="43"/>
  <c r="I118" i="43" s="1"/>
  <c r="J118" i="43" s="1"/>
  <c r="K118" i="43" s="1"/>
  <c r="L118" i="43" s="1"/>
  <c r="M118" i="43" s="1"/>
  <c r="M101" i="43"/>
  <c r="K101" i="43"/>
  <c r="I101" i="43"/>
  <c r="I102" i="43" s="1"/>
  <c r="G101" i="43"/>
  <c r="G104" i="43" s="1"/>
  <c r="E101" i="43"/>
  <c r="E106" i="43" s="1"/>
  <c r="C101" i="43"/>
  <c r="N101" i="43"/>
  <c r="L101" i="43"/>
  <c r="L104" i="43" s="1"/>
  <c r="J101" i="43"/>
  <c r="J103" i="43" s="1"/>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s="1"/>
  <c r="D47" i="15"/>
  <c r="J37" i="37"/>
  <c r="W37" i="37"/>
  <c r="AB40" i="37"/>
  <c r="U40" i="37"/>
  <c r="U15" i="21"/>
  <c r="AB15" i="21"/>
  <c r="AA16" i="35"/>
  <c r="AA35" i="39"/>
  <c r="F40" i="34"/>
  <c r="U20" i="36"/>
  <c r="AB20" i="36"/>
  <c r="AC44" i="39"/>
  <c r="W44" i="39"/>
  <c r="B41" i="47"/>
  <c r="C23" i="40"/>
  <c r="AC8" i="34"/>
  <c r="W8" i="34"/>
  <c r="W12" i="34"/>
  <c r="AC12" i="34"/>
  <c r="J9" i="34"/>
  <c r="W9" i="34" s="1"/>
  <c r="H12" i="36"/>
  <c r="AB12" i="36" s="1"/>
  <c r="AA9" i="39"/>
  <c r="S9" i="39"/>
  <c r="F12" i="39"/>
  <c r="S12" i="39" s="1"/>
  <c r="R29" i="31"/>
  <c r="T29" i="31" s="1"/>
  <c r="T25" i="31" s="1"/>
  <c r="F15" i="21"/>
  <c r="J36" i="34"/>
  <c r="W36" i="34"/>
  <c r="J19" i="40"/>
  <c r="AC19" i="40"/>
  <c r="W9" i="39"/>
  <c r="H32" i="39"/>
  <c r="F21" i="39"/>
  <c r="AA21" i="39"/>
  <c r="F31" i="37"/>
  <c r="AA31" i="37"/>
  <c r="S44" i="21"/>
  <c r="F17" i="37"/>
  <c r="AA17" i="37" s="1"/>
  <c r="AB28" i="36"/>
  <c r="AB13" i="40"/>
  <c r="U33" i="40"/>
  <c r="AB11" i="35"/>
  <c r="J14" i="36"/>
  <c r="J40" i="34"/>
  <c r="AC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c r="H34" i="21"/>
  <c r="U34" i="21"/>
  <c r="J34" i="21"/>
  <c r="H9" i="34"/>
  <c r="AB9" i="34" s="1"/>
  <c r="H28" i="34"/>
  <c r="U28" i="34" s="1"/>
  <c r="E116" i="34"/>
  <c r="F116" i="34" s="1"/>
  <c r="G116" i="34" s="1"/>
  <c r="H116" i="34" s="1"/>
  <c r="I116" i="34" s="1"/>
  <c r="J116" i="34" s="1"/>
  <c r="K116" i="34" s="1"/>
  <c r="L116" i="34" s="1"/>
  <c r="M116" i="34" s="1"/>
  <c r="J39" i="34"/>
  <c r="W39" i="34"/>
  <c r="J27" i="36"/>
  <c r="AC27" i="36"/>
  <c r="F37" i="34"/>
  <c r="AA37" i="34"/>
  <c r="H37" i="34"/>
  <c r="U37" i="34"/>
  <c r="AB12" i="40"/>
  <c r="AC46" i="34"/>
  <c r="W28" i="33"/>
  <c r="AA14" i="35"/>
  <c r="S14" i="35"/>
  <c r="W11" i="21"/>
  <c r="H27" i="21"/>
  <c r="AB27" i="21"/>
  <c r="J27" i="21"/>
  <c r="W27" i="21"/>
  <c r="F27" i="21"/>
  <c r="J31" i="21"/>
  <c r="W31" i="21" s="1"/>
  <c r="H31" i="21"/>
  <c r="U31" i="21" s="1"/>
  <c r="F31" i="21"/>
  <c r="H39" i="21"/>
  <c r="U39" i="21"/>
  <c r="E117" i="33"/>
  <c r="J39" i="33"/>
  <c r="E91" i="33"/>
  <c r="F91" i="33"/>
  <c r="G91" i="33" s="1"/>
  <c r="H91" i="33" s="1"/>
  <c r="I91" i="33" s="1"/>
  <c r="J91" i="33" s="1"/>
  <c r="K91" i="33" s="1"/>
  <c r="L91" i="33" s="1"/>
  <c r="M91" i="33" s="1"/>
  <c r="H41" i="33"/>
  <c r="AB41" i="33" s="1"/>
  <c r="AA11" i="34"/>
  <c r="S11" i="34"/>
  <c r="F80" i="34"/>
  <c r="G80" i="34" s="1"/>
  <c r="H17" i="34"/>
  <c r="U17" i="34"/>
  <c r="H16" i="35"/>
  <c r="U16" i="35"/>
  <c r="J24" i="35"/>
  <c r="AC24" i="35"/>
  <c r="F24" i="35"/>
  <c r="H24" i="35"/>
  <c r="AB24" i="35" s="1"/>
  <c r="F34" i="35"/>
  <c r="G60" i="37"/>
  <c r="H60" i="37"/>
  <c r="I60" i="37" s="1"/>
  <c r="F10" i="37"/>
  <c r="AA10" i="37" s="1"/>
  <c r="J12" i="37"/>
  <c r="W12" i="37" s="1"/>
  <c r="F12" i="37"/>
  <c r="F27" i="37"/>
  <c r="J29" i="37"/>
  <c r="W29" i="37" s="1"/>
  <c r="F29" i="37"/>
  <c r="S29" i="37" s="1"/>
  <c r="H31" i="37"/>
  <c r="AB31" i="37" s="1"/>
  <c r="J36" i="37"/>
  <c r="W36" i="37" s="1"/>
  <c r="J40" i="37"/>
  <c r="W40" i="37" s="1"/>
  <c r="F40" i="37"/>
  <c r="AA40" i="37" s="1"/>
  <c r="U8" i="39"/>
  <c r="AB8" i="39"/>
  <c r="J29" i="35"/>
  <c r="AC29" i="35" s="1"/>
  <c r="AC30" i="36"/>
  <c r="W30" i="36"/>
  <c r="H35" i="39"/>
  <c r="J35" i="39"/>
  <c r="AC35" i="39"/>
  <c r="AA19" i="39"/>
  <c r="H16" i="36"/>
  <c r="F32" i="21"/>
  <c r="S32" i="21"/>
  <c r="J32" i="21"/>
  <c r="W32" i="21"/>
  <c r="H32" i="21"/>
  <c r="U32" i="21"/>
  <c r="F40" i="21"/>
  <c r="S40" i="21"/>
  <c r="H40" i="21"/>
  <c r="J40" i="21"/>
  <c r="AC40" i="21" s="1"/>
  <c r="B44" i="47"/>
  <c r="AC33" i="33"/>
  <c r="W33" i="33"/>
  <c r="S34" i="33"/>
  <c r="W38" i="33"/>
  <c r="J9" i="33"/>
  <c r="AC9" i="33"/>
  <c r="F9" i="33"/>
  <c r="AA9" i="33"/>
  <c r="F25" i="34"/>
  <c r="H44" i="34"/>
  <c r="U44" i="34" s="1"/>
  <c r="F20" i="36"/>
  <c r="J24" i="36"/>
  <c r="W24" i="36" s="1"/>
  <c r="H24" i="36"/>
  <c r="U24" i="36" s="1"/>
  <c r="F24" i="36"/>
  <c r="J26" i="37"/>
  <c r="H26" i="37"/>
  <c r="AB26" i="37" s="1"/>
  <c r="F26" i="37"/>
  <c r="AA26" i="37" s="1"/>
  <c r="J23" i="39"/>
  <c r="E97" i="39"/>
  <c r="F97" i="39"/>
  <c r="G97" i="39" s="1"/>
  <c r="H15" i="37"/>
  <c r="U15" i="37" s="1"/>
  <c r="F15" i="37"/>
  <c r="AA15" i="37" s="1"/>
  <c r="F38" i="40"/>
  <c r="AA38" i="40" s="1"/>
  <c r="J38" i="40"/>
  <c r="H38" i="40"/>
  <c r="U38" i="40"/>
  <c r="J40" i="40"/>
  <c r="AC40" i="40"/>
  <c r="H40" i="40"/>
  <c r="AB40" i="40"/>
  <c r="F40" i="40"/>
  <c r="N6" i="43"/>
  <c r="F70" i="43"/>
  <c r="H71" i="43"/>
  <c r="M1" i="43"/>
  <c r="M2" i="43"/>
  <c r="C6" i="43"/>
  <c r="A121" i="9"/>
  <c r="F101" i="9"/>
  <c r="F33" i="9"/>
  <c r="C25" i="57"/>
  <c r="E103" i="43"/>
  <c r="F59" i="43"/>
  <c r="H63" i="43"/>
  <c r="G15" i="47"/>
  <c r="AB24" i="36"/>
  <c r="H25" i="34"/>
  <c r="U25" i="34"/>
  <c r="J17" i="34"/>
  <c r="AC17" i="34"/>
  <c r="F17" i="34"/>
  <c r="AA17" i="34" s="1"/>
  <c r="H27" i="33"/>
  <c r="U27" i="33" s="1"/>
  <c r="AB31" i="21"/>
  <c r="H27" i="36"/>
  <c r="AB27" i="36"/>
  <c r="F27" i="36"/>
  <c r="J28" i="34"/>
  <c r="AB34" i="21"/>
  <c r="H11" i="34"/>
  <c r="U11" i="34" s="1"/>
  <c r="S17" i="37"/>
  <c r="J11" i="37"/>
  <c r="AC11" i="37"/>
  <c r="AC12" i="39"/>
  <c r="AC37" i="37"/>
  <c r="F23" i="39"/>
  <c r="S23" i="39"/>
  <c r="F44" i="34"/>
  <c r="S44" i="34" s="1"/>
  <c r="J44" i="34"/>
  <c r="AC44" i="34" s="1"/>
  <c r="U31" i="37"/>
  <c r="H10" i="37"/>
  <c r="AB10" i="37"/>
  <c r="AB43" i="33"/>
  <c r="W27" i="36"/>
  <c r="U9" i="34"/>
  <c r="W40" i="34"/>
  <c r="U12" i="36"/>
  <c r="AA44" i="34"/>
  <c r="AB25" i="34"/>
  <c r="J10" i="37"/>
  <c r="H23" i="39"/>
  <c r="AB23" i="39"/>
  <c r="J11" i="34"/>
  <c r="J25" i="34"/>
  <c r="W25" i="34" s="1"/>
  <c r="U23" i="39"/>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c r="D93" i="9"/>
  <c r="D37" i="11"/>
  <c r="C37" i="11" s="1"/>
  <c r="C33" i="11" s="1"/>
  <c r="M29" i="15"/>
  <c r="P51" i="15"/>
  <c r="D10" i="11"/>
  <c r="C10" i="11" s="1"/>
  <c r="C2" i="31"/>
  <c r="I23" i="31" s="1"/>
  <c r="P60" i="15"/>
  <c r="D3" i="35"/>
  <c r="D3" i="34"/>
  <c r="D78" i="9"/>
  <c r="D94" i="57"/>
  <c r="D79" i="57"/>
  <c r="A16" i="55"/>
  <c r="B46" i="60" s="1"/>
  <c r="D3" i="33"/>
  <c r="D3" i="37"/>
  <c r="D3" i="36"/>
  <c r="C14" i="12"/>
  <c r="S9" i="40"/>
  <c r="W33" i="40"/>
  <c r="W34" i="40"/>
  <c r="AB39" i="40"/>
  <c r="J37" i="40"/>
  <c r="H35" i="40"/>
  <c r="H37" i="40"/>
  <c r="H28" i="40"/>
  <c r="U28" i="40"/>
  <c r="F28" i="40"/>
  <c r="AA28" i="40"/>
  <c r="J28" i="40"/>
  <c r="F21" i="40"/>
  <c r="AA21" i="40" s="1"/>
  <c r="H21" i="40"/>
  <c r="AB21" i="40" s="1"/>
  <c r="F90" i="40"/>
  <c r="G90" i="40" s="1"/>
  <c r="J21" i="40"/>
  <c r="W21" i="40" s="1"/>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J19" i="37"/>
  <c r="W19" i="37"/>
  <c r="F19" i="37"/>
  <c r="S19" i="37"/>
  <c r="H19" i="37"/>
  <c r="W17" i="37"/>
  <c r="AC17" i="37"/>
  <c r="AB17" i="37"/>
  <c r="J15" i="37"/>
  <c r="S10" i="37"/>
  <c r="AC21" i="37"/>
  <c r="W21" i="37"/>
  <c r="AC19" i="37"/>
  <c r="AB11" i="37"/>
  <c r="AA29" i="37"/>
  <c r="S37" i="37"/>
  <c r="W35" i="34"/>
  <c r="AB11" i="34"/>
  <c r="S38" i="34"/>
  <c r="S43" i="34"/>
  <c r="S17" i="34"/>
  <c r="AB17" i="34"/>
  <c r="W15" i="34"/>
  <c r="W31" i="34"/>
  <c r="U21" i="34"/>
  <c r="AB21" i="34"/>
  <c r="AA41" i="34"/>
  <c r="AA46" i="34"/>
  <c r="U34" i="33"/>
  <c r="U38" i="33"/>
  <c r="W37" i="33"/>
  <c r="AC41" i="33"/>
  <c r="U15"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111" i="57"/>
  <c r="D35" i="50"/>
  <c r="D14" i="50"/>
  <c r="B28" i="60" s="1"/>
  <c r="C18" i="9"/>
  <c r="D18" i="9" s="1"/>
  <c r="D22" i="15"/>
  <c r="A14" i="52"/>
  <c r="B61" i="60"/>
  <c r="C29" i="11"/>
  <c r="D27" i="11"/>
  <c r="C47" i="11"/>
  <c r="D45" i="11"/>
  <c r="Y25" i="31"/>
  <c r="A4" i="54"/>
  <c r="B6" i="60"/>
  <c r="D3" i="21"/>
  <c r="M6" i="43"/>
  <c r="M5" i="43"/>
  <c r="F81" i="43"/>
  <c r="H85" i="43" s="1"/>
  <c r="H13" i="44"/>
  <c r="G59" i="40"/>
  <c r="C59" i="40"/>
  <c r="H11" i="44"/>
  <c r="A6" i="54"/>
  <c r="B7" i="60" s="1"/>
  <c r="C51" i="10"/>
  <c r="A8" i="54"/>
  <c r="B8" i="60"/>
  <c r="F2" i="21"/>
  <c r="F2" i="34"/>
  <c r="F2" i="35"/>
  <c r="F2" i="33"/>
  <c r="S29" i="31"/>
  <c r="C109" i="9"/>
  <c r="H106" i="9" s="1"/>
  <c r="C111" i="9"/>
  <c r="H108" i="9" s="1"/>
  <c r="H105" i="9"/>
  <c r="C110" i="9"/>
  <c r="H107" i="9"/>
  <c r="D3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s="1"/>
  <c r="E70" i="43"/>
  <c r="B68" i="43" s="1"/>
  <c r="H22" i="43"/>
  <c r="AI11" i="43"/>
  <c r="AG11" i="43"/>
  <c r="AG13" i="43" s="1"/>
  <c r="AE11" i="43"/>
  <c r="AC11" i="43"/>
  <c r="AA11" i="43"/>
  <c r="Y11" i="43"/>
  <c r="Y13" i="43"/>
  <c r="AJ11" i="43"/>
  <c r="AJ13" i="43"/>
  <c r="AH11" i="43"/>
  <c r="AF11" i="43"/>
  <c r="AD11" i="43"/>
  <c r="AD13" i="43"/>
  <c r="AB11" i="43"/>
  <c r="AB13" i="43"/>
  <c r="Z11" i="43"/>
  <c r="Z7" i="43"/>
  <c r="E9" i="43"/>
  <c r="E8" i="43"/>
  <c r="C7" i="43" s="1"/>
  <c r="C5" i="43" s="1"/>
  <c r="E10" i="43"/>
  <c r="E11" i="43"/>
  <c r="C7" i="39"/>
  <c r="C68" i="39" s="1"/>
  <c r="D68" i="39" s="1"/>
  <c r="C53" i="10"/>
  <c r="D124" i="9"/>
  <c r="D7" i="52" s="1"/>
  <c r="M48" i="57"/>
  <c r="B58" i="60"/>
  <c r="L105" i="43"/>
  <c r="H105" i="43"/>
  <c r="D104" i="43"/>
  <c r="C107" i="43"/>
  <c r="A4" i="52"/>
  <c r="A124" i="57"/>
  <c r="M47" i="9"/>
  <c r="N104" i="46"/>
  <c r="J17" i="43"/>
  <c r="C7" i="21"/>
  <c r="C58" i="21" s="1"/>
  <c r="C7" i="33"/>
  <c r="C5" i="64" s="1"/>
  <c r="C7" i="37"/>
  <c r="C52" i="37" s="1"/>
  <c r="H77" i="43"/>
  <c r="I104" i="43"/>
  <c r="J109" i="43"/>
  <c r="I115" i="43"/>
  <c r="H104" i="43"/>
  <c r="D105" i="43"/>
  <c r="D102" i="43"/>
  <c r="C105" i="43"/>
  <c r="H70" i="43"/>
  <c r="D115" i="43"/>
  <c r="E115" i="43"/>
  <c r="F115" i="43" s="1"/>
  <c r="B117" i="43"/>
  <c r="C117" i="43" s="1"/>
  <c r="I107" i="43"/>
  <c r="N106" i="43"/>
  <c r="J105" i="43"/>
  <c r="G37" i="47"/>
  <c r="G19" i="43"/>
  <c r="P25" i="43" s="1"/>
  <c r="F36" i="43"/>
  <c r="C17" i="43"/>
  <c r="F35" i="43"/>
  <c r="F37" i="43"/>
  <c r="F39" i="43"/>
  <c r="K17" i="43"/>
  <c r="C7" i="34"/>
  <c r="C59" i="34" s="1"/>
  <c r="C7" i="36"/>
  <c r="C46" i="36"/>
  <c r="F38" i="43"/>
  <c r="K86" i="43"/>
  <c r="J86" i="43"/>
  <c r="D86" i="43"/>
  <c r="M87" i="43"/>
  <c r="N87" i="43" s="1"/>
  <c r="K82" i="43"/>
  <c r="J82" i="43" s="1"/>
  <c r="D82" i="43"/>
  <c r="M83" i="43"/>
  <c r="N83" i="43"/>
  <c r="H65" i="43"/>
  <c r="I116" i="43"/>
  <c r="J116" i="43" s="1"/>
  <c r="K116" i="43" s="1"/>
  <c r="L116" i="43" s="1"/>
  <c r="M116" i="43" s="1"/>
  <c r="D117" i="43"/>
  <c r="E117" i="43"/>
  <c r="F117" i="43" s="1"/>
  <c r="G117" i="43" s="1"/>
  <c r="H117" i="43" s="1"/>
  <c r="B118" i="43"/>
  <c r="C118" i="43" s="1"/>
  <c r="B116" i="43"/>
  <c r="C116" i="43" s="1"/>
  <c r="I106" i="43"/>
  <c r="E105" i="43"/>
  <c r="N104" i="43"/>
  <c r="M12" i="43"/>
  <c r="M8" i="43"/>
  <c r="N7" i="43"/>
  <c r="M3" i="43"/>
  <c r="M11" i="43"/>
  <c r="N8" i="43"/>
  <c r="H8" i="44"/>
  <c r="H12" i="44"/>
  <c r="C63" i="39"/>
  <c r="G64" i="39"/>
  <c r="C64" i="39" s="1"/>
  <c r="M85" i="43"/>
  <c r="N85" i="43" s="1"/>
  <c r="K85" i="43"/>
  <c r="J85" i="43" s="1"/>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s="1"/>
  <c r="L117" i="43" s="1"/>
  <c r="M117" i="43" s="1"/>
  <c r="D116" i="43"/>
  <c r="E116" i="43" s="1"/>
  <c r="F116" i="43" s="1"/>
  <c r="G116" i="43" s="1"/>
  <c r="H116" i="43" s="1"/>
  <c r="D118" i="43"/>
  <c r="E118" i="43"/>
  <c r="F118" i="43" s="1"/>
  <c r="G118" i="43"/>
  <c r="H118" i="43" s="1"/>
  <c r="F35" i="15"/>
  <c r="E18" i="1"/>
  <c r="C14" i="15"/>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s="1"/>
  <c r="AB40" i="34"/>
  <c r="AC23" i="34"/>
  <c r="AB28" i="34"/>
  <c r="AB37" i="34"/>
  <c r="AA45" i="34"/>
  <c r="AB45" i="34"/>
  <c r="AB35" i="34"/>
  <c r="W29" i="34"/>
  <c r="W43" i="34"/>
  <c r="U34" i="34"/>
  <c r="AC25" i="34"/>
  <c r="W44" i="34"/>
  <c r="AB44" i="34"/>
  <c r="AA33" i="34"/>
  <c r="S35" i="34"/>
  <c r="AB47" i="34"/>
  <c r="AC45" i="34"/>
  <c r="AA29" i="34"/>
  <c r="AB13" i="34"/>
  <c r="U10" i="34"/>
  <c r="AB29" i="34"/>
  <c r="U37" i="33"/>
  <c r="U19" i="33"/>
  <c r="AA28"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U21" i="40"/>
  <c r="AA17" i="40"/>
  <c r="W15" i="40"/>
  <c r="U35" i="37"/>
  <c r="AA35" i="37"/>
  <c r="AA19" i="37"/>
  <c r="M86" i="43"/>
  <c r="N86" i="43"/>
  <c r="F34" i="11"/>
  <c r="E19" i="1"/>
  <c r="D20" i="1"/>
  <c r="D18" i="1"/>
  <c r="F50" i="11"/>
  <c r="F19" i="1"/>
  <c r="F18" i="1"/>
  <c r="C11" i="12"/>
  <c r="D19" i="1"/>
  <c r="K87" i="43"/>
  <c r="J87" i="43" s="1"/>
  <c r="D87" i="43"/>
  <c r="A18" i="55"/>
  <c r="B48" i="60"/>
  <c r="C115" i="43"/>
  <c r="J22" i="43"/>
  <c r="M84" i="43"/>
  <c r="N84" i="43"/>
  <c r="K84" i="43"/>
  <c r="J84" i="43"/>
  <c r="D84" i="43"/>
  <c r="M81" i="43"/>
  <c r="N81" i="43" s="1"/>
  <c r="K81" i="43"/>
  <c r="J81" i="43" s="1"/>
  <c r="D81" i="43"/>
  <c r="M88" i="43"/>
  <c r="N88" i="43"/>
  <c r="K88" i="43"/>
  <c r="J88" i="43"/>
  <c r="D88" i="43"/>
  <c r="I113" i="57"/>
  <c r="B40" i="1"/>
  <c r="M27" i="15" s="1"/>
  <c r="C13" i="12"/>
  <c r="C36" i="11"/>
  <c r="D117" i="57"/>
  <c r="D118" i="57"/>
  <c r="I114" i="57"/>
  <c r="D131" i="57" s="1"/>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L17" i="43"/>
  <c r="O17" i="43"/>
  <c r="M17" i="43"/>
  <c r="B13" i="59"/>
  <c r="B12" i="59" s="1"/>
  <c r="B11" i="59" s="1"/>
  <c r="B10" i="59" s="1"/>
  <c r="B9" i="59" s="1"/>
  <c r="AB13" i="59"/>
  <c r="AA12" i="59"/>
  <c r="X12" i="59"/>
  <c r="AB12" i="59"/>
  <c r="AA11" i="59"/>
  <c r="Y11" i="59"/>
  <c r="Z11" i="59" s="1"/>
  <c r="Y9" i="59"/>
  <c r="Z9" i="59" s="1"/>
  <c r="AB9" i="59"/>
  <c r="AB7" i="59"/>
  <c r="X9" i="59"/>
  <c r="X7" i="59"/>
  <c r="AA9" i="59"/>
  <c r="AA7" i="59"/>
  <c r="AB8" i="59"/>
  <c r="X8" i="59"/>
  <c r="J30" i="35"/>
  <c r="W30" i="35" s="1"/>
  <c r="H30" i="35"/>
  <c r="AB30" i="35" s="1"/>
  <c r="AA30" i="35"/>
  <c r="M56" i="9"/>
  <c r="N56" i="9"/>
  <c r="N57" i="57"/>
  <c r="J57" i="57"/>
  <c r="J58" i="57" s="1"/>
  <c r="J60" i="57" s="1"/>
  <c r="J62" i="57" s="1"/>
  <c r="M57" i="57"/>
  <c r="J56" i="9"/>
  <c r="J57" i="9"/>
  <c r="J59" i="9" s="1"/>
  <c r="J61" i="9" s="1"/>
  <c r="K57" i="57"/>
  <c r="F31" i="15"/>
  <c r="F60" i="15"/>
  <c r="M17" i="15"/>
  <c r="X3" i="59"/>
  <c r="Y3" i="59"/>
  <c r="Z3" i="59" s="1"/>
  <c r="H16" i="48"/>
  <c r="D15" i="48"/>
  <c r="H76" i="43"/>
  <c r="H75" i="43"/>
  <c r="H78" i="43"/>
  <c r="H73" i="43"/>
  <c r="D5" i="48"/>
  <c r="H5" i="48"/>
  <c r="C16" i="43"/>
  <c r="D5" i="43" s="1"/>
  <c r="F48" i="43"/>
  <c r="H51" i="43" s="1"/>
  <c r="G4" i="47"/>
  <c r="S13" i="59"/>
  <c r="AC30" i="35"/>
  <c r="I115" i="57"/>
  <c r="D132" i="57" s="1"/>
  <c r="D119" i="57"/>
  <c r="I114" i="9"/>
  <c r="I112" i="9"/>
  <c r="D116" i="9"/>
  <c r="D114" i="9"/>
  <c r="D115" i="9"/>
  <c r="H15" i="48"/>
  <c r="D16" i="48"/>
  <c r="AB9" i="66"/>
  <c r="U9" i="66"/>
  <c r="H54" i="43"/>
  <c r="H52" i="43"/>
  <c r="AC32" i="40"/>
  <c r="W32" i="40"/>
  <c r="H66" i="33"/>
  <c r="I66" i="33"/>
  <c r="AF13" i="43"/>
  <c r="W40" i="40"/>
  <c r="AB37" i="37"/>
  <c r="D4" i="47"/>
  <c r="F4" i="47" s="1"/>
  <c r="B2" i="47" s="1"/>
  <c r="I100" i="43"/>
  <c r="S18" i="35"/>
  <c r="S18" i="36"/>
  <c r="C60" i="59"/>
  <c r="C56" i="59"/>
  <c r="O57" i="59"/>
  <c r="AB23" i="59"/>
  <c r="AB24" i="59"/>
  <c r="AB25" i="59"/>
  <c r="B44" i="59"/>
  <c r="B45" i="59"/>
  <c r="S45" i="59" s="1"/>
  <c r="E44" i="59"/>
  <c r="E45" i="59" s="1"/>
  <c r="U45" i="59" s="1"/>
  <c r="F44" i="59"/>
  <c r="F45" i="59"/>
  <c r="V45" i="59" s="1"/>
  <c r="E56" i="59"/>
  <c r="P56" i="59" s="1"/>
  <c r="C21" i="50"/>
  <c r="AF10" i="43"/>
  <c r="AA16" i="59"/>
  <c r="F7" i="15"/>
  <c r="F51" i="15"/>
  <c r="C50" i="15" s="1"/>
  <c r="O7" i="64"/>
  <c r="S8" i="64"/>
  <c r="Q9" i="64"/>
  <c r="S18" i="64"/>
  <c r="S40" i="66"/>
  <c r="U42" i="66"/>
  <c r="AC29" i="33"/>
  <c r="U30" i="35"/>
  <c r="AA25" i="34"/>
  <c r="S25" i="34"/>
  <c r="AC14" i="36"/>
  <c r="W14" i="36"/>
  <c r="AB44" i="39"/>
  <c r="U44" i="39"/>
  <c r="W26" i="37"/>
  <c r="AC26" i="37"/>
  <c r="AB35" i="39"/>
  <c r="U35" i="39"/>
  <c r="N107" i="43"/>
  <c r="N102" i="43"/>
  <c r="W25" i="39"/>
  <c r="AC25" i="39"/>
  <c r="F37" i="47"/>
  <c r="B35" i="47" s="1"/>
  <c r="I105" i="9"/>
  <c r="U10" i="36"/>
  <c r="AC14" i="39"/>
  <c r="AA30" i="34"/>
  <c r="U11" i="36"/>
  <c r="U25" i="35"/>
  <c r="W25" i="21"/>
  <c r="D22" i="43"/>
  <c r="S30" i="40"/>
  <c r="AA23" i="37"/>
  <c r="S28" i="37"/>
  <c r="AC45" i="39"/>
  <c r="AC13" i="36"/>
  <c r="W27" i="40"/>
  <c r="U8" i="33"/>
  <c r="H25" i="33"/>
  <c r="U25" i="33"/>
  <c r="F25" i="33"/>
  <c r="AA25" i="33"/>
  <c r="U27" i="40"/>
  <c r="C25" i="39"/>
  <c r="W31" i="39"/>
  <c r="W8" i="21"/>
  <c r="F26" i="33"/>
  <c r="AA26" i="33" s="1"/>
  <c r="W22" i="36"/>
  <c r="J9" i="21"/>
  <c r="W9" i="21" s="1"/>
  <c r="U38" i="21"/>
  <c r="AC43" i="21"/>
  <c r="B88" i="43"/>
  <c r="F9" i="21"/>
  <c r="J27" i="33"/>
  <c r="F32" i="36"/>
  <c r="S32" i="36" s="1"/>
  <c r="F44" i="39"/>
  <c r="S44" i="39" s="1"/>
  <c r="C94" i="9"/>
  <c r="C93" i="57"/>
  <c r="AA15" i="59"/>
  <c r="AB21" i="33"/>
  <c r="E68" i="59"/>
  <c r="E67" i="59" s="1"/>
  <c r="U61" i="59"/>
  <c r="AB21" i="59"/>
  <c r="B28" i="59"/>
  <c r="E27" i="59"/>
  <c r="E28" i="59"/>
  <c r="E29" i="59" s="1"/>
  <c r="U29" i="59" s="1"/>
  <c r="F40" i="59"/>
  <c r="F41" i="59"/>
  <c r="V41" i="59" s="1"/>
  <c r="C12" i="50"/>
  <c r="AJ10" i="43"/>
  <c r="AB10" i="43"/>
  <c r="L1" i="61"/>
  <c r="M7" i="15"/>
  <c r="Q8" i="64"/>
  <c r="Q20" i="64"/>
  <c r="O10" i="65"/>
  <c r="J32" i="64"/>
  <c r="S27" i="66"/>
  <c r="W41" i="66"/>
  <c r="H39" i="66"/>
  <c r="AB39" i="66" s="1"/>
  <c r="H23" i="66"/>
  <c r="AB23" i="66" s="1"/>
  <c r="J27" i="66"/>
  <c r="J10" i="66"/>
  <c r="AC10" i="66"/>
  <c r="C21" i="65"/>
  <c r="E19" i="65"/>
  <c r="W23" i="66"/>
  <c r="F32" i="33"/>
  <c r="AA32" i="33" s="1"/>
  <c r="H32" i="33"/>
  <c r="AB32" i="33"/>
  <c r="C12" i="12"/>
  <c r="S33" i="33"/>
  <c r="S25" i="33"/>
  <c r="C95" i="57"/>
  <c r="C92" i="9"/>
  <c r="P23" i="43"/>
  <c r="M50" i="57"/>
  <c r="D130" i="57"/>
  <c r="AA24" i="36"/>
  <c r="S24" i="36"/>
  <c r="S37" i="34"/>
  <c r="AB17" i="21"/>
  <c r="U17" i="21"/>
  <c r="S32" i="37"/>
  <c r="AA32" i="37"/>
  <c r="W25" i="35"/>
  <c r="AC25" i="35"/>
  <c r="S19" i="33"/>
  <c r="AA19" i="33"/>
  <c r="W19" i="34"/>
  <c r="AC19" i="34"/>
  <c r="W34" i="37"/>
  <c r="AC34" i="37"/>
  <c r="AA11" i="40"/>
  <c r="S11" i="40"/>
  <c r="F101" i="33"/>
  <c r="G101" i="33" s="1"/>
  <c r="H101" i="33" s="1"/>
  <c r="I101" i="33" s="1"/>
  <c r="J101" i="33" s="1"/>
  <c r="K101" i="33" s="1"/>
  <c r="L101" i="33" s="1"/>
  <c r="M101" i="33" s="1"/>
  <c r="J32" i="33"/>
  <c r="W32" i="33" s="1"/>
  <c r="W13" i="34"/>
  <c r="AC13" i="34"/>
  <c r="U23" i="35"/>
  <c r="AB23" i="35"/>
  <c r="U19" i="37"/>
  <c r="AB19" i="37"/>
  <c r="F64" i="15"/>
  <c r="C63" i="15"/>
  <c r="C34" i="15"/>
  <c r="W28" i="34"/>
  <c r="AC28" i="34"/>
  <c r="AA40" i="40"/>
  <c r="S40" i="40"/>
  <c r="W38" i="40"/>
  <c r="AC38" i="40"/>
  <c r="AA27" i="21"/>
  <c r="S27" i="21"/>
  <c r="C113" i="57"/>
  <c r="H108" i="57" s="1"/>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S46" i="33"/>
  <c r="S28" i="36"/>
  <c r="AA28" i="36"/>
  <c r="AC33" i="35"/>
  <c r="W33" i="35"/>
  <c r="AC10" i="35"/>
  <c r="W10" i="35"/>
  <c r="AC25" i="33"/>
  <c r="W25" i="33"/>
  <c r="AB36" i="40"/>
  <c r="U36" i="40"/>
  <c r="W33" i="36"/>
  <c r="AC33" i="36"/>
  <c r="W33" i="21"/>
  <c r="AC33" i="21"/>
  <c r="AC27" i="37"/>
  <c r="W27" i="37"/>
  <c r="J33" i="37"/>
  <c r="H99" i="37"/>
  <c r="I99" i="37" s="1"/>
  <c r="J99" i="37" s="1"/>
  <c r="K99" i="37" s="1"/>
  <c r="L99" i="37" s="1"/>
  <c r="M99" i="37" s="1"/>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H64" i="43"/>
  <c r="H67" i="43"/>
  <c r="W21" i="34"/>
  <c r="S21" i="40"/>
  <c r="B49" i="43"/>
  <c r="C15" i="39"/>
  <c r="U33" i="33"/>
  <c r="S34" i="34"/>
  <c r="AB27" i="34"/>
  <c r="AA27" i="34"/>
  <c r="U9" i="39"/>
  <c r="AB37" i="39"/>
  <c r="U23" i="40"/>
  <c r="H88" i="43"/>
  <c r="H82" i="43"/>
  <c r="C9" i="11"/>
  <c r="S417" i="31"/>
  <c r="S509" i="31"/>
  <c r="S17" i="21"/>
  <c r="AC26" i="21"/>
  <c r="AA39" i="21"/>
  <c r="W9" i="33"/>
  <c r="AB41" i="34"/>
  <c r="AC39" i="34"/>
  <c r="W11" i="37"/>
  <c r="AB10" i="35"/>
  <c r="W28" i="36"/>
  <c r="AC26" i="36"/>
  <c r="AC16" i="36"/>
  <c r="AC24" i="36"/>
  <c r="AC11" i="39"/>
  <c r="AB13" i="39"/>
  <c r="AC15" i="39"/>
  <c r="S21" i="39"/>
  <c r="AA19" i="40"/>
  <c r="AC27" i="21"/>
  <c r="AC40" i="37"/>
  <c r="AB38" i="40"/>
  <c r="AB15" i="37"/>
  <c r="AA40" i="21"/>
  <c r="H34" i="35"/>
  <c r="U41" i="33"/>
  <c r="U25" i="36"/>
  <c r="J12" i="36"/>
  <c r="AA16" i="36"/>
  <c r="W44" i="21"/>
  <c r="T259" i="31"/>
  <c r="S23" i="21"/>
  <c r="S23" i="34"/>
  <c r="S28" i="34"/>
  <c r="S15" i="39"/>
  <c r="H42" i="33"/>
  <c r="U42" i="33" s="1"/>
  <c r="AC11" i="36"/>
  <c r="H14" i="39"/>
  <c r="H35" i="35"/>
  <c r="AB35" i="35" s="1"/>
  <c r="F47" i="34"/>
  <c r="H31" i="34"/>
  <c r="J14" i="33"/>
  <c r="F32" i="34"/>
  <c r="U34" i="37"/>
  <c r="H23" i="33"/>
  <c r="AB23" i="33" s="1"/>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s="1"/>
  <c r="AC9" i="21"/>
  <c r="W29" i="39"/>
  <c r="AC29" i="39"/>
  <c r="AC34" i="34"/>
  <c r="W34" i="34"/>
  <c r="AA39" i="34"/>
  <c r="S39" i="34"/>
  <c r="AA8" i="35"/>
  <c r="S8" i="35"/>
  <c r="F27" i="33"/>
  <c r="S27" i="33" s="1"/>
  <c r="W23" i="33"/>
  <c r="S15" i="34"/>
  <c r="AB29" i="35"/>
  <c r="F15" i="47"/>
  <c r="B13" i="47"/>
  <c r="W38" i="37"/>
  <c r="AA36" i="37"/>
  <c r="S36" i="37"/>
  <c r="F42" i="33"/>
  <c r="AA42" i="33" s="1"/>
  <c r="AB31" i="33"/>
  <c r="U31" i="33"/>
  <c r="H10" i="33"/>
  <c r="F12" i="21"/>
  <c r="H12" i="21"/>
  <c r="AB12" i="21" s="1"/>
  <c r="E85" i="33"/>
  <c r="F85" i="33" s="1"/>
  <c r="G85" i="33" s="1"/>
  <c r="F29" i="33"/>
  <c r="AA29" i="33" s="1"/>
  <c r="H29" i="33"/>
  <c r="U29" i="33" s="1"/>
  <c r="F14" i="34"/>
  <c r="H14" i="34"/>
  <c r="AB22" i="36"/>
  <c r="U22" i="36"/>
  <c r="U29" i="36"/>
  <c r="H9" i="37"/>
  <c r="J9" i="37"/>
  <c r="H14" i="37"/>
  <c r="J14" i="37"/>
  <c r="AC8" i="39"/>
  <c r="F36" i="39"/>
  <c r="J36" i="39"/>
  <c r="H25" i="37"/>
  <c r="J25" i="37"/>
  <c r="T456" i="31"/>
  <c r="S456" i="31"/>
  <c r="C108" i="43"/>
  <c r="C109" i="43"/>
  <c r="C100" i="43"/>
  <c r="N108" i="43"/>
  <c r="N109" i="43" s="1"/>
  <c r="N100" i="43"/>
  <c r="S57" i="59"/>
  <c r="N57" i="59"/>
  <c r="B56" i="59"/>
  <c r="S65" i="59"/>
  <c r="AH10" i="43"/>
  <c r="AH12" i="43"/>
  <c r="AH13" i="43" s="1"/>
  <c r="X7" i="64"/>
  <c r="Q7" i="64"/>
  <c r="AA8" i="66"/>
  <c r="S8" i="66"/>
  <c r="K108" i="43"/>
  <c r="K100" i="43"/>
  <c r="F108" i="43"/>
  <c r="F109" i="43" s="1"/>
  <c r="F100" i="43"/>
  <c r="AB21" i="37"/>
  <c r="U21" i="37"/>
  <c r="H100" i="43"/>
  <c r="D100" i="43"/>
  <c r="D108" i="43"/>
  <c r="L100" i="43"/>
  <c r="L108" i="43"/>
  <c r="I20" i="58"/>
  <c r="C55" i="59"/>
  <c r="O56" i="59"/>
  <c r="F17" i="59"/>
  <c r="AB17" i="59"/>
  <c r="D39" i="59"/>
  <c r="C40" i="59"/>
  <c r="V61" i="59"/>
  <c r="F60" i="59"/>
  <c r="F59" i="59"/>
  <c r="F25" i="66"/>
  <c r="S25" i="66"/>
  <c r="H25" i="66"/>
  <c r="E87" i="66"/>
  <c r="F87" i="66" s="1"/>
  <c r="G87" i="66" s="1"/>
  <c r="H87" i="66" s="1"/>
  <c r="I87" i="66" s="1"/>
  <c r="J87" i="66" s="1"/>
  <c r="K87" i="66" s="1"/>
  <c r="L87" i="66" s="1"/>
  <c r="M87" i="66" s="1"/>
  <c r="J25" i="66"/>
  <c r="J28" i="66"/>
  <c r="H28" i="66"/>
  <c r="U28" i="66" s="1"/>
  <c r="F101" i="66"/>
  <c r="G101" i="66" s="1"/>
  <c r="H101" i="66" s="1"/>
  <c r="I101" i="66" s="1"/>
  <c r="J101" i="66" s="1"/>
  <c r="K101" i="66" s="1"/>
  <c r="L101" i="66" s="1"/>
  <c r="M101" i="66" s="1"/>
  <c r="J32" i="66"/>
  <c r="AC32" i="66" s="1"/>
  <c r="F45" i="66"/>
  <c r="S45" i="66" s="1"/>
  <c r="U25" i="31"/>
  <c r="C35" i="57" s="1"/>
  <c r="D124" i="57" s="1"/>
  <c r="E108" i="43"/>
  <c r="E109" i="43"/>
  <c r="M108" i="43"/>
  <c r="M109" i="43"/>
  <c r="C48" i="59"/>
  <c r="D48" i="59"/>
  <c r="D47" i="59"/>
  <c r="S61" i="59"/>
  <c r="B60" i="59"/>
  <c r="B59" i="59"/>
  <c r="B68" i="59"/>
  <c r="B67" i="59"/>
  <c r="S69" i="59"/>
  <c r="V69" i="59"/>
  <c r="F68" i="59"/>
  <c r="F67" i="59"/>
  <c r="Z10" i="43"/>
  <c r="Z12" i="43"/>
  <c r="Z13" i="43" s="1"/>
  <c r="AB27" i="66"/>
  <c r="U27" i="66"/>
  <c r="AC15" i="66"/>
  <c r="W15" i="66"/>
  <c r="J13" i="66"/>
  <c r="F13" i="66"/>
  <c r="H13" i="66"/>
  <c r="I10" i="58"/>
  <c r="AA21" i="21"/>
  <c r="S21" i="21"/>
  <c r="S21" i="34"/>
  <c r="AA21" i="34"/>
  <c r="AA3" i="59"/>
  <c r="AB38" i="66"/>
  <c r="U38" i="66"/>
  <c r="AB43" i="66"/>
  <c r="U43" i="66"/>
  <c r="C44" i="59"/>
  <c r="C36" i="59"/>
  <c r="D36" i="59" s="1"/>
  <c r="X20" i="59"/>
  <c r="X21" i="59"/>
  <c r="X27" i="59"/>
  <c r="B32" i="59"/>
  <c r="B33" i="59"/>
  <c r="S33" i="59" s="1"/>
  <c r="E40" i="59"/>
  <c r="E41" i="59" s="1"/>
  <c r="U41" i="59" s="1"/>
  <c r="C52" i="59"/>
  <c r="U57" i="59"/>
  <c r="C14" i="50"/>
  <c r="AD10" i="43"/>
  <c r="S10" i="66"/>
  <c r="U23" i="66"/>
  <c r="U31" i="66"/>
  <c r="H37" i="66"/>
  <c r="AB37" i="66" s="1"/>
  <c r="I15" i="58"/>
  <c r="S25" i="40"/>
  <c r="AA17" i="59"/>
  <c r="AA19" i="59"/>
  <c r="AA20" i="59"/>
  <c r="AA21" i="59"/>
  <c r="X22" i="59"/>
  <c r="X23" i="59"/>
  <c r="X24" i="59"/>
  <c r="AA27" i="59"/>
  <c r="B36" i="59"/>
  <c r="B37" i="59" s="1"/>
  <c r="S37" i="59" s="1"/>
  <c r="E48" i="59"/>
  <c r="E49" i="59"/>
  <c r="U49" i="59" s="1"/>
  <c r="AA9" i="66"/>
  <c r="AA30" i="66"/>
  <c r="AC38" i="66"/>
  <c r="B29" i="59"/>
  <c r="S29" i="59"/>
  <c r="AB26" i="59"/>
  <c r="AB27" i="59"/>
  <c r="B40" i="59"/>
  <c r="B41" i="59"/>
  <c r="S41" i="59" s="1"/>
  <c r="J52" i="15"/>
  <c r="L60" i="15" s="1"/>
  <c r="H36" i="66"/>
  <c r="U36" i="66"/>
  <c r="S44" i="66"/>
  <c r="W37" i="66"/>
  <c r="S37" i="66"/>
  <c r="W35" i="66"/>
  <c r="S43" i="66"/>
  <c r="AB46" i="66"/>
  <c r="S32" i="66"/>
  <c r="U17" i="66"/>
  <c r="W10" i="66"/>
  <c r="H11" i="66"/>
  <c r="J11" i="66"/>
  <c r="U44" i="33"/>
  <c r="AC45" i="33"/>
  <c r="W42" i="33"/>
  <c r="AA35" i="33"/>
  <c r="AC27" i="33"/>
  <c r="W27" i="33"/>
  <c r="AA27" i="33"/>
  <c r="AB27" i="33"/>
  <c r="S17" i="33"/>
  <c r="F7" i="48"/>
  <c r="H7" i="48" s="1"/>
  <c r="B4" i="48"/>
  <c r="D4" i="48" s="1"/>
  <c r="B22" i="48"/>
  <c r="D22" i="48" s="1"/>
  <c r="M105" i="43"/>
  <c r="C6" i="15"/>
  <c r="D3" i="66"/>
  <c r="H33" i="66"/>
  <c r="C58" i="33"/>
  <c r="D58" i="33"/>
  <c r="E58" i="33" s="1"/>
  <c r="D127" i="9"/>
  <c r="H49" i="43"/>
  <c r="AB37" i="40"/>
  <c r="U37" i="40"/>
  <c r="H106" i="43"/>
  <c r="H107" i="43"/>
  <c r="H103" i="43"/>
  <c r="H109" i="43"/>
  <c r="H102" i="43"/>
  <c r="K104" i="43"/>
  <c r="K105" i="43"/>
  <c r="K109" i="43"/>
  <c r="K106" i="43"/>
  <c r="K102" i="43"/>
  <c r="K107" i="43"/>
  <c r="K103" i="43"/>
  <c r="C109" i="57"/>
  <c r="H103" i="57"/>
  <c r="C115" i="57"/>
  <c r="H111" i="57"/>
  <c r="B106" i="57"/>
  <c r="C117" i="57"/>
  <c r="H113" i="57" s="1"/>
  <c r="B104" i="57"/>
  <c r="C119" i="57"/>
  <c r="H115" i="57"/>
  <c r="U23" i="21"/>
  <c r="AB23" i="21"/>
  <c r="AC21" i="21"/>
  <c r="W21" i="21"/>
  <c r="H48" i="43"/>
  <c r="U16" i="36"/>
  <c r="AB16" i="36"/>
  <c r="AA27" i="37"/>
  <c r="S27" i="37"/>
  <c r="AA24" i="35"/>
  <c r="S24" i="35"/>
  <c r="AC39" i="33"/>
  <c r="W39" i="33"/>
  <c r="S14" i="37"/>
  <c r="AA14" i="37"/>
  <c r="U30" i="21"/>
  <c r="AB30" i="21"/>
  <c r="C34" i="11"/>
  <c r="J115" i="43"/>
  <c r="K115" i="43"/>
  <c r="L115" i="43" s="1"/>
  <c r="M115" i="43" s="1"/>
  <c r="AC15" i="37"/>
  <c r="W15" i="37"/>
  <c r="U19" i="34"/>
  <c r="AB19" i="34"/>
  <c r="E81" i="43"/>
  <c r="B79" i="43" s="1"/>
  <c r="D46" i="36"/>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s="1"/>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U35" i="35"/>
  <c r="S13" i="35"/>
  <c r="AA13" i="35"/>
  <c r="AB46" i="33"/>
  <c r="U46" i="33"/>
  <c r="AB30" i="33"/>
  <c r="U30" i="33"/>
  <c r="AB32" i="36"/>
  <c r="U32" i="36"/>
  <c r="AB46" i="34"/>
  <c r="U46" i="34"/>
  <c r="AA31" i="33"/>
  <c r="S31" i="33"/>
  <c r="AC36" i="21"/>
  <c r="W36" i="21"/>
  <c r="AA42" i="21"/>
  <c r="S42" i="21"/>
  <c r="AA8" i="33"/>
  <c r="S8" i="33"/>
  <c r="U12" i="33"/>
  <c r="AB12" i="33"/>
  <c r="AC35" i="33"/>
  <c r="W35" i="33"/>
  <c r="L64" i="57"/>
  <c r="M64" i="57" s="1"/>
  <c r="M70" i="57" s="1"/>
  <c r="N70" i="57" s="1"/>
  <c r="AA15" i="40"/>
  <c r="S20" i="35"/>
  <c r="T28" i="31"/>
  <c r="S28" i="31"/>
  <c r="C106" i="43"/>
  <c r="C102" i="43"/>
  <c r="C104" i="43"/>
  <c r="C103" i="43"/>
  <c r="U14" i="40"/>
  <c r="AB14" i="40"/>
  <c r="W35" i="40"/>
  <c r="AC35" i="40"/>
  <c r="U14" i="21"/>
  <c r="AB14" i="21"/>
  <c r="AB38" i="34"/>
  <c r="U38" i="34"/>
  <c r="S27" i="40"/>
  <c r="AA27" i="40"/>
  <c r="AC34" i="33"/>
  <c r="W34" i="33"/>
  <c r="AC10" i="37"/>
  <c r="W10" i="37"/>
  <c r="AA12" i="37"/>
  <c r="S12" i="37"/>
  <c r="AB23" i="34"/>
  <c r="U23" i="34"/>
  <c r="W46" i="33"/>
  <c r="AC46" i="33"/>
  <c r="S14" i="33"/>
  <c r="AA14" i="33"/>
  <c r="AB32" i="34"/>
  <c r="U32" i="34"/>
  <c r="AC20" i="35"/>
  <c r="W20" i="35"/>
  <c r="U8" i="21"/>
  <c r="AB8" i="21"/>
  <c r="H45" i="33"/>
  <c r="U45" i="33" s="1"/>
  <c r="F45" i="33"/>
  <c r="J12" i="35"/>
  <c r="F12" i="35"/>
  <c r="H12" i="35"/>
  <c r="F111" i="33"/>
  <c r="H36" i="33" s="1"/>
  <c r="AC21" i="40"/>
  <c r="U15" i="40"/>
  <c r="U10" i="37"/>
  <c r="AA27" i="36"/>
  <c r="S27" i="36"/>
  <c r="H72" i="43"/>
  <c r="H74" i="43"/>
  <c r="H39" i="33"/>
  <c r="F39" i="33"/>
  <c r="F117" i="33"/>
  <c r="G117" i="33"/>
  <c r="AC17" i="21"/>
  <c r="W17" i="21"/>
  <c r="F26" i="47"/>
  <c r="B24" i="47"/>
  <c r="W36" i="40"/>
  <c r="AC36" i="40"/>
  <c r="U14" i="39"/>
  <c r="AB14" i="39"/>
  <c r="U13" i="35"/>
  <c r="AB13" i="35"/>
  <c r="AC30" i="33"/>
  <c r="W30" i="33"/>
  <c r="AB36" i="37"/>
  <c r="U36" i="37"/>
  <c r="AA45" i="39"/>
  <c r="S45" i="39"/>
  <c r="S37" i="21"/>
  <c r="AA37" i="21"/>
  <c r="C21" i="39"/>
  <c r="B71" i="43"/>
  <c r="S38" i="33"/>
  <c r="AA38"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U12" i="21"/>
  <c r="U33" i="21"/>
  <c r="AB33" i="21"/>
  <c r="AC38" i="34"/>
  <c r="W38" i="34"/>
  <c r="F33" i="37"/>
  <c r="H33" i="37"/>
  <c r="J43" i="33"/>
  <c r="F43" i="33"/>
  <c r="E125" i="33"/>
  <c r="F125" i="33" s="1"/>
  <c r="G125" i="33" s="1"/>
  <c r="AA15" i="33"/>
  <c r="AB30" i="36"/>
  <c r="W31" i="35"/>
  <c r="J36" i="35"/>
  <c r="H36" i="35"/>
  <c r="AB12" i="37"/>
  <c r="F36" i="35"/>
  <c r="S25" i="37"/>
  <c r="F12" i="40"/>
  <c r="J17" i="33"/>
  <c r="W17" i="33" s="1"/>
  <c r="W8" i="35"/>
  <c r="T499" i="31"/>
  <c r="S499" i="31"/>
  <c r="T32" i="31"/>
  <c r="S32" i="31"/>
  <c r="F12" i="34"/>
  <c r="H12" i="34"/>
  <c r="J9" i="35"/>
  <c r="F9" i="35"/>
  <c r="H9" i="35"/>
  <c r="J23" i="36"/>
  <c r="F23" i="36"/>
  <c r="V57" i="59"/>
  <c r="F56" i="59"/>
  <c r="Q57" i="59"/>
  <c r="X30" i="64"/>
  <c r="Q30" i="64"/>
  <c r="X18" i="64"/>
  <c r="Q18" i="64"/>
  <c r="X10" i="64"/>
  <c r="Q10" i="64"/>
  <c r="W18" i="64"/>
  <c r="O18" i="64"/>
  <c r="N42" i="64"/>
  <c r="R42" i="64"/>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s="1"/>
  <c r="X19" i="59"/>
  <c r="B20" i="59"/>
  <c r="B21" i="59"/>
  <c r="S21" i="59" s="1"/>
  <c r="X16" i="59"/>
  <c r="D52" i="59"/>
  <c r="C53" i="59"/>
  <c r="E64" i="59"/>
  <c r="E63" i="59"/>
  <c r="U65" i="59"/>
  <c r="E13" i="59"/>
  <c r="AA13" i="59"/>
  <c r="AB22" i="59"/>
  <c r="AB20" i="59"/>
  <c r="AB16" i="59"/>
  <c r="AB18" i="59"/>
  <c r="AB3" i="59"/>
  <c r="AB19" i="59"/>
  <c r="F23" i="59"/>
  <c r="F24" i="59" s="1"/>
  <c r="F25" i="59" s="1"/>
  <c r="V25" i="59" s="1"/>
  <c r="AB14" i="59"/>
  <c r="Y26" i="59"/>
  <c r="Z26" i="59"/>
  <c r="Y24" i="59"/>
  <c r="Z24" i="59"/>
  <c r="Y14" i="59"/>
  <c r="Z14" i="59"/>
  <c r="Y16" i="59"/>
  <c r="Z16" i="59"/>
  <c r="C27" i="59"/>
  <c r="AA12" i="43"/>
  <c r="AA13" i="43" s="1"/>
  <c r="AA10" i="43"/>
  <c r="AI12" i="43"/>
  <c r="AI13" i="43"/>
  <c r="AI10" i="43"/>
  <c r="C30" i="58"/>
  <c r="C32" i="58"/>
  <c r="S21" i="37"/>
  <c r="Y17" i="59"/>
  <c r="Z17" i="59"/>
  <c r="Y22" i="59"/>
  <c r="Z22" i="59"/>
  <c r="Y23" i="59"/>
  <c r="Z23" i="59"/>
  <c r="Y25" i="59"/>
  <c r="Z25" i="59"/>
  <c r="C32" i="59"/>
  <c r="D31" i="59"/>
  <c r="C68" i="59"/>
  <c r="T69" i="59"/>
  <c r="X13" i="59"/>
  <c r="E36" i="59"/>
  <c r="E37" i="59" s="1"/>
  <c r="U37" i="59" s="1"/>
  <c r="AE10" i="43"/>
  <c r="AE12" i="43"/>
  <c r="AE13" i="43" s="1"/>
  <c r="P72" i="15"/>
  <c r="P59" i="15"/>
  <c r="X14" i="59"/>
  <c r="X5" i="59"/>
  <c r="X6" i="59"/>
  <c r="J6" i="15"/>
  <c r="D55" i="59"/>
  <c r="D56" i="59"/>
  <c r="E17" i="59"/>
  <c r="C76" i="59"/>
  <c r="X17" i="59"/>
  <c r="C17" i="59"/>
  <c r="Y15" i="59"/>
  <c r="Z15" i="59" s="1"/>
  <c r="E24" i="59"/>
  <c r="E25" i="59" s="1"/>
  <c r="U25" i="59" s="1"/>
  <c r="F48" i="59"/>
  <c r="F49" i="59"/>
  <c r="V49" i="59" s="1"/>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s="1"/>
  <c r="V29" i="59" s="1"/>
  <c r="X26" i="59"/>
  <c r="X18" i="59"/>
  <c r="X11" i="59"/>
  <c r="X10" i="59"/>
  <c r="AA10" i="59"/>
  <c r="H22" i="65"/>
  <c r="F32" i="15"/>
  <c r="F61" i="15"/>
  <c r="M18" i="15"/>
  <c r="C7" i="66"/>
  <c r="C58" i="66" s="1"/>
  <c r="D58" i="66" s="1"/>
  <c r="E58" i="66" s="1"/>
  <c r="B13" i="1"/>
  <c r="Y7" i="59"/>
  <c r="Z7" i="59"/>
  <c r="Y6" i="59"/>
  <c r="Z6" i="59"/>
  <c r="Y32" i="64"/>
  <c r="S32" i="64"/>
  <c r="Y20" i="64"/>
  <c r="S20" i="64"/>
  <c r="S9" i="64"/>
  <c r="Y9" i="64"/>
  <c r="W35" i="64"/>
  <c r="O35" i="64"/>
  <c r="AA14" i="66"/>
  <c r="S14" i="66"/>
  <c r="AA17" i="66"/>
  <c r="S17" i="66"/>
  <c r="AA19" i="66"/>
  <c r="S19" i="66"/>
  <c r="T13" i="59"/>
  <c r="Y10" i="59"/>
  <c r="Z10" i="59" s="1"/>
  <c r="F30" i="1"/>
  <c r="AA8" i="59"/>
  <c r="AA5" i="59"/>
  <c r="AA6" i="59"/>
  <c r="Y34" i="64"/>
  <c r="S34" i="64"/>
  <c r="W33" i="64"/>
  <c r="O33" i="64"/>
  <c r="H33" i="64"/>
  <c r="AA21" i="66"/>
  <c r="S21" i="66"/>
  <c r="AA14" i="59"/>
  <c r="C64" i="59"/>
  <c r="AA18" i="59"/>
  <c r="C23" i="59"/>
  <c r="C12" i="59"/>
  <c r="Y12" i="59"/>
  <c r="Z12" i="59" s="1"/>
  <c r="Y8" i="59"/>
  <c r="Z8" i="59" s="1"/>
  <c r="S30" i="64"/>
  <c r="Y33" i="64"/>
  <c r="S33" i="64"/>
  <c r="Y10" i="64"/>
  <c r="R37" i="64"/>
  <c r="S10" i="64"/>
  <c r="P42" i="64"/>
  <c r="W16" i="64"/>
  <c r="O16" i="64"/>
  <c r="W9" i="64"/>
  <c r="O9" i="64"/>
  <c r="AA15" i="66"/>
  <c r="S15" i="66"/>
  <c r="AA23" i="66"/>
  <c r="S23" i="66"/>
  <c r="AB14" i="66"/>
  <c r="AB28" i="66"/>
  <c r="AC33" i="66"/>
  <c r="W33" i="66"/>
  <c r="U37" i="66"/>
  <c r="U40" i="66"/>
  <c r="AA41" i="66"/>
  <c r="C23" i="43"/>
  <c r="C21" i="43" s="1"/>
  <c r="S28" i="66"/>
  <c r="W40" i="66"/>
  <c r="W46" i="66"/>
  <c r="AA39" i="66"/>
  <c r="S39" i="66"/>
  <c r="J39" i="66"/>
  <c r="W39" i="66"/>
  <c r="W29" i="66"/>
  <c r="F29" i="66"/>
  <c r="W30" i="66"/>
  <c r="U32" i="66"/>
  <c r="U35" i="66"/>
  <c r="F36" i="66"/>
  <c r="S36" i="66" s="1"/>
  <c r="J36" i="66"/>
  <c r="S38" i="66"/>
  <c r="U44" i="66"/>
  <c r="AA45" i="66"/>
  <c r="H29" i="66"/>
  <c r="F33" i="66"/>
  <c r="S33" i="66" s="1"/>
  <c r="W43" i="66"/>
  <c r="N37" i="64"/>
  <c r="C59" i="59"/>
  <c r="D59" i="59"/>
  <c r="D60" i="59"/>
  <c r="N60" i="15"/>
  <c r="AA23" i="33"/>
  <c r="S42" i="66"/>
  <c r="W42" i="66"/>
  <c r="U39" i="66"/>
  <c r="AB25" i="33"/>
  <c r="U45" i="66"/>
  <c r="E26" i="58"/>
  <c r="AA9" i="21"/>
  <c r="S9" i="21"/>
  <c r="C49" i="59"/>
  <c r="AC27" i="66"/>
  <c r="W27" i="66"/>
  <c r="D31" i="50"/>
  <c r="D32" i="50"/>
  <c r="D10" i="50"/>
  <c r="D123" i="9"/>
  <c r="U32" i="33"/>
  <c r="AB36" i="66"/>
  <c r="AA25" i="66"/>
  <c r="S42" i="33"/>
  <c r="S13" i="66"/>
  <c r="AA13" i="66"/>
  <c r="AB25" i="66"/>
  <c r="U25" i="66"/>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S12" i="21"/>
  <c r="AA12" i="21"/>
  <c r="AC39" i="37"/>
  <c r="W39" i="37"/>
  <c r="AB46" i="21"/>
  <c r="U46" i="21"/>
  <c r="S32" i="34"/>
  <c r="AA32" i="34"/>
  <c r="AC33" i="37"/>
  <c r="W33" i="37"/>
  <c r="AC25" i="66"/>
  <c r="W25" i="66"/>
  <c r="B55" i="59"/>
  <c r="N56" i="59"/>
  <c r="AA36" i="39"/>
  <c r="S36" i="39"/>
  <c r="W9" i="37"/>
  <c r="AC9" i="37"/>
  <c r="S29" i="33"/>
  <c r="AB10" i="33"/>
  <c r="U10" i="33"/>
  <c r="W46" i="21"/>
  <c r="AC46" i="21"/>
  <c r="AC14" i="33"/>
  <c r="W14" i="33"/>
  <c r="AB13" i="66"/>
  <c r="U13" i="66"/>
  <c r="AC25" i="37"/>
  <c r="W25" i="37"/>
  <c r="AB9" i="37"/>
  <c r="U9" i="37"/>
  <c r="U14" i="34"/>
  <c r="AB14" i="34"/>
  <c r="AA31" i="40"/>
  <c r="S31" i="40"/>
  <c r="U39" i="37"/>
  <c r="AB39" i="37"/>
  <c r="W30" i="21"/>
  <c r="AC30" i="21"/>
  <c r="AB31" i="34"/>
  <c r="U31" i="34"/>
  <c r="U34" i="35"/>
  <c r="AB34" i="35"/>
  <c r="L69" i="57"/>
  <c r="M69" i="57" s="1"/>
  <c r="L65" i="57"/>
  <c r="M65" i="57" s="1"/>
  <c r="L68" i="57"/>
  <c r="M68" i="57" s="1"/>
  <c r="L67" i="57"/>
  <c r="M67" i="57" s="1"/>
  <c r="L66" i="57"/>
  <c r="M66" i="57" s="1"/>
  <c r="C32" i="15"/>
  <c r="S26" i="66"/>
  <c r="AB11" i="66"/>
  <c r="U11" i="66"/>
  <c r="AC11" i="66"/>
  <c r="W11" i="66"/>
  <c r="S6" i="43"/>
  <c r="S5" i="43"/>
  <c r="S4" i="43"/>
  <c r="S2" i="43"/>
  <c r="S7" i="43"/>
  <c r="S3" i="43"/>
  <c r="AB33" i="66"/>
  <c r="U33" i="66"/>
  <c r="AA33" i="66"/>
  <c r="AC9" i="35"/>
  <c r="W9" i="35"/>
  <c r="AA36" i="66"/>
  <c r="C24" i="59"/>
  <c r="D24" i="59" s="1"/>
  <c r="D23" i="59"/>
  <c r="H25" i="65"/>
  <c r="E24" i="65"/>
  <c r="C22" i="65"/>
  <c r="P54" i="59"/>
  <c r="P55" i="59"/>
  <c r="T17" i="59"/>
  <c r="C16" i="59"/>
  <c r="D17" i="59"/>
  <c r="D32" i="59"/>
  <c r="C33" i="59"/>
  <c r="T33" i="59" s="1"/>
  <c r="F55" i="59"/>
  <c r="Q56" i="59"/>
  <c r="AB9" i="35"/>
  <c r="U9" i="35"/>
  <c r="AA12" i="34"/>
  <c r="S12" i="34"/>
  <c r="AC36" i="35"/>
  <c r="W36" i="35"/>
  <c r="AA33" i="37"/>
  <c r="S33" i="37"/>
  <c r="AA39" i="33"/>
  <c r="S39" i="33"/>
  <c r="S12" i="35"/>
  <c r="AA12" i="35"/>
  <c r="AC45" i="21"/>
  <c r="W45" i="21"/>
  <c r="AC29" i="21"/>
  <c r="W29" i="21"/>
  <c r="C15" i="15"/>
  <c r="C18" i="15"/>
  <c r="C16" i="15"/>
  <c r="C28" i="59"/>
  <c r="D27" i="59"/>
  <c r="AA39" i="40"/>
  <c r="S39" i="40"/>
  <c r="AA9" i="35"/>
  <c r="S9" i="35"/>
  <c r="S36" i="35"/>
  <c r="AA36" i="35"/>
  <c r="S43" i="33"/>
  <c r="AA43" i="33"/>
  <c r="AB39" i="33"/>
  <c r="U39" i="33"/>
  <c r="W12" i="35"/>
  <c r="AC12" i="35"/>
  <c r="S45" i="21"/>
  <c r="AA45" i="21"/>
  <c r="S13" i="21"/>
  <c r="AA13" i="21"/>
  <c r="H14" i="62"/>
  <c r="B7" i="62" s="1"/>
  <c r="D10" i="52"/>
  <c r="AB29" i="66"/>
  <c r="U29" i="66"/>
  <c r="D64" i="59"/>
  <c r="C63" i="59"/>
  <c r="D63" i="59" s="1"/>
  <c r="X33" i="64"/>
  <c r="P37" i="64" s="1"/>
  <c r="Q33" i="64"/>
  <c r="D76" i="59"/>
  <c r="C75" i="59"/>
  <c r="D75" i="59"/>
  <c r="D68" i="59"/>
  <c r="C67" i="59"/>
  <c r="D67" i="59" s="1"/>
  <c r="D41" i="59"/>
  <c r="T41" i="59"/>
  <c r="AC39" i="40"/>
  <c r="W39" i="40"/>
  <c r="AA23" i="36"/>
  <c r="S23" i="36"/>
  <c r="W43" i="33"/>
  <c r="AC43" i="33"/>
  <c r="G111" i="33"/>
  <c r="H111" i="33" s="1"/>
  <c r="I111" i="33" s="1"/>
  <c r="J111" i="33" s="1"/>
  <c r="K111" i="33" s="1"/>
  <c r="L111" i="33" s="1"/>
  <c r="M111" i="33" s="1"/>
  <c r="F36" i="33"/>
  <c r="J36" i="33"/>
  <c r="W36" i="33" s="1"/>
  <c r="S45" i="33"/>
  <c r="AA45" i="33"/>
  <c r="S25" i="31"/>
  <c r="R25" i="31"/>
  <c r="B24" i="31" s="1"/>
  <c r="B3" i="31" s="1"/>
  <c r="C34" i="57" s="1"/>
  <c r="I124" i="57" s="1"/>
  <c r="AB29" i="21"/>
  <c r="U29" i="21"/>
  <c r="U13" i="21"/>
  <c r="AB13" i="21"/>
  <c r="AC36" i="66"/>
  <c r="W36" i="66"/>
  <c r="C48" i="11"/>
  <c r="C78" i="57"/>
  <c r="C75" i="57" s="1"/>
  <c r="C30" i="11"/>
  <c r="C77" i="9"/>
  <c r="C74" i="9" s="1"/>
  <c r="C24" i="12"/>
  <c r="C29" i="12" s="1"/>
  <c r="D28" i="12" s="1"/>
  <c r="C28" i="15"/>
  <c r="T53" i="59"/>
  <c r="D53" i="59"/>
  <c r="AA29" i="66"/>
  <c r="S29" i="66"/>
  <c r="D12" i="59"/>
  <c r="C11" i="59"/>
  <c r="L49" i="15"/>
  <c r="L57" i="15" s="1"/>
  <c r="B14" i="1"/>
  <c r="J10" i="40" s="1"/>
  <c r="I20" i="43"/>
  <c r="U17" i="59"/>
  <c r="E16" i="59"/>
  <c r="E15" i="59" s="1"/>
  <c r="J18" i="15"/>
  <c r="E12" i="59"/>
  <c r="E11" i="59"/>
  <c r="E10" i="59" s="1"/>
  <c r="E9" i="59" s="1"/>
  <c r="U13" i="59"/>
  <c r="D20" i="59"/>
  <c r="C21" i="59"/>
  <c r="W23" i="36"/>
  <c r="AC23" i="36"/>
  <c r="AB12" i="34"/>
  <c r="U12" i="34"/>
  <c r="AA12" i="40"/>
  <c r="S12" i="40"/>
  <c r="AB36" i="35"/>
  <c r="U36" i="35"/>
  <c r="U33" i="37"/>
  <c r="AB33" i="37"/>
  <c r="U12" i="35"/>
  <c r="AB12" i="35"/>
  <c r="AB45" i="21"/>
  <c r="U45" i="21"/>
  <c r="AA29" i="21"/>
  <c r="S29" i="21"/>
  <c r="W13" i="21"/>
  <c r="AC13" i="21"/>
  <c r="E46" i="36"/>
  <c r="F46" i="36" s="1"/>
  <c r="C35" i="11"/>
  <c r="C38" i="11"/>
  <c r="N40" i="64"/>
  <c r="K106" i="9"/>
  <c r="D6" i="52"/>
  <c r="T49" i="59"/>
  <c r="D49" i="59"/>
  <c r="D11" i="50"/>
  <c r="B25" i="60"/>
  <c r="B23" i="60"/>
  <c r="N55" i="59"/>
  <c r="N54" i="59"/>
  <c r="C19" i="15"/>
  <c r="C20" i="15" s="1"/>
  <c r="B23" i="31"/>
  <c r="B2" i="31" s="1"/>
  <c r="C33" i="57" s="1"/>
  <c r="H124" i="57" s="1"/>
  <c r="Q55" i="59"/>
  <c r="Q54" i="59"/>
  <c r="C15" i="59"/>
  <c r="D15" i="59" s="1"/>
  <c r="D16" i="59"/>
  <c r="D21" i="59"/>
  <c r="T21" i="59"/>
  <c r="D33" i="59"/>
  <c r="E25" i="65"/>
  <c r="J10" i="39"/>
  <c r="AC10" i="39" s="1"/>
  <c r="H10" i="39"/>
  <c r="AB10" i="39" s="1"/>
  <c r="F10" i="39"/>
  <c r="S10" i="39" s="1"/>
  <c r="S36" i="33"/>
  <c r="AA36" i="33"/>
  <c r="D11" i="59"/>
  <c r="C10" i="59"/>
  <c r="AC36" i="33"/>
  <c r="C29" i="59"/>
  <c r="M19" i="43" s="1"/>
  <c r="D28" i="59"/>
  <c r="C25" i="59"/>
  <c r="D25" i="59" s="1"/>
  <c r="T25" i="59"/>
  <c r="AA10" i="39"/>
  <c r="W10" i="39"/>
  <c r="U10" i="39"/>
  <c r="D10" i="59"/>
  <c r="C9" i="59"/>
  <c r="C8" i="59" s="1"/>
  <c r="T9" i="59"/>
  <c r="B8" i="48"/>
  <c r="D8" i="48" s="1"/>
  <c r="AC39" i="66"/>
  <c r="F13" i="48"/>
  <c r="H13" i="48" s="1"/>
  <c r="F11" i="48"/>
  <c r="H11" i="48" s="1"/>
  <c r="F9" i="48"/>
  <c r="H9" i="48" s="1"/>
  <c r="F21" i="48"/>
  <c r="H21" i="48" s="1"/>
  <c r="W44" i="33"/>
  <c r="C23" i="12"/>
  <c r="C31" i="12"/>
  <c r="C18" i="12"/>
  <c r="R41" i="64"/>
  <c r="R40" i="64"/>
  <c r="D9" i="59"/>
  <c r="L59" i="15"/>
  <c r="D44" i="59"/>
  <c r="C45" i="59"/>
  <c r="D1" i="58"/>
  <c r="E10" i="58" s="1"/>
  <c r="F16" i="59"/>
  <c r="F15" i="59" s="1"/>
  <c r="V17" i="59"/>
  <c r="D41" i="50"/>
  <c r="B63" i="60"/>
  <c r="I113" i="9"/>
  <c r="H55" i="43"/>
  <c r="H53" i="43"/>
  <c r="H50" i="43"/>
  <c r="H56" i="43"/>
  <c r="C15" i="12"/>
  <c r="C16" i="12" s="1"/>
  <c r="C21" i="12" s="1"/>
  <c r="G17" i="43"/>
  <c r="S14" i="21"/>
  <c r="AA14" i="21"/>
  <c r="AB9" i="21"/>
  <c r="U9" i="21"/>
  <c r="AA10" i="33"/>
  <c r="S10" i="33"/>
  <c r="AA9" i="34"/>
  <c r="S9" i="34"/>
  <c r="M60" i="15"/>
  <c r="D18" i="50"/>
  <c r="M49" i="9"/>
  <c r="L67" i="9" s="1"/>
  <c r="M67" i="9" s="1"/>
  <c r="D39" i="50"/>
  <c r="D40" i="50"/>
  <c r="D21" i="50"/>
  <c r="B33" i="60" s="1"/>
  <c r="D42" i="50"/>
  <c r="D43" i="50" s="1"/>
  <c r="D129" i="9"/>
  <c r="D12" i="52" s="1"/>
  <c r="C70" i="39"/>
  <c r="AB9" i="33"/>
  <c r="U9" i="33"/>
  <c r="P24" i="43"/>
  <c r="B66" i="40" s="1"/>
  <c r="P22" i="43"/>
  <c r="P21" i="43"/>
  <c r="B71" i="39" s="1"/>
  <c r="O19" i="43"/>
  <c r="W17" i="40"/>
  <c r="AB17" i="40"/>
  <c r="S15" i="37"/>
  <c r="U27" i="36"/>
  <c r="W17" i="34"/>
  <c r="AC36" i="37"/>
  <c r="AB21" i="39"/>
  <c r="AB32" i="40"/>
  <c r="J10" i="33"/>
  <c r="G109" i="43"/>
  <c r="F12" i="59"/>
  <c r="F11" i="59"/>
  <c r="F10" i="59" s="1"/>
  <c r="F9" i="59" s="1"/>
  <c r="V13" i="59"/>
  <c r="C71" i="59"/>
  <c r="D71" i="59" s="1"/>
  <c r="D72" i="59"/>
  <c r="C13" i="50"/>
  <c r="B20" i="60"/>
  <c r="O30" i="64"/>
  <c r="Q35" i="64"/>
  <c r="U34" i="66"/>
  <c r="C9" i="65"/>
  <c r="C13" i="65" s="1"/>
  <c r="C12" i="65"/>
  <c r="C10" i="65"/>
  <c r="J26" i="66"/>
  <c r="W26" i="66" s="1"/>
  <c r="H26" i="66"/>
  <c r="U26" i="66" s="1"/>
  <c r="J45" i="66"/>
  <c r="W45" i="66" s="1"/>
  <c r="AC10" i="33"/>
  <c r="W10" i="33"/>
  <c r="I14" i="62"/>
  <c r="B8" i="62" s="1"/>
  <c r="D22" i="50"/>
  <c r="B35" i="60" s="1"/>
  <c r="T45" i="59"/>
  <c r="D45" i="59"/>
  <c r="Q58" i="15"/>
  <c r="Q71" i="15"/>
  <c r="AC45" i="66"/>
  <c r="E68" i="39"/>
  <c r="E70" i="39" s="1"/>
  <c r="D70" i="39"/>
  <c r="D19" i="50"/>
  <c r="B32" i="60" s="1"/>
  <c r="B31" i="60"/>
  <c r="D128" i="9"/>
  <c r="D11" i="52"/>
  <c r="D20" i="50"/>
  <c r="F68" i="39"/>
  <c r="G68" i="39" s="1"/>
  <c r="F5" i="61"/>
  <c r="D3" i="61"/>
  <c r="C20" i="57"/>
  <c r="F4" i="61"/>
  <c r="F6" i="61"/>
  <c r="E2" i="34"/>
  <c r="E2" i="35"/>
  <c r="D19" i="57"/>
  <c r="E2" i="21"/>
  <c r="F7" i="61"/>
  <c r="D7" i="61"/>
  <c r="E2" i="36"/>
  <c r="C19" i="9"/>
  <c r="D20" i="57"/>
  <c r="F3" i="61"/>
  <c r="D4" i="61"/>
  <c r="C19" i="57"/>
  <c r="E2" i="37"/>
  <c r="E2" i="11"/>
  <c r="E2" i="33"/>
  <c r="D20" i="9"/>
  <c r="D19" i="9"/>
  <c r="C20" i="9"/>
  <c r="D5" i="61"/>
  <c r="H23" i="31"/>
  <c r="D6" i="61"/>
  <c r="E2" i="66"/>
  <c r="F8" i="59" l="1"/>
  <c r="F7" i="59" s="1"/>
  <c r="F6" i="59" s="1"/>
  <c r="F5" i="59" s="1"/>
  <c r="V9" i="59"/>
  <c r="C22" i="12"/>
  <c r="C30" i="12" s="1"/>
  <c r="C28" i="12" s="1"/>
  <c r="C7" i="59"/>
  <c r="D8" i="59"/>
  <c r="N38" i="64"/>
  <c r="N39" i="64" s="1"/>
  <c r="P41" i="64"/>
  <c r="N41" i="64"/>
  <c r="P40" i="64"/>
  <c r="H68" i="39"/>
  <c r="G70" i="39"/>
  <c r="C8" i="62"/>
  <c r="D8" i="62"/>
  <c r="C14" i="65"/>
  <c r="C20" i="65" s="1"/>
  <c r="C19" i="65" s="1"/>
  <c r="I103" i="57"/>
  <c r="H125" i="57"/>
  <c r="D109" i="57"/>
  <c r="C106" i="57"/>
  <c r="E8" i="59"/>
  <c r="E7" i="59" s="1"/>
  <c r="E6" i="59" s="1"/>
  <c r="E5" i="59" s="1"/>
  <c r="U9" i="59"/>
  <c r="C107" i="57"/>
  <c r="D110" i="57"/>
  <c r="I104" i="57"/>
  <c r="AB36" i="33"/>
  <c r="U36" i="33"/>
  <c r="B8" i="59"/>
  <c r="B7" i="59" s="1"/>
  <c r="B6" i="59" s="1"/>
  <c r="B5" i="59" s="1"/>
  <c r="S9" i="59"/>
  <c r="S28" i="21"/>
  <c r="AA28" i="21"/>
  <c r="C7" i="62"/>
  <c r="D7" i="62"/>
  <c r="E124" i="57"/>
  <c r="D125" i="57"/>
  <c r="C19" i="43"/>
  <c r="G115" i="43"/>
  <c r="H115" i="43" s="1"/>
  <c r="C39" i="11"/>
  <c r="C46" i="11"/>
  <c r="C45" i="11" s="1"/>
  <c r="W12" i="21"/>
  <c r="AC12" i="21"/>
  <c r="F70" i="39"/>
  <c r="L68" i="9"/>
  <c r="M68" i="9" s="1"/>
  <c r="L65" i="9"/>
  <c r="M65" i="9" s="1"/>
  <c r="L64" i="9"/>
  <c r="M64" i="9" s="1"/>
  <c r="L63" i="9"/>
  <c r="M63" i="9" s="1"/>
  <c r="M69" i="9" s="1"/>
  <c r="N69" i="9" s="1"/>
  <c r="L66" i="9"/>
  <c r="M66" i="9" s="1"/>
  <c r="J61" i="15"/>
  <c r="Q46" i="15" s="1"/>
  <c r="D29" i="59"/>
  <c r="C26" i="15"/>
  <c r="T29" i="59"/>
  <c r="J60" i="15"/>
  <c r="S26" i="37"/>
  <c r="H9" i="36"/>
  <c r="J9" i="36"/>
  <c r="F9" i="36"/>
  <c r="V27" i="31"/>
  <c r="V25" i="31" s="1"/>
  <c r="X27" i="31"/>
  <c r="X25" i="31" s="1"/>
  <c r="C36" i="57" s="1"/>
  <c r="F124" i="57" s="1"/>
  <c r="S21" i="33"/>
  <c r="AC31" i="66"/>
  <c r="W31" i="66"/>
  <c r="U23" i="33"/>
  <c r="S46" i="66"/>
  <c r="W32" i="66"/>
  <c r="AC26" i="66"/>
  <c r="AB26" i="66"/>
  <c r="AB29" i="33"/>
  <c r="AA44" i="33"/>
  <c r="AB42" i="33"/>
  <c r="AB45" i="33"/>
  <c r="AC32" i="33"/>
  <c r="S32" i="33"/>
  <c r="AB26" i="33"/>
  <c r="S26" i="33"/>
  <c r="W26" i="33"/>
  <c r="AC17" i="33"/>
  <c r="F8" i="48"/>
  <c r="H8" i="48" s="1"/>
  <c r="B9" i="48"/>
  <c r="D9" i="48" s="1"/>
  <c r="F6" i="48"/>
  <c r="H6" i="48" s="1"/>
  <c r="F14" i="48"/>
  <c r="H14" i="48" s="1"/>
  <c r="B13" i="48"/>
  <c r="D13" i="48" s="1"/>
  <c r="F22" i="48"/>
  <c r="H22" i="48" s="1"/>
  <c r="F4" i="48"/>
  <c r="H4" i="48" s="1"/>
  <c r="F10" i="48"/>
  <c r="H10" i="48" s="1"/>
  <c r="B10" i="48"/>
  <c r="B11" i="48"/>
  <c r="D11" i="48" s="1"/>
  <c r="B14" i="48"/>
  <c r="D14" i="48" s="1"/>
  <c r="B7" i="48"/>
  <c r="D7" i="48" s="1"/>
  <c r="U17" i="33"/>
  <c r="G46" i="36"/>
  <c r="W10" i="40"/>
  <c r="AC10" i="40"/>
  <c r="E48" i="35"/>
  <c r="F48" i="35" s="1"/>
  <c r="G48" i="35" s="1"/>
  <c r="H48" i="35" s="1"/>
  <c r="I48" i="35" s="1"/>
  <c r="J48" i="35" s="1"/>
  <c r="K48" i="35" s="1"/>
  <c r="L48" i="35" s="1"/>
  <c r="M48" i="35" s="1"/>
  <c r="N48" i="35" s="1"/>
  <c r="O48" i="35" s="1"/>
  <c r="H7" i="35"/>
  <c r="C65" i="40"/>
  <c r="D63" i="40"/>
  <c r="F58" i="66"/>
  <c r="G58" i="66" s="1"/>
  <c r="H58" i="66" s="1"/>
  <c r="I58" i="66" s="1"/>
  <c r="J58" i="66" s="1"/>
  <c r="K58" i="66" s="1"/>
  <c r="L58" i="66" s="1"/>
  <c r="M58" i="66" s="1"/>
  <c r="N58" i="66" s="1"/>
  <c r="O58" i="66" s="1"/>
  <c r="H7" i="66"/>
  <c r="F58" i="33"/>
  <c r="Q59" i="15"/>
  <c r="Q72" i="15"/>
  <c r="D59" i="34"/>
  <c r="D52" i="37"/>
  <c r="J7" i="21"/>
  <c r="D58" i="21"/>
  <c r="E58" i="21" s="1"/>
  <c r="F58" i="21" s="1"/>
  <c r="G58" i="21" s="1"/>
  <c r="H58" i="21" s="1"/>
  <c r="I58" i="21" s="1"/>
  <c r="J58" i="21" s="1"/>
  <c r="K58" i="21" s="1"/>
  <c r="L58" i="21" s="1"/>
  <c r="M58" i="21" s="1"/>
  <c r="N58" i="21" s="1"/>
  <c r="O58" i="21" s="1"/>
  <c r="H7" i="21"/>
  <c r="F7" i="21"/>
  <c r="F10" i="40"/>
  <c r="H10" i="40"/>
  <c r="J54" i="15"/>
  <c r="J58" i="15"/>
  <c r="J56" i="15" s="1"/>
  <c r="J59" i="15" s="1"/>
  <c r="Q48" i="15" s="1"/>
  <c r="I55" i="15"/>
  <c r="D103" i="57"/>
  <c r="D101" i="9"/>
  <c r="G19" i="9"/>
  <c r="C101" i="9"/>
  <c r="D22" i="9"/>
  <c r="D102" i="9"/>
  <c r="C102" i="57"/>
  <c r="D22" i="57"/>
  <c r="G19" i="57"/>
  <c r="I1" i="61"/>
  <c r="B30" i="1" s="1"/>
  <c r="E20" i="43"/>
  <c r="G20" i="57"/>
  <c r="C103" i="57"/>
  <c r="G20" i="9"/>
  <c r="C32" i="9" s="1"/>
  <c r="C102" i="9"/>
  <c r="D102" i="57"/>
  <c r="D6" i="48"/>
  <c r="C3" i="4"/>
  <c r="G1" i="61"/>
  <c r="F125" i="57" l="1"/>
  <c r="G124" i="57"/>
  <c r="S9" i="36"/>
  <c r="AA9" i="36"/>
  <c r="AB9" i="36"/>
  <c r="U9" i="36"/>
  <c r="D113" i="43"/>
  <c r="AC9" i="36"/>
  <c r="W9" i="36"/>
  <c r="D115" i="57"/>
  <c r="D116" i="57" s="1"/>
  <c r="I112" i="57" s="1"/>
  <c r="D129" i="57" s="1"/>
  <c r="D120" i="57"/>
  <c r="I116" i="57" s="1"/>
  <c r="I111" i="57"/>
  <c r="D128" i="57" s="1"/>
  <c r="D46" i="57"/>
  <c r="M49" i="57"/>
  <c r="H70" i="39"/>
  <c r="I68" i="39"/>
  <c r="C6" i="59"/>
  <c r="D7" i="59"/>
  <c r="E27" i="1"/>
  <c r="E3" i="4"/>
  <c r="B5" i="55" s="1"/>
  <c r="B55" i="60" s="1"/>
  <c r="D10" i="48"/>
  <c r="U10" i="40"/>
  <c r="AB10" i="40"/>
  <c r="AA7" i="21"/>
  <c r="R48" i="21" s="1"/>
  <c r="S7" i="21"/>
  <c r="E52" i="37"/>
  <c r="G58" i="33"/>
  <c r="J7" i="66"/>
  <c r="F7" i="66"/>
  <c r="J7" i="35"/>
  <c r="F7" i="35"/>
  <c r="H46" i="36"/>
  <c r="B33" i="1"/>
  <c r="F41" i="15" s="1"/>
  <c r="F70" i="15" s="1"/>
  <c r="Q50" i="15"/>
  <c r="AA10" i="40"/>
  <c r="S10" i="40"/>
  <c r="AB7" i="21"/>
  <c r="T48" i="21" s="1"/>
  <c r="G48" i="21" s="1"/>
  <c r="U7" i="21"/>
  <c r="W7" i="21"/>
  <c r="AC7" i="21"/>
  <c r="V48" i="21" s="1"/>
  <c r="I48" i="21" s="1"/>
  <c r="E59" i="34"/>
  <c r="F59" i="34" s="1"/>
  <c r="G59" i="34" s="1"/>
  <c r="H59" i="34" s="1"/>
  <c r="I59" i="34" s="1"/>
  <c r="J59" i="34" s="1"/>
  <c r="K59" i="34" s="1"/>
  <c r="L59" i="34" s="1"/>
  <c r="M59" i="34" s="1"/>
  <c r="N59" i="34" s="1"/>
  <c r="O59" i="34" s="1"/>
  <c r="F7" i="34"/>
  <c r="U7" i="66"/>
  <c r="AB7" i="66"/>
  <c r="T48" i="66" s="1"/>
  <c r="G48" i="66" s="1"/>
  <c r="E63" i="40"/>
  <c r="D65" i="40"/>
  <c r="AB7" i="35"/>
  <c r="T38" i="35" s="1"/>
  <c r="G38" i="35" s="1"/>
  <c r="U7" i="35"/>
  <c r="B4" i="55"/>
  <c r="B53" i="60" s="1"/>
  <c r="M28" i="43"/>
  <c r="G20" i="43" s="1"/>
  <c r="P28" i="43"/>
  <c r="O28" i="43"/>
  <c r="N28" i="43"/>
  <c r="I121" i="9"/>
  <c r="C105" i="57"/>
  <c r="C104" i="57"/>
  <c r="F11" i="15"/>
  <c r="M11" i="15"/>
  <c r="J10" i="15" s="1"/>
  <c r="J5" i="15" s="1"/>
  <c r="F25" i="12"/>
  <c r="F24" i="15"/>
  <c r="I18" i="65"/>
  <c r="F22" i="11"/>
  <c r="D6" i="59" l="1"/>
  <c r="C5" i="59"/>
  <c r="C65" i="57"/>
  <c r="C64" i="57" s="1"/>
  <c r="C68" i="57" s="1"/>
  <c r="C69" i="57" s="1"/>
  <c r="D55" i="57" s="1"/>
  <c r="C86" i="57"/>
  <c r="C96" i="57" s="1"/>
  <c r="C73" i="57"/>
  <c r="C79" i="57"/>
  <c r="C74" i="57" s="1"/>
  <c r="C94" i="57"/>
  <c r="C87" i="57" s="1"/>
  <c r="D54" i="57"/>
  <c r="D49" i="57" s="1"/>
  <c r="M53" i="57" s="1"/>
  <c r="D56" i="57"/>
  <c r="M54" i="57" s="1"/>
  <c r="D53" i="57"/>
  <c r="I70" i="39"/>
  <c r="J68" i="39"/>
  <c r="B18" i="49"/>
  <c r="B4" i="60" s="1"/>
  <c r="AA7" i="34"/>
  <c r="R49" i="34" s="1"/>
  <c r="S7" i="34"/>
  <c r="I52" i="21"/>
  <c r="J52" i="21" s="1"/>
  <c r="G42" i="35"/>
  <c r="H42" i="35" s="1"/>
  <c r="F63" i="40"/>
  <c r="E65" i="40"/>
  <c r="G53" i="21"/>
  <c r="H53" i="21" s="1"/>
  <c r="G52" i="21"/>
  <c r="H52" i="21" s="1"/>
  <c r="I46" i="36"/>
  <c r="AC7" i="35"/>
  <c r="V38" i="35" s="1"/>
  <c r="I38" i="35" s="1"/>
  <c r="G43" i="35" s="1"/>
  <c r="H43" i="35" s="1"/>
  <c r="W7" i="35"/>
  <c r="AA7" i="66"/>
  <c r="R48" i="66" s="1"/>
  <c r="S7" i="66"/>
  <c r="H58" i="33"/>
  <c r="F52" i="37"/>
  <c r="R49" i="21"/>
  <c r="E48" i="21"/>
  <c r="G52" i="66"/>
  <c r="H52" i="66" s="1"/>
  <c r="AA7" i="35"/>
  <c r="R38" i="35" s="1"/>
  <c r="S7" i="35"/>
  <c r="AC7" i="66"/>
  <c r="V48" i="66" s="1"/>
  <c r="I48" i="66" s="1"/>
  <c r="G53" i="66" s="1"/>
  <c r="H53" i="66" s="1"/>
  <c r="W7" i="66"/>
  <c r="H7" i="34"/>
  <c r="J7" i="34"/>
  <c r="C26" i="11"/>
  <c r="D22" i="11" s="1"/>
  <c r="C42" i="11"/>
  <c r="C44" i="11"/>
  <c r="D41" i="11" s="1"/>
  <c r="C43" i="11"/>
  <c r="C24" i="11"/>
  <c r="C23" i="15"/>
  <c r="C24" i="15"/>
  <c r="J26" i="15"/>
  <c r="J29" i="15" s="1"/>
  <c r="J24" i="15"/>
  <c r="I4" i="52"/>
  <c r="H121" i="9"/>
  <c r="D107" i="9"/>
  <c r="I103" i="9"/>
  <c r="C104" i="9"/>
  <c r="C18" i="65"/>
  <c r="E16" i="65" s="1"/>
  <c r="C17" i="65"/>
  <c r="C27" i="12"/>
  <c r="C25" i="12" s="1"/>
  <c r="C26" i="12"/>
  <c r="D25" i="12" s="1"/>
  <c r="C54" i="15"/>
  <c r="C49" i="15" s="1"/>
  <c r="C10" i="15"/>
  <c r="C5" i="15" s="1"/>
  <c r="E41" i="43"/>
  <c r="C41" i="43" s="1"/>
  <c r="C20" i="43"/>
  <c r="C80" i="57" l="1"/>
  <c r="D5" i="59"/>
  <c r="M20" i="43"/>
  <c r="J70" i="39"/>
  <c r="K68" i="39"/>
  <c r="C97" i="57"/>
  <c r="E97" i="57" s="1"/>
  <c r="E98" i="57" s="1"/>
  <c r="C98" i="57"/>
  <c r="D59" i="57" s="1"/>
  <c r="D57" i="57" s="1"/>
  <c r="M55" i="57" s="1"/>
  <c r="N58" i="57" s="1"/>
  <c r="AC7" i="34"/>
  <c r="V49" i="34" s="1"/>
  <c r="I49" i="34" s="1"/>
  <c r="W7" i="34"/>
  <c r="R39" i="35"/>
  <c r="E38" i="35"/>
  <c r="I43" i="35" s="1"/>
  <c r="J43" i="35" s="1"/>
  <c r="C48" i="21"/>
  <c r="C49" i="21"/>
  <c r="B2" i="21" s="1"/>
  <c r="B3" i="21" s="1"/>
  <c r="G52" i="37"/>
  <c r="I58" i="33"/>
  <c r="E48" i="66"/>
  <c r="R49" i="66"/>
  <c r="J46" i="36"/>
  <c r="G63" i="40"/>
  <c r="F65" i="40"/>
  <c r="R50" i="34"/>
  <c r="E49" i="34"/>
  <c r="U7" i="34"/>
  <c r="AB7" i="34"/>
  <c r="T49" i="34" s="1"/>
  <c r="G49" i="34" s="1"/>
  <c r="I52" i="66"/>
  <c r="J52" i="66" s="1"/>
  <c r="I53" i="66"/>
  <c r="J53" i="66" s="1"/>
  <c r="E52" i="21"/>
  <c r="F52" i="21" s="1"/>
  <c r="E53" i="21"/>
  <c r="F53" i="21" s="1"/>
  <c r="I42" i="35"/>
  <c r="J42" i="35" s="1"/>
  <c r="I53" i="21"/>
  <c r="J53" i="21" s="1"/>
  <c r="C38" i="15"/>
  <c r="C39" i="43"/>
  <c r="C38" i="43"/>
  <c r="C67" i="15"/>
  <c r="C61" i="15"/>
  <c r="C32" i="12"/>
  <c r="D30" i="50"/>
  <c r="D9" i="50"/>
  <c r="B21" i="60" s="1"/>
  <c r="H122" i="9"/>
  <c r="H5" i="52" s="1"/>
  <c r="I102" i="9"/>
  <c r="C103" i="9"/>
  <c r="D106" i="9"/>
  <c r="D112" i="9" s="1"/>
  <c r="H4" i="52"/>
  <c r="C29" i="15"/>
  <c r="C41" i="11"/>
  <c r="C49" i="11" s="1"/>
  <c r="C51" i="11" s="1"/>
  <c r="T3" i="43"/>
  <c r="V3" i="43" s="1"/>
  <c r="C29" i="43"/>
  <c r="C33" i="43"/>
  <c r="T6" i="43"/>
  <c r="V6" i="43" s="1"/>
  <c r="T15" i="43"/>
  <c r="V15" i="43" s="1"/>
  <c r="T7" i="43"/>
  <c r="V7" i="43" s="1"/>
  <c r="T16" i="43"/>
  <c r="V16" i="43" s="1"/>
  <c r="T4" i="43"/>
  <c r="V4" i="43" s="1"/>
  <c r="T5" i="43"/>
  <c r="V5" i="43" s="1"/>
  <c r="C36" i="43"/>
  <c r="C37" i="43"/>
  <c r="T9" i="43"/>
  <c r="V9" i="43" s="1"/>
  <c r="T2" i="43"/>
  <c r="V2" i="43" s="1"/>
  <c r="T12" i="43"/>
  <c r="V12" i="43" s="1"/>
  <c r="T8" i="43"/>
  <c r="V8" i="43" s="1"/>
  <c r="C35" i="43"/>
  <c r="T14" i="43"/>
  <c r="V14" i="43" s="1"/>
  <c r="T11" i="43"/>
  <c r="V11" i="43" s="1"/>
  <c r="C34" i="43"/>
  <c r="T10" i="43"/>
  <c r="V10" i="43" s="1"/>
  <c r="T13" i="43"/>
  <c r="V13" i="43" s="1"/>
  <c r="C16" i="65"/>
  <c r="C23" i="65"/>
  <c r="P58" i="57" l="1"/>
  <c r="N60" i="57"/>
  <c r="N59" i="57"/>
  <c r="L68" i="39"/>
  <c r="K70" i="39"/>
  <c r="C82" i="57"/>
  <c r="C81" i="57"/>
  <c r="E81" i="57" s="1"/>
  <c r="E82" i="57" s="1"/>
  <c r="C49" i="34"/>
  <c r="C50" i="34"/>
  <c r="B2" i="34" s="1"/>
  <c r="B3" i="34" s="1"/>
  <c r="H63" i="40"/>
  <c r="G65" i="40"/>
  <c r="K46" i="36"/>
  <c r="E53" i="66"/>
  <c r="F53" i="66" s="1"/>
  <c r="E52" i="66"/>
  <c r="F52" i="66" s="1"/>
  <c r="H52" i="37"/>
  <c r="C39" i="35"/>
  <c r="C38" i="35"/>
  <c r="I53" i="34"/>
  <c r="J53" i="34" s="1"/>
  <c r="I54" i="34"/>
  <c r="J54" i="34" s="1"/>
  <c r="G53" i="34"/>
  <c r="H53" i="34" s="1"/>
  <c r="G54" i="34"/>
  <c r="H54" i="34" s="1"/>
  <c r="E53" i="34"/>
  <c r="F53" i="34" s="1"/>
  <c r="E54" i="34"/>
  <c r="F54" i="34" s="1"/>
  <c r="C49" i="66"/>
  <c r="C48" i="66"/>
  <c r="J58" i="33"/>
  <c r="E43" i="35"/>
  <c r="F43" i="35" s="1"/>
  <c r="E42" i="35"/>
  <c r="F42" i="35" s="1"/>
  <c r="E35" i="43"/>
  <c r="G35" i="43"/>
  <c r="I35" i="43" s="1"/>
  <c r="G36" i="43"/>
  <c r="I36" i="43" s="1"/>
  <c r="E36" i="43"/>
  <c r="C7" i="65"/>
  <c r="C27" i="65" s="1"/>
  <c r="C26" i="65"/>
  <c r="G34" i="43"/>
  <c r="I34" i="43" s="1"/>
  <c r="E34" i="43"/>
  <c r="E37" i="43"/>
  <c r="G37" i="43"/>
  <c r="I37" i="43" s="1"/>
  <c r="G33" i="43"/>
  <c r="I33" i="43" s="1"/>
  <c r="E33" i="43"/>
  <c r="J14" i="15"/>
  <c r="C33" i="15"/>
  <c r="C31" i="15" s="1"/>
  <c r="J19" i="15"/>
  <c r="J17" i="15" s="1"/>
  <c r="C13" i="15"/>
  <c r="Q47" i="15"/>
  <c r="C36" i="15"/>
  <c r="C58" i="15"/>
  <c r="D117" i="9"/>
  <c r="D113" i="9"/>
  <c r="D45" i="9"/>
  <c r="D28" i="50"/>
  <c r="D29" i="50" s="1"/>
  <c r="I110" i="9"/>
  <c r="M48" i="9"/>
  <c r="D7" i="50"/>
  <c r="B2" i="12"/>
  <c r="B3" i="12"/>
  <c r="E38" i="43"/>
  <c r="G38" i="43"/>
  <c r="I38" i="43" s="1"/>
  <c r="C30" i="43"/>
  <c r="E30" i="43" s="1"/>
  <c r="E29" i="43"/>
  <c r="G39" i="43"/>
  <c r="I39" i="43" s="1"/>
  <c r="E39" i="43"/>
  <c r="M68" i="39" l="1"/>
  <c r="L70" i="39"/>
  <c r="N62" i="57"/>
  <c r="N61" i="57"/>
  <c r="L46" i="36"/>
  <c r="I63" i="40"/>
  <c r="H65" i="40"/>
  <c r="K58" i="33"/>
  <c r="B3" i="66"/>
  <c r="B2" i="66"/>
  <c r="C3" i="65" s="1"/>
  <c r="B3" i="35"/>
  <c r="B2" i="35"/>
  <c r="I52" i="37"/>
  <c r="J52" i="37" s="1"/>
  <c r="K52" i="37" s="1"/>
  <c r="L52" i="37" s="1"/>
  <c r="M52" i="37" s="1"/>
  <c r="N52" i="37" s="1"/>
  <c r="O52" i="37" s="1"/>
  <c r="F7" i="37" s="1"/>
  <c r="H7" i="37"/>
  <c r="J7" i="37"/>
  <c r="C6" i="11"/>
  <c r="C26" i="43"/>
  <c r="B2" i="43" s="1"/>
  <c r="B3" i="43" s="1"/>
  <c r="I111" i="9"/>
  <c r="D38" i="50"/>
  <c r="B62" i="60" s="1"/>
  <c r="C62" i="15"/>
  <c r="C60" i="15" s="1"/>
  <c r="C65" i="15"/>
  <c r="C27" i="43"/>
  <c r="D8" i="50"/>
  <c r="B22" i="60" s="1"/>
  <c r="B19" i="60"/>
  <c r="D15" i="50"/>
  <c r="D36" i="50"/>
  <c r="D37" i="50" s="1"/>
  <c r="D125" i="9"/>
  <c r="D59" i="9"/>
  <c r="M55" i="9" s="1"/>
  <c r="C64" i="9"/>
  <c r="C63" i="9" s="1"/>
  <c r="C67" i="9" s="1"/>
  <c r="C68" i="9" s="1"/>
  <c r="D54" i="9" s="1"/>
  <c r="D53" i="9"/>
  <c r="D48" i="9" s="1"/>
  <c r="M52" i="9" s="1"/>
  <c r="D52" i="9"/>
  <c r="C93" i="9"/>
  <c r="C86" i="9" s="1"/>
  <c r="C78" i="9"/>
  <c r="C73" i="9" s="1"/>
  <c r="C85" i="9"/>
  <c r="D55" i="9"/>
  <c r="M53" i="9" s="1"/>
  <c r="C72" i="9"/>
  <c r="D44" i="50"/>
  <c r="I115" i="9"/>
  <c r="D23" i="50" s="1"/>
  <c r="B34" i="60" s="1"/>
  <c r="C37" i="15"/>
  <c r="J34" i="15"/>
  <c r="C57" i="15"/>
  <c r="C66" i="15" s="1"/>
  <c r="Q68" i="15"/>
  <c r="C30" i="15"/>
  <c r="C39" i="15" s="1"/>
  <c r="C24" i="65"/>
  <c r="J13" i="15"/>
  <c r="J23" i="15" s="1"/>
  <c r="J22" i="15"/>
  <c r="M70" i="39" l="1"/>
  <c r="N68" i="39"/>
  <c r="C95" i="9"/>
  <c r="C97" i="9" s="1"/>
  <c r="D58" i="9" s="1"/>
  <c r="D56" i="9" s="1"/>
  <c r="M54" i="9" s="1"/>
  <c r="N57" i="9" s="1"/>
  <c r="S7" i="37"/>
  <c r="AA7" i="37"/>
  <c r="R42" i="37" s="1"/>
  <c r="U7" i="37"/>
  <c r="AB7" i="37"/>
  <c r="T42" i="37" s="1"/>
  <c r="G42" i="37" s="1"/>
  <c r="J16" i="15"/>
  <c r="J25" i="15" s="1"/>
  <c r="C79" i="9"/>
  <c r="C81" i="9" s="1"/>
  <c r="AC7" i="37"/>
  <c r="V42" i="37" s="1"/>
  <c r="I42" i="37" s="1"/>
  <c r="W7" i="37"/>
  <c r="L58" i="33"/>
  <c r="C4" i="65"/>
  <c r="C29" i="65" s="1"/>
  <c r="C30" i="65" s="1"/>
  <c r="D36" i="65" s="1"/>
  <c r="J9" i="65" s="1"/>
  <c r="B5" i="62"/>
  <c r="I65" i="40"/>
  <c r="J63" i="40"/>
  <c r="M46" i="36"/>
  <c r="N46" i="36" s="1"/>
  <c r="O46" i="36" s="1"/>
  <c r="H7" i="36" s="1"/>
  <c r="J7" i="36"/>
  <c r="F7" i="36"/>
  <c r="C59" i="15"/>
  <c r="C68" i="15" s="1"/>
  <c r="C69" i="15" s="1"/>
  <c r="C72" i="15" s="1"/>
  <c r="J38" i="15"/>
  <c r="J39" i="15" s="1"/>
  <c r="G14" i="62"/>
  <c r="B6" i="62" s="1"/>
  <c r="D8" i="52"/>
  <c r="D16" i="50"/>
  <c r="B30" i="60" s="1"/>
  <c r="B29" i="60"/>
  <c r="C40" i="15"/>
  <c r="Q67" i="15"/>
  <c r="Q66" i="15" s="1"/>
  <c r="D126" i="9"/>
  <c r="D9" i="52" s="1"/>
  <c r="D17" i="50"/>
  <c r="C7" i="11"/>
  <c r="C5" i="11" s="1"/>
  <c r="O68" i="39" l="1"/>
  <c r="O70" i="39" s="1"/>
  <c r="H7" i="39" s="1"/>
  <c r="N70" i="39"/>
  <c r="F7" i="39"/>
  <c r="J7" i="39"/>
  <c r="C96" i="9"/>
  <c r="E96" i="9" s="1"/>
  <c r="E97" i="9" s="1"/>
  <c r="C80" i="9"/>
  <c r="E80" i="9" s="1"/>
  <c r="E81" i="9" s="1"/>
  <c r="U7" i="36"/>
  <c r="AB7" i="36"/>
  <c r="T36" i="36" s="1"/>
  <c r="G36" i="36" s="1"/>
  <c r="AA7" i="36"/>
  <c r="R36" i="36" s="1"/>
  <c r="S7" i="36"/>
  <c r="M58" i="33"/>
  <c r="I46" i="37"/>
  <c r="J46" i="37" s="1"/>
  <c r="E42" i="37"/>
  <c r="R43" i="37"/>
  <c r="W7" i="36"/>
  <c r="AC7" i="36"/>
  <c r="V36" i="36" s="1"/>
  <c r="I36" i="36" s="1"/>
  <c r="J65" i="40"/>
  <c r="K63" i="40"/>
  <c r="B10" i="62"/>
  <c r="C5" i="62"/>
  <c r="D14" i="62"/>
  <c r="D5" i="62"/>
  <c r="G47" i="37"/>
  <c r="H47" i="37" s="1"/>
  <c r="G46" i="37"/>
  <c r="H46" i="37" s="1"/>
  <c r="C47" i="15"/>
  <c r="N58" i="9"/>
  <c r="N59" i="9"/>
  <c r="P57" i="9"/>
  <c r="L52" i="15"/>
  <c r="Q45" i="15"/>
  <c r="Q51" i="15" s="1"/>
  <c r="C43" i="15"/>
  <c r="Q63" i="15"/>
  <c r="Q54" i="15"/>
  <c r="J41" i="15"/>
  <c r="C6" i="62"/>
  <c r="D6" i="62"/>
  <c r="C20" i="11"/>
  <c r="C25" i="11" s="1"/>
  <c r="C23" i="11"/>
  <c r="C22" i="11" s="1"/>
  <c r="W7" i="39" l="1"/>
  <c r="AC7" i="39"/>
  <c r="V47" i="39" s="1"/>
  <c r="I47" i="39" s="1"/>
  <c r="I51" i="39" s="1"/>
  <c r="J51" i="39" s="1"/>
  <c r="S7" i="39"/>
  <c r="AA7" i="39"/>
  <c r="R47" i="39" s="1"/>
  <c r="AB7" i="39"/>
  <c r="T47" i="39" s="1"/>
  <c r="G47" i="39" s="1"/>
  <c r="U7" i="39"/>
  <c r="C28" i="11"/>
  <c r="C27" i="11" s="1"/>
  <c r="C31" i="11" s="1"/>
  <c r="C52" i="11" s="1"/>
  <c r="E14" i="62"/>
  <c r="F14" i="62"/>
  <c r="E46" i="37"/>
  <c r="F46" i="37" s="1"/>
  <c r="E47" i="37"/>
  <c r="F47" i="37" s="1"/>
  <c r="I47" i="37"/>
  <c r="J47" i="37" s="1"/>
  <c r="N58" i="33"/>
  <c r="G40" i="36"/>
  <c r="H40" i="36" s="1"/>
  <c r="G41" i="36"/>
  <c r="H41" i="36" s="1"/>
  <c r="K65" i="40"/>
  <c r="L63" i="40"/>
  <c r="I40" i="36"/>
  <c r="J40" i="36" s="1"/>
  <c r="I41" i="36"/>
  <c r="J41" i="36" s="1"/>
  <c r="C42" i="37"/>
  <c r="C43" i="37"/>
  <c r="B2" i="37" s="1"/>
  <c r="B3" i="37" s="1"/>
  <c r="E36" i="36"/>
  <c r="R37" i="36"/>
  <c r="D35" i="9"/>
  <c r="J42" i="15"/>
  <c r="L58" i="15"/>
  <c r="L61" i="15" s="1"/>
  <c r="Q65" i="15"/>
  <c r="N61" i="9"/>
  <c r="N60" i="9"/>
  <c r="E47" i="39" l="1"/>
  <c r="R48" i="39"/>
  <c r="G51" i="39"/>
  <c r="H51" i="39" s="1"/>
  <c r="G52" i="39"/>
  <c r="H52" i="39" s="1"/>
  <c r="B2" i="11"/>
  <c r="B3" i="11"/>
  <c r="C56" i="11"/>
  <c r="C57" i="11" s="1"/>
  <c r="C37" i="36"/>
  <c r="B2" i="36" s="1"/>
  <c r="B3" i="36" s="1"/>
  <c r="C36" i="36"/>
  <c r="L65" i="40"/>
  <c r="M63" i="40"/>
  <c r="E41" i="36"/>
  <c r="F41" i="36" s="1"/>
  <c r="E40" i="36"/>
  <c r="F40" i="36" s="1"/>
  <c r="O58" i="33"/>
  <c r="J7" i="33"/>
  <c r="Q64" i="15"/>
  <c r="Q73" i="15" s="1"/>
  <c r="Q55" i="15"/>
  <c r="Q60" i="15" s="1"/>
  <c r="L47" i="15"/>
  <c r="D34" i="9"/>
  <c r="C35" i="9"/>
  <c r="C48" i="39" l="1"/>
  <c r="C47" i="39"/>
  <c r="I52" i="39"/>
  <c r="J52" i="39" s="1"/>
  <c r="E51" i="39"/>
  <c r="F51" i="39" s="1"/>
  <c r="E52" i="39"/>
  <c r="F52" i="39" s="1"/>
  <c r="AC7" i="33"/>
  <c r="V48" i="33" s="1"/>
  <c r="I48" i="33" s="1"/>
  <c r="W7" i="33"/>
  <c r="N63" i="40"/>
  <c r="M65" i="40"/>
  <c r="F7" i="33"/>
  <c r="H7" i="33"/>
  <c r="G121" i="9"/>
  <c r="C34" i="9"/>
  <c r="E121" i="9" s="1"/>
  <c r="B3" i="15"/>
  <c r="B2" i="15"/>
  <c r="B59" i="39" l="1"/>
  <c r="F59" i="39" s="1"/>
  <c r="B56" i="39"/>
  <c r="F56" i="39" s="1"/>
  <c r="F66" i="39" s="1"/>
  <c r="B2" i="39" s="1"/>
  <c r="B3" i="39" s="1"/>
  <c r="B61" i="39"/>
  <c r="F61" i="39" s="1"/>
  <c r="B64" i="39"/>
  <c r="F64" i="39" s="1"/>
  <c r="B62" i="39"/>
  <c r="F62" i="39" s="1"/>
  <c r="B57" i="39"/>
  <c r="F57" i="39" s="1"/>
  <c r="B58" i="39"/>
  <c r="F58" i="39" s="1"/>
  <c r="B65" i="39"/>
  <c r="F65" i="39" s="1"/>
  <c r="B60" i="39"/>
  <c r="F60" i="39" s="1"/>
  <c r="B63" i="39"/>
  <c r="F63" i="39" s="1"/>
  <c r="AB7" i="33"/>
  <c r="T48" i="33" s="1"/>
  <c r="G48" i="33" s="1"/>
  <c r="U7" i="33"/>
  <c r="AA7" i="33"/>
  <c r="R48" i="33" s="1"/>
  <c r="S7" i="33"/>
  <c r="O63" i="40"/>
  <c r="O65" i="40" s="1"/>
  <c r="N65" i="40"/>
  <c r="I52" i="33"/>
  <c r="J52" i="33" s="1"/>
  <c r="G4" i="52"/>
  <c r="B41" i="60" s="1"/>
  <c r="F121" i="9"/>
  <c r="E4" i="52"/>
  <c r="B38" i="60" s="1"/>
  <c r="D121" i="9"/>
  <c r="H7" i="40" l="1"/>
  <c r="J7" i="40"/>
  <c r="F7" i="40"/>
  <c r="R49" i="33"/>
  <c r="E48" i="33"/>
  <c r="G53" i="33"/>
  <c r="H53" i="33" s="1"/>
  <c r="G52" i="33"/>
  <c r="H52" i="33" s="1"/>
  <c r="D4" i="52"/>
  <c r="B37" i="60" s="1"/>
  <c r="D122" i="9"/>
  <c r="D5" i="52" s="1"/>
  <c r="B39" i="60" s="1"/>
  <c r="F122" i="9"/>
  <c r="F5" i="52" s="1"/>
  <c r="B42" i="60" s="1"/>
  <c r="F4" i="52"/>
  <c r="B40" i="60" s="1"/>
  <c r="E52" i="33" l="1"/>
  <c r="F52" i="33" s="1"/>
  <c r="E53" i="33"/>
  <c r="F53" i="33" s="1"/>
  <c r="I53" i="33"/>
  <c r="J53" i="33" s="1"/>
  <c r="C49" i="33"/>
  <c r="C48" i="33"/>
  <c r="AC7" i="40"/>
  <c r="V42" i="40" s="1"/>
  <c r="I42" i="40" s="1"/>
  <c r="W7" i="40"/>
  <c r="AA7" i="40"/>
  <c r="R42" i="40" s="1"/>
  <c r="S7" i="40"/>
  <c r="AB7" i="40"/>
  <c r="T42" i="40" s="1"/>
  <c r="G42" i="40" s="1"/>
  <c r="U7" i="40"/>
  <c r="G47" i="40" l="1"/>
  <c r="H47" i="40" s="1"/>
  <c r="G46" i="40"/>
  <c r="H46" i="40" s="1"/>
  <c r="R43" i="40"/>
  <c r="E42" i="40"/>
  <c r="I46" i="40"/>
  <c r="J46" i="40" s="1"/>
  <c r="I47" i="40"/>
  <c r="J47" i="40" s="1"/>
  <c r="B2" i="33"/>
  <c r="D35" i="65"/>
  <c r="B3" i="33"/>
  <c r="J8" i="65" l="1"/>
  <c r="G35" i="65"/>
  <c r="D37" i="65"/>
  <c r="E46" i="40"/>
  <c r="F46" i="40" s="1"/>
  <c r="E47" i="40"/>
  <c r="F47" i="40" s="1"/>
  <c r="C42" i="40"/>
  <c r="C43" i="40"/>
  <c r="B56" i="40" l="1"/>
  <c r="F56" i="40" s="1"/>
  <c r="B60" i="40"/>
  <c r="F60" i="40" s="1"/>
  <c r="B53" i="40"/>
  <c r="F53" i="40" s="1"/>
  <c r="B52" i="40"/>
  <c r="F52" i="40" s="1"/>
  <c r="B51" i="40"/>
  <c r="F51" i="40" s="1"/>
  <c r="F61" i="40" s="1"/>
  <c r="B2" i="40" s="1"/>
  <c r="B3" i="40" s="1"/>
  <c r="B54" i="40"/>
  <c r="F54" i="40" s="1"/>
  <c r="B59" i="40"/>
  <c r="F59" i="40" s="1"/>
  <c r="B58" i="40"/>
  <c r="F58" i="40" s="1"/>
  <c r="B55" i="40"/>
  <c r="F55" i="40" s="1"/>
  <c r="B57" i="40"/>
  <c r="F57" i="40" s="1"/>
  <c r="J10" i="65"/>
  <c r="C38" i="65"/>
  <c r="C39" i="65" s="1"/>
  <c r="E38" i="65"/>
  <c r="E39" i="65"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<sst xmlns="http://schemas.openxmlformats.org/spreadsheetml/2006/main" count="7661" uniqueCount="3176">
  <si>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</si>
  <si>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</si>
  <si>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</si>
  <si>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</si>
  <si>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</si>
  <si>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</si>
  <si>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</si>
  <si>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</si>
  <si>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</si>
  <si>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</si>
  <si>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</si>
  <si>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</si>
  <si>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</si>
  <si>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</si>
  <si>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</si>
  <si>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</si>
  <si>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</si>
  <si>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</si>
  <si>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</si>
  <si>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</si>
  <si>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</si>
  <si>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</si>
  <si>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</si>
  <si>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</si>
  <si>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</si>
  <si>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</si>
  <si>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</si>
  <si>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</si>
  <si>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</si>
  <si>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</si>
  <si>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</si>
  <si>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</si>
  <si>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</si>
  <si>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</si>
  <si>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</si>
  <si>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</si>
  <si>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</si>
  <si>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</si>
  <si>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</si>
  <si>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</si>
  <si>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</si>
  <si>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</si>
  <si>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</si>
  <si>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</si>
  <si>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</si>
  <si>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</si>
  <si>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</si>
  <si>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</si>
  <si>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</si>
  <si>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</si>
  <si>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</si>
  <si>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</si>
  <si>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</si>
  <si>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</si>
  <si>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</si>
  <si>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</si>
  <si>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</si>
  <si>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</si>
  <si>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</si>
  <si>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</si>
  <si>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</si>
  <si>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</si>
  <si>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</si>
  <si>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</si>
  <si>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</si>
  <si>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</si>
  <si>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</si>
  <si>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</si>
  <si>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</si>
  <si>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</si>
  <si>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</si>
  <si>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</si>
  <si>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</si>
  <si>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</si>
  <si>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</si>
  <si>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</si>
  <si>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</si>
  <si>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</si>
  <si>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</si>
  <si>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</si>
  <si>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</si>
  <si>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</si>
  <si>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</si>
  <si>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</si>
  <si>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</si>
  <si>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</si>
  <si>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</si>
  <si>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</si>
  <si>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</si>
  <si>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</si>
  <si>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</si>
  <si>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</si>
  <si>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</si>
  <si>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</si>
  <si>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</si>
  <si>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</si>
  <si>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</si>
  <si>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</si>
  <si>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</si>
  <si>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</si>
  <si>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</si>
  <si>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</si>
  <si>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</si>
  <si>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</si>
  <si>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</si>
  <si>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</si>
  <si>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</si>
  <si>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</si>
  <si>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</si>
  <si>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</si>
  <si>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</si>
  <si>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</si>
  <si>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</si>
  <si>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</si>
  <si>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</si>
  <si>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</si>
  <si>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</si>
  <si>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</si>
  <si>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</si>
  <si>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</si>
  <si>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</si>
  <si>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</si>
  <si>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</si>
  <si>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</si>
  <si>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</si>
  <si>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</si>
  <si>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</si>
  <si>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</si>
  <si>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</si>
  <si>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</si>
  <si>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</si>
  <si>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</si>
  <si>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</si>
  <si>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</si>
  <si>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</si>
  <si>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</si>
  <si>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</si>
  <si>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</si>
  <si>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</si>
  <si>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</si>
  <si>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</si>
  <si>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</si>
  <si>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</si>
  <si>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</si>
  <si>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</si>
  <si>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</si>
  <si>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</si>
  <si>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</si>
  <si>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</si>
  <si>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</si>
  <si>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</si>
  <si>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</si>
  <si>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</si>
  <si>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</si>
  <si>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</si>
  <si>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</si>
  <si>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</si>
  <si>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</si>
  <si>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</si>
  <si>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</si>
  <si>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</si>
  <si>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</si>
  <si>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</si>
  <si>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</si>
  <si>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</si>
  <si>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</si>
  <si>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</si>
  <si>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</si>
  <si>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</si>
  <si>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</si>
  <si>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</si>
  <si>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</si>
  <si>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</si>
  <si>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</si>
  <si>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</si>
  <si>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</si>
  <si>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</si>
  <si>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</si>
  <si>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</si>
  <si>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</si>
  <si>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</si>
  <si>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</si>
  <si>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</si>
  <si>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</si>
  <si>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</si>
  <si>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</si>
  <si>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</si>
  <si>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</si>
  <si>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</si>
  <si>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</si>
  <si>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</si>
  <si>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</si>
  <si>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</si>
  <si>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</si>
  <si>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</si>
  <si>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</si>
  <si>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</si>
  <si>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</si>
  <si>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</si>
  <si>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</si>
  <si>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</si>
  <si>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</si>
  <si>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</si>
  <si>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</si>
  <si>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</si>
  <si>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</si>
  <si>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</si>
  <si>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</si>
  <si>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</si>
  <si>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</si>
  <si>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</si>
  <si>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</si>
  <si>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</si>
  <si>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</si>
  <si>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</si>
  <si>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</si>
  <si>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</si>
  <si>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</si>
  <si>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</si>
  <si>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</si>
  <si>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</si>
  <si>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</si>
  <si>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</si>
  <si>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</si>
  <si>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</si>
  <si>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</si>
  <si>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</si>
  <si>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</si>
  <si>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</si>
  <si>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</si>
  <si>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</si>
  <si>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</si>
  <si>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</si>
  <si>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</si>
  <si>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</si>
  <si>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</si>
  <si>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</si>
  <si>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</si>
  <si>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</si>
  <si>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</si>
  <si>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</si>
  <si>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</si>
  <si>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</si>
  <si>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</si>
  <si>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</si>
  <si>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</si>
  <si>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</si>
  <si>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</si>
  <si>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</si>
  <si>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</si>
  <si>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</si>
  <si>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</si>
  <si>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</si>
  <si>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</si>
  <si>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</si>
  <si>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</si>
  <si>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</si>
  <si>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</si>
  <si>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</si>
  <si>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</si>
  <si>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</si>
  <si>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</si>
  <si>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</si>
  <si>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</si>
  <si>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</si>
  <si>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</si>
  <si>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</si>
  <si>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</si>
  <si>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</si>
  <si>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</si>
  <si>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</si>
  <si>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</si>
  <si>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</si>
  <si>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</si>
  <si>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</si>
  <si>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</si>
  <si>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</si>
  <si>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</si>
  <si>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</si>
  <si>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</si>
  <si>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</si>
  <si>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</si>
  <si>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</si>
  <si>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</si>
  <si>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</si>
  <si>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</si>
  <si>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</si>
  <si>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</si>
  <si>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</si>
  <si>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</si>
  <si>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</si>
  <si>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</si>
  <si>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</si>
  <si>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</si>
  <si>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</si>
  <si>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</si>
  <si>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</si>
  <si>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</si>
  <si>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</si>
  <si>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</si>
  <si>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</si>
  <si>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</si>
  <si>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</si>
  <si>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</si>
  <si>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</si>
  <si>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</si>
  <si>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</si>
  <si>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</si>
  <si>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</si>
  <si>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</si>
  <si>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</si>
  <si>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</si>
  <si>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</si>
  <si>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</si>
  <si>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</si>
  <si>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</si>
  <si>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</si>
  <si>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</si>
  <si>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</si>
  <si>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</si>
  <si>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</si>
  <si>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</si>
  <si>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</si>
  <si>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</si>
  <si>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</si>
  <si>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</si>
  <si>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</si>
  <si>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</si>
  <si>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</si>
  <si>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</si>
  <si>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</si>
  <si>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</si>
  <si>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</si>
  <si>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</si>
  <si>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</si>
  <si>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</si>
  <si>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</si>
  <si>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</si>
  <si>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</si>
  <si>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</si>
  <si>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</si>
  <si>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</si>
  <si>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</si>
  <si>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</si>
  <si>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</si>
  <si>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</si>
  <si>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</si>
  <si>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</si>
  <si>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</si>
  <si>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</si>
  <si>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</si>
  <si>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</si>
  <si>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</si>
  <si>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</si>
  <si>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</si>
  <si>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</si>
  <si>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</si>
  <si>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</si>
  <si>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</si>
  <si>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</si>
  <si>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</si>
  <si>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</si>
  <si>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</si>
  <si>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</si>
  <si>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</si>
  <si>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</si>
  <si>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</si>
  <si>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</si>
  <si>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</si>
  <si>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</si>
  <si>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</si>
  <si>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</si>
  <si>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</si>
  <si>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</si>
  <si>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</si>
  <si>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</si>
  <si>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</si>
  <si>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</si>
  <si>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</si>
  <si>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</si>
  <si>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</si>
  <si>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</si>
  <si>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</si>
  <si>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</si>
  <si>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</si>
  <si>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</si>
  <si>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</si>
  <si>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</si>
  <si>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</si>
  <si>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</si>
  <si>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</si>
  <si>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</si>
  <si>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</si>
  <si>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</si>
  <si>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</si>
  <si>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</si>
  <si>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</si>
  <si>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</si>
  <si>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</si>
  <si>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</si>
  <si>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</si>
  <si>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</si>
  <si>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</si>
  <si>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</si>
  <si>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</si>
  <si>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</si>
  <si>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</si>
  <si>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</si>
  <si>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</si>
  <si>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</si>
  <si>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</si>
  <si>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</si>
  <si>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</si>
  <si>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</si>
  <si>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</si>
  <si>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</si>
  <si>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</si>
  <si>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</si>
  <si>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</si>
  <si>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</si>
  <si>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</si>
  <si>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</si>
  <si>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</si>
  <si>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</si>
  <si>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</si>
  <si>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</si>
  <si>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</si>
  <si>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</si>
  <si>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</si>
  <si>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</si>
  <si>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</si>
  <si>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</si>
  <si>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</si>
  <si>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</si>
  <si>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</si>
  <si>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</si>
  <si>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</si>
  <si>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</si>
  <si>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</si>
  <si>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</si>
  <si>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</si>
  <si>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</si>
  <si>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</si>
  <si>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</si>
  <si>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</si>
  <si>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</si>
  <si>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</si>
  <si>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</si>
  <si>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</si>
  <si>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</si>
  <si>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</si>
  <si>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</si>
  <si>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</si>
  <si>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</si>
  <si>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</si>
  <si>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</si>
  <si>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</si>
  <si>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</si>
  <si>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</si>
  <si>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</si>
  <si>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</si>
  <si>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</si>
  <si>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</si>
  <si>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</si>
  <si>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</si>
  <si>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</si>
  <si>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</si>
  <si>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</si>
  <si>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</si>
  <si>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</si>
  <si>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</si>
  <si>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</si>
  <si>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</si>
  <si>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</si>
  <si>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</si>
  <si>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</si>
  <si>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</si>
  <si>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</si>
  <si>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</si>
  <si>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</si>
  <si>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</si>
  <si>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</si>
  <si>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</si>
  <si>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</si>
  <si>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</si>
  <si>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</si>
  <si>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</si>
  <si>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</si>
  <si>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</si>
  <si>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</si>
  <si>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</si>
  <si>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</si>
  <si>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</si>
  <si>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</si>
  <si>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</si>
  <si>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</si>
  <si>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</si>
  <si>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</si>
  <si>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</si>
  <si>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</si>
  <si>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</si>
  <si>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</si>
  <si>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</si>
  <si>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</si>
  <si>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</si>
  <si>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</si>
  <si>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</si>
  <si>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</si>
  <si>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</si>
  <si>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</si>
  <si>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</si>
  <si>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</si>
  <si>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</si>
  <si>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</si>
  <si>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</si>
  <si>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</si>
  <si>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</si>
  <si>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</si>
  <si>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</si>
  <si>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</si>
  <si>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</si>
  <si>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</si>
  <si>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</si>
  <si>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</si>
  <si>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</si>
  <si>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</si>
  <si>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</si>
  <si>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</si>
  <si>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</si>
  <si>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</si>
  <si>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</si>
  <si>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</si>
  <si>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</si>
  <si>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</si>
  <si>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</si>
  <si>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</si>
  <si>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</si>
  <si>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</si>
  <si>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</si>
  <si>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</si>
  <si>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</si>
  <si>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</si>
  <si>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</si>
  <si>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</si>
  <si>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</si>
  <si>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</si>
  <si>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</si>
  <si>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</si>
  <si>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</si>
  <si>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</si>
  <si>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</si>
  <si>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</si>
  <si>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</si>
  <si>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</si>
  <si>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</si>
  <si>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</si>
  <si>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</si>
  <si>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</si>
  <si>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</si>
  <si>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</si>
  <si>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</si>
  <si>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</si>
  <si>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</si>
  <si>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</si>
  <si>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</si>
  <si>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</si>
  <si>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</si>
  <si>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</si>
  <si>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</si>
  <si>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</si>
  <si>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</si>
  <si>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</si>
  <si>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</si>
  <si>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</si>
  <si>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</si>
  <si>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</si>
  <si>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</si>
  <si>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</si>
  <si>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</si>
  <si>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</si>
  <si>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</si>
  <si>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</si>
  <si>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</si>
  <si>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</si>
  <si>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</si>
  <si>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</si>
  <si>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</si>
  <si>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</si>
  <si>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</si>
  <si>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</si>
  <si>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</si>
  <si>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</si>
  <si>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</si>
  <si>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</si>
  <si>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</si>
  <si>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</si>
  <si>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</si>
  <si>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</si>
  <si>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</si>
  <si>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</si>
  <si>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</si>
  <si>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</si>
  <si>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</si>
  <si>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</si>
  <si>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</si>
  <si>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</si>
  <si>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</si>
  <si>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</si>
  <si>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</si>
  <si>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</si>
  <si>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</si>
  <si>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</si>
  <si>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</si>
  <si>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</si>
  <si>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</si>
  <si>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</si>
  <si>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</si>
  <si>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</si>
  <si>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</si>
  <si>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</si>
  <si>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</si>
  <si>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</si>
  <si>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</si>
  <si>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</si>
  <si>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</si>
  <si>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</si>
  <si>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</si>
  <si>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</si>
  <si>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</si>
  <si>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</si>
  <si>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</si>
  <si>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</si>
  <si>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</si>
  <si>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</si>
  <si>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</si>
  <si>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</si>
  <si>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</si>
  <si>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</si>
  <si>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</si>
  <si>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</si>
  <si>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</si>
  <si>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</si>
  <si>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</si>
  <si>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</si>
  <si>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</si>
  <si>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</si>
  <si>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</si>
  <si>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</si>
  <si>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</si>
  <si>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</si>
  <si>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</si>
  <si>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</si>
  <si>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</si>
  <si>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</si>
  <si>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</si>
  <si>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</si>
  <si>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</si>
  <si>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</si>
  <si>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</si>
  <si>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</si>
  <si>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</si>
  <si>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</si>
  <si>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</si>
  <si>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</si>
  <si>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</si>
  <si>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</si>
  <si>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</si>
  <si>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</si>
  <si>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</si>
  <si>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</si>
  <si>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</si>
  <si>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</si>
  <si>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</si>
  <si>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</si>
  <si>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</si>
  <si>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</si>
  <si>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</si>
  <si>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</si>
  <si>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</si>
  <si>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</si>
  <si>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</si>
  <si>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</si>
  <si>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</si>
  <si>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</si>
  <si>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</si>
  <si>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</si>
  <si>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</si>
  <si>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</si>
  <si>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</si>
  <si>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</si>
  <si>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</si>
  <si>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</si>
  <si>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</si>
  <si>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</si>
  <si>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</si>
  <si>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</si>
  <si>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</si>
  <si>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</si>
  <si>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</si>
  <si>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</si>
  <si>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</si>
  <si>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</si>
  <si>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</si>
  <si>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</si>
  <si>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</si>
  <si>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</si>
  <si>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</si>
  <si>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</si>
  <si>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</si>
  <si>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</si>
  <si>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</si>
  <si>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</si>
  <si>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</si>
  <si>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</si>
  <si>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</si>
  <si>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</si>
  <si>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</si>
  <si>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</si>
  <si>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</si>
  <si>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</si>
  <si>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</si>
  <si>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</si>
  <si>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</si>
  <si>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</si>
  <si>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</si>
  <si>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</si>
  <si>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</si>
  <si>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</si>
  <si>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</si>
  <si>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</si>
  <si>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</si>
  <si>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</si>
  <si>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</si>
  <si>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</si>
  <si>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</si>
  <si>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</si>
  <si>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</si>
  <si>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</si>
  <si>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</si>
  <si>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</si>
  <si>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</si>
  <si>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</si>
  <si>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</si>
  <si>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</si>
  <si>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</si>
  <si>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</si>
  <si>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</si>
  <si>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</si>
  <si>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</si>
  <si>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</si>
  <si>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</si>
  <si>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</si>
  <si>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</si>
  <si>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</si>
  <si>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</si>
  <si>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</si>
  <si>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</si>
  <si>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</si>
  <si>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</si>
  <si>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</si>
  <si>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</si>
  <si>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</si>
  <si>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</si>
  <si>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</si>
  <si>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</si>
  <si>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</si>
  <si>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</si>
  <si>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</si>
  <si>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</si>
  <si>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</si>
  <si>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</si>
  <si>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</si>
  <si>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</si>
  <si>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</si>
  <si>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</si>
  <si>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</si>
  <si>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</si>
  <si>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</si>
  <si>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</si>
  <si>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</si>
  <si>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</si>
  <si>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</si>
  <si>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</si>
  <si>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</si>
  <si>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</si>
  <si>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</si>
  <si>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</si>
  <si>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</si>
  <si>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</si>
  <si>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</si>
  <si>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</si>
  <si>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</si>
  <si>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</si>
  <si>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</si>
  <si>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</si>
  <si>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</si>
  <si>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</si>
  <si>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</si>
  <si>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</si>
  <si>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</si>
  <si>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</si>
  <si>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</si>
  <si>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</si>
  <si>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</si>
  <si>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</si>
  <si>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</si>
  <si>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</si>
  <si>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</si>
  <si>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</si>
  <si>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</si>
  <si>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</si>
  <si>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</si>
  <si>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</si>
  <si>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</si>
  <si>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</si>
  <si>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</si>
  <si>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</si>
  <si>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</si>
  <si>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</si>
  <si>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</si>
  <si>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</si>
  <si>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</si>
  <si>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</si>
  <si>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</si>
  <si>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</si>
  <si>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</si>
  <si>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</si>
  <si>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</si>
  <si>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</si>
  <si>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</si>
  <si>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</si>
  <si>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</si>
  <si>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</si>
  <si>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</si>
  <si>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</si>
  <si>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</si>
  <si>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</si>
  <si>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</si>
  <si>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</si>
  <si>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</si>
  <si>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</si>
  <si>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</si>
  <si>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</si>
  <si>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</si>
  <si>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</si>
  <si>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</si>
  <si>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</si>
  <si>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</si>
  <si>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</si>
  <si>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</si>
  <si>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</si>
  <si>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</si>
  <si>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</si>
  <si>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</si>
  <si>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</si>
  <si>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</si>
  <si>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</si>
  <si>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</si>
  <si>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</si>
  <si>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</si>
  <si>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</si>
  <si>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</si>
  <si>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</si>
  <si>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</si>
  <si>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</si>
  <si>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</si>
  <si>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</si>
  <si>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</si>
  <si>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</si>
  <si>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</si>
  <si>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</si>
  <si>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</si>
  <si>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</si>
  <si>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</si>
  <si>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</si>
  <si>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</si>
  <si>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</si>
  <si>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</si>
  <si>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</si>
  <si>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</si>
  <si>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</si>
  <si>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</si>
  <si>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</si>
  <si>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</si>
  <si>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</si>
  <si>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</si>
  <si>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</si>
  <si>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</si>
  <si>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</si>
  <si>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</si>
  <si>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</si>
  <si>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</si>
  <si>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</si>
  <si>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</si>
  <si>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</si>
  <si>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</si>
  <si>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</si>
  <si>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</si>
  <si>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</si>
  <si>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</si>
  <si>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</si>
  <si>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</si>
  <si>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</si>
  <si>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</si>
  <si>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</si>
  <si>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</si>
  <si>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</si>
  <si>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</si>
  <si>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</si>
  <si>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</si>
  <si>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</si>
  <si>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</si>
  <si>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</si>
  <si>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</si>
  <si>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</si>
  <si>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</si>
  <si>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</si>
  <si>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</si>
  <si>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</si>
  <si>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</si>
  <si>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</si>
  <si>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</si>
  <si>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</si>
  <si>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</si>
  <si>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</si>
  <si>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</si>
  <si>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</si>
  <si>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</si>
  <si>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</si>
  <si>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</si>
  <si>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</si>
  <si>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</si>
  <si>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</si>
  <si>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</si>
  <si>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</si>
  <si>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</si>
  <si>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</si>
  <si>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</si>
  <si>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</si>
  <si>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</si>
  <si>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</si>
  <si>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</si>
  <si>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</si>
  <si>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</si>
  <si>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</si>
  <si>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</si>
  <si>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</si>
  <si>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</si>
  <si>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</si>
  <si>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</si>
  <si>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</si>
  <si>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</si>
  <si>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</si>
  <si>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</si>
  <si>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</si>
  <si>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</si>
  <si>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</si>
  <si>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</si>
  <si>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</si>
  <si>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</si>
  <si>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</si>
  <si>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</si>
  <si>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</si>
  <si>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</si>
  <si>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</si>
  <si>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</si>
  <si>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</si>
  <si>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</si>
  <si>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</si>
  <si>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</si>
  <si>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</si>
  <si>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</si>
  <si>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</si>
  <si>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</si>
  <si>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</si>
  <si>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</si>
  <si>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</si>
  <si>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</si>
  <si>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</si>
  <si>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</si>
  <si>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</si>
  <si>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</si>
  <si>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</si>
  <si>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</si>
  <si>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</si>
  <si>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</si>
  <si>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</si>
  <si>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</si>
  <si>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</si>
  <si>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</si>
  <si>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</si>
  <si>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</si>
  <si>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</si>
  <si>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</si>
  <si>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</si>
  <si>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</si>
  <si>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</si>
  <si>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</si>
  <si>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</si>
  <si>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</si>
  <si>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</si>
  <si>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</si>
  <si>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</si>
  <si>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</si>
  <si>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</si>
  <si>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</si>
  <si>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</si>
  <si>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</si>
  <si>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</si>
  <si>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</si>
  <si>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</si>
  <si>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</si>
  <si>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</si>
  <si>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</si>
  <si>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</si>
  <si>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</si>
  <si>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</si>
  <si>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</si>
  <si>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</si>
  <si>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</si>
  <si>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</si>
  <si>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</si>
  <si>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</si>
  <si>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</si>
  <si>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</si>
  <si>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</si>
  <si>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</si>
  <si>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</si>
  <si>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</si>
  <si>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</si>
  <si>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</si>
  <si>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</si>
  <si>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</si>
  <si>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</si>
  <si>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</si>
  <si>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</si>
  <si>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</si>
  <si>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</si>
  <si>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</si>
  <si>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</si>
  <si>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</si>
  <si>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</si>
  <si>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</si>
  <si>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</si>
  <si>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</si>
  <si>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</si>
  <si>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</si>
  <si>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</si>
  <si>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</si>
  <si>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</si>
  <si>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</si>
  <si>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</si>
  <si>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</si>
  <si>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</si>
  <si>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</si>
  <si>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</si>
  <si>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</si>
  <si>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</si>
  <si>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</si>
  <si>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</si>
  <si>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</si>
  <si>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</si>
  <si>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</si>
  <si>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</si>
  <si>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</si>
  <si>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</si>
  <si>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</si>
  <si>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</si>
  <si>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</si>
  <si>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</si>
  <si>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</si>
  <si>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</si>
  <si>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</si>
  <si>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</si>
  <si>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</si>
  <si>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</si>
  <si>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</si>
  <si>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</si>
  <si>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</si>
  <si>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</si>
  <si>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</si>
  <si>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</si>
  <si>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</si>
  <si>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</si>
  <si>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</si>
  <si>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</si>
  <si>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</si>
  <si>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</si>
  <si>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</si>
  <si>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</si>
  <si>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</si>
  <si>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</si>
  <si>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</si>
  <si>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</si>
  <si>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</si>
  <si>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</si>
  <si>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</si>
  <si>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</si>
  <si>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</si>
  <si>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</si>
  <si>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</si>
  <si>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</si>
  <si>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</si>
  <si>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</si>
  <si>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</si>
  <si>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</si>
  <si>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</si>
  <si>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</si>
  <si>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</si>
  <si>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</si>
  <si>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</si>
  <si>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</si>
  <si>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</si>
  <si>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</si>
  <si>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</si>
  <si>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</si>
  <si>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</si>
  <si>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</si>
  <si>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</si>
  <si>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</si>
  <si>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</si>
  <si>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</si>
  <si>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</si>
  <si>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</si>
  <si>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</si>
  <si>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</si>
  <si>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</si>
  <si>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</si>
  <si>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</si>
  <si>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</si>
  <si>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</si>
  <si>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</si>
  <si>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</si>
  <si>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</si>
  <si>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</si>
  <si>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</si>
  <si>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</si>
  <si>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</si>
  <si>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</si>
  <si>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</si>
  <si>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</si>
  <si>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</si>
  <si>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</si>
  <si>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</si>
  <si>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</si>
  <si>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</si>
  <si>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</si>
  <si>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</si>
  <si>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</si>
  <si>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</si>
  <si>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</si>
  <si>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</si>
  <si>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</si>
  <si>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</si>
  <si>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</si>
  <si>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</si>
  <si>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</si>
  <si>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</si>
  <si>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</si>
  <si>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</si>
  <si>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</si>
  <si>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</si>
  <si>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</si>
  <si>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</si>
  <si>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</si>
  <si>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</si>
  <si>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</si>
  <si>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</si>
  <si>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</si>
  <si>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</si>
  <si>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</si>
  <si>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</si>
  <si>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</si>
  <si>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</si>
  <si>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</si>
  <si>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</si>
  <si>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</si>
  <si>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</si>
  <si>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</si>
  <si>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</si>
  <si>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</si>
  <si>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</si>
  <si>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</si>
  <si>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</si>
  <si>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</si>
  <si>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</si>
  <si>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</si>
  <si>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</si>
  <si>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</si>
  <si>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</si>
  <si>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</si>
  <si>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</si>
  <si>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</si>
  <si>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</si>
  <si>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</si>
  <si>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</si>
  <si>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</si>
  <si>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</si>
  <si>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</si>
  <si>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</si>
  <si>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</si>
  <si>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</si>
  <si>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</si>
  <si>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</si>
  <si>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</si>
  <si>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</si>
  <si>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</si>
  <si>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</si>
  <si>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</si>
  <si>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</si>
  <si>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</si>
  <si>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</si>
  <si>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</si>
  <si>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</si>
  <si>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</si>
  <si>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</si>
  <si>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</si>
  <si>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</si>
  <si>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</si>
  <si>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</si>
  <si>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</si>
  <si>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</si>
  <si>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</si>
  <si>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</si>
  <si>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</si>
  <si>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</si>
  <si>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</si>
  <si>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</si>
  <si>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</si>
  <si>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</si>
  <si>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</si>
  <si>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</si>
  <si>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</si>
  <si>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</si>
  <si>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</si>
  <si>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</si>
  <si>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</si>
  <si>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</si>
  <si>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</si>
  <si>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</si>
  <si>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</si>
  <si>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</si>
  <si>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</si>
  <si>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</si>
  <si>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</si>
  <si>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</si>
  <si>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</si>
  <si>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</si>
  <si>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</si>
  <si>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</si>
  <si>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</si>
  <si>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</si>
  <si>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</si>
  <si>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</si>
  <si>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</si>
  <si>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</si>
  <si>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</si>
  <si>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</si>
  <si>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</si>
  <si>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</si>
  <si>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</si>
  <si>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</si>
  <si>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</si>
  <si>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</si>
  <si>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</si>
  <si>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</si>
  <si>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</si>
  <si>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</si>
  <si>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</si>
  <si>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</si>
  <si>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</si>
  <si>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</si>
  <si>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</si>
  <si>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</si>
  <si>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</si>
  <si>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</si>
  <si>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</si>
  <si>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</si>
  <si>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</si>
  <si>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</si>
  <si>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</si>
  <si>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</si>
  <si>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</si>
  <si>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</si>
  <si>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</si>
  <si>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</si>
  <si>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</si>
  <si>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</si>
  <si>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</si>
  <si>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</si>
  <si>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</si>
  <si>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</si>
  <si>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</si>
  <si>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</si>
  <si>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</si>
  <si>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</si>
  <si>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</si>
  <si>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</si>
  <si>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</si>
  <si>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</si>
  <si>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</si>
  <si>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</si>
  <si>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</si>
  <si>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</si>
  <si>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</si>
  <si>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</si>
  <si>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</si>
  <si>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</si>
  <si>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</si>
  <si>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</si>
  <si>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</si>
  <si>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</si>
  <si>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</si>
  <si>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</si>
  <si>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</si>
  <si>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</si>
  <si>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</si>
  <si>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</si>
  <si>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</si>
  <si>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</si>
  <si>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</si>
  <si>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</si>
  <si>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</si>
  <si>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</si>
  <si>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</si>
  <si>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</si>
  <si>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</si>
  <si>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</si>
  <si>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</si>
  <si>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</si>
  <si>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</si>
  <si>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</si>
  <si>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</si>
  <si>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</si>
  <si>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</si>
  <si>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</si>
  <si>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</si>
  <si>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</si>
  <si>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</si>
  <si>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</si>
  <si>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</si>
  <si>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</si>
  <si>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</si>
  <si>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</si>
  <si>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</si>
  <si>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</si>
  <si>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</si>
  <si>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</si>
  <si>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</si>
  <si>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</si>
  <si>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</si>
  <si>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</si>
  <si>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</si>
  <si>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</si>
  <si>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</si>
  <si>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</si>
  <si>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</si>
  <si>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</si>
  <si>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</si>
  <si>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</si>
  <si>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</si>
  <si>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</si>
  <si>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</si>
  <si>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</si>
  <si>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</si>
  <si>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</si>
  <si>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</si>
  <si>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</si>
  <si>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</si>
  <si>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</si>
  <si>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</si>
  <si>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</si>
  <si>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</si>
  <si>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</si>
  <si>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</si>
  <si>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</si>
  <si>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</si>
  <si>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</si>
  <si>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</si>
  <si>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</si>
  <si>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</si>
  <si>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</si>
  <si>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</si>
  <si>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</si>
  <si>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</si>
  <si>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</si>
  <si>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</si>
  <si>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</si>
  <si>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</si>
  <si>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</si>
  <si>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</si>
  <si>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</si>
  <si>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</si>
  <si>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</si>
  <si>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</si>
  <si>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</si>
  <si>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</si>
  <si>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</si>
  <si>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</si>
  <si>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</si>
  <si>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</si>
  <si>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</si>
  <si>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</si>
  <si>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</si>
  <si>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</si>
  <si>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</si>
  <si>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</si>
  <si>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</si>
  <si>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</si>
  <si>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</si>
  <si>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</si>
  <si>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</si>
  <si>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</si>
  <si>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</si>
  <si>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</si>
  <si>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</si>
  <si>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</si>
  <si>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</si>
  <si>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</si>
  <si>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</si>
  <si>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</si>
  <si>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</si>
  <si>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</si>
  <si>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</si>
  <si>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</si>
  <si>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</si>
  <si>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</si>
  <si>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</si>
  <si>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</si>
  <si>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</si>
  <si>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</si>
  <si>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</si>
  <si>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</si>
  <si>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</si>
  <si>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</si>
  <si>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</si>
  <si>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</si>
  <si>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</si>
  <si>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</si>
  <si>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</si>
  <si>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</si>
  <si>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</si>
  <si>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</si>
  <si>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</si>
  <si>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</si>
  <si>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</si>
  <si>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</si>
  <si>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</si>
  <si>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</si>
  <si>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</si>
  <si>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</si>
  <si>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</si>
  <si>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</si>
  <si>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</si>
  <si>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</si>
  <si>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</si>
  <si>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</si>
  <si>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</si>
  <si>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</si>
  <si>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</si>
  <si>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</si>
  <si>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</si>
  <si>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</si>
  <si>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</si>
  <si>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</si>
  <si>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</si>
  <si>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</si>
  <si>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</si>
  <si>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</si>
  <si>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</si>
  <si>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</si>
  <si>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</si>
  <si>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</si>
  <si>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</si>
  <si>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</si>
  <si>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</si>
  <si>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</si>
  <si>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</si>
  <si>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</si>
  <si>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</si>
  <si>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</si>
  <si>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</si>
  <si>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</si>
  <si>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</si>
  <si>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</si>
  <si>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</si>
  <si>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</si>
  <si>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</si>
  <si>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</si>
  <si>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</si>
  <si>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</si>
  <si>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</si>
  <si>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</si>
  <si>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</si>
  <si>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</si>
  <si>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</si>
  <si>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</si>
  <si>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</si>
  <si>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</si>
  <si>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</si>
  <si>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</si>
  <si>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</si>
  <si>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</si>
  <si>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</si>
  <si>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</si>
  <si>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</si>
  <si>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</si>
  <si>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</si>
  <si>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</si>
  <si>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</si>
  <si>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</si>
  <si>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</si>
  <si>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</si>
  <si>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</si>
  <si>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</si>
  <si>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</si>
  <si>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</si>
  <si>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</si>
  <si>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</si>
  <si>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</si>
  <si>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</si>
  <si>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</si>
  <si>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</si>
  <si>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</si>
  <si>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</si>
  <si>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</si>
  <si>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</si>
  <si>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</si>
  <si>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</si>
  <si>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</si>
  <si>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</si>
  <si>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</si>
  <si>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</si>
  <si>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</si>
  <si>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</si>
  <si>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</si>
  <si>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</si>
  <si>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</si>
  <si>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</si>
  <si>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</si>
  <si>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</si>
  <si>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</si>
  <si>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</si>
  <si>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</si>
  <si>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</si>
  <si>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</si>
  <si>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</si>
  <si>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</si>
  <si>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</si>
  <si>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</si>
  <si>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</si>
  <si>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</si>
  <si>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</si>
  <si>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</si>
  <si>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</si>
  <si>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</si>
  <si>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</si>
  <si>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</si>
  <si>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</si>
  <si>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</si>
  <si>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</si>
  <si>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</si>
  <si>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</si>
  <si>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</si>
  <si>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</si>
  <si>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</si>
  <si>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</si>
  <si>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</si>
  <si>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</si>
  <si>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</si>
  <si>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</si>
  <si>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</si>
  <si>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</si>
  <si>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</si>
  <si>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</si>
  <si>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</si>
  <si>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</si>
  <si>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</si>
  <si>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</si>
  <si>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</si>
  <si>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</si>
  <si>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</si>
  <si>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</si>
  <si>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</si>
  <si>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</si>
  <si>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</si>
  <si>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</si>
  <si>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</si>
  <si>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</si>
  <si>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</si>
  <si>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</si>
  <si>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</si>
  <si>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</si>
  <si>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</si>
  <si>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</si>
  <si>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</si>
  <si>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</si>
  <si>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</si>
  <si>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</si>
  <si>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</si>
  <si>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</si>
  <si>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</si>
  <si>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</si>
  <si>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</si>
  <si>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</si>
  <si>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</si>
  <si>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</si>
  <si>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</si>
  <si>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</si>
  <si>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</si>
  <si>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</si>
  <si>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</si>
  <si>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</si>
  <si>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</si>
  <si>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</si>
  <si>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</si>
  <si>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</si>
  <si>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</si>
  <si>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</si>
  <si>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</si>
  <si>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</si>
  <si>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</si>
  <si>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</si>
  <si>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</si>
  <si>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</si>
  <si>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</si>
  <si>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</si>
  <si>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</si>
  <si>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</si>
  <si>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</si>
  <si>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</si>
  <si>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</si>
  <si>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</si>
  <si>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</si>
  <si>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</si>
  <si>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</si>
  <si>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</si>
  <si>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</si>
  <si>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</si>
  <si>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</si>
  <si>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</si>
  <si>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</si>
  <si>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</si>
  <si>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</si>
  <si>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</si>
  <si>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</si>
  <si>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</si>
  <si>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</si>
  <si>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</si>
  <si>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</si>
  <si>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</si>
  <si>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</si>
  <si>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</si>
  <si>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</si>
  <si>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</si>
  <si>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</si>
  <si>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</si>
  <si>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</si>
  <si>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</si>
  <si>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</si>
  <si>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</si>
  <si>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</si>
  <si>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</si>
  <si>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</si>
  <si>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</si>
  <si>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</si>
  <si>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</si>
  <si>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</si>
  <si>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</si>
  <si>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</si>
  <si>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</si>
  <si>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</si>
  <si>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</si>
  <si>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</si>
  <si>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</si>
  <si>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</si>
  <si>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</si>
  <si>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</si>
  <si>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</si>
  <si>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</si>
  <si>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</si>
  <si>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</si>
  <si>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</si>
  <si>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</si>
  <si>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</si>
  <si>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</si>
  <si>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</si>
  <si>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</si>
  <si>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</si>
  <si>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</si>
  <si>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</si>
  <si>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</si>
  <si>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</si>
  <si>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</si>
  <si>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</si>
  <si>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</si>
  <si>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</si>
  <si>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</si>
  <si>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</si>
  <si>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</si>
  <si>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</si>
  <si>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</si>
  <si>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</si>
  <si>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</si>
  <si>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</si>
  <si>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</si>
  <si>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</si>
  <si>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</si>
  <si>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</si>
  <si>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</si>
  <si>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</si>
  <si>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</si>
  <si>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</si>
  <si>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</si>
  <si>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</si>
  <si>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</si>
  <si>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</si>
  <si>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</si>
  <si>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</si>
  <si>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</si>
  <si>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</si>
  <si>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</si>
  <si>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</si>
  <si>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</si>
  <si>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</si>
  <si>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</si>
  <si>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</si>
  <si>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</si>
  <si>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</si>
  <si>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</si>
  <si>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</si>
  <si>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</si>
  <si>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</si>
  <si>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</si>
  <si>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</si>
  <si>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</si>
  <si>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</si>
  <si>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</si>
  <si>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</si>
  <si>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</si>
  <si>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</si>
  <si>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</si>
  <si>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</si>
  <si>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</si>
  <si>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</si>
  <si>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</si>
  <si>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</si>
  <si>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</si>
  <si>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</si>
  <si>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</si>
  <si>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</si>
  <si>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</si>
  <si>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</si>
  <si>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</si>
  <si>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</si>
  <si>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</si>
  <si>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</si>
  <si>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</si>
  <si>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</si>
  <si>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</si>
  <si>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</si>
  <si>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</si>
  <si>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</si>
  <si>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</si>
  <si>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</si>
  <si>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</si>
  <si>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</si>
  <si>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</si>
  <si>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</si>
  <si>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</si>
  <si>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</si>
  <si>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</si>
  <si>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</si>
  <si>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</si>
  <si>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</si>
  <si>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</si>
  <si>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</si>
  <si>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</si>
  <si>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</si>
  <si>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</si>
  <si>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</si>
  <si>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</si>
  <si>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</si>
  <si>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</si>
  <si>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</si>
  <si>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</si>
  <si>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</si>
  <si>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</si>
  <si>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</si>
  <si>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</si>
  <si>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</si>
  <si>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</si>
  <si>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</si>
  <si>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</si>
  <si>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</si>
  <si>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</si>
  <si>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</si>
  <si>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</si>
  <si>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</si>
  <si>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</si>
  <si>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</si>
  <si>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</si>
  <si>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</si>
  <si>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</si>
  <si>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</si>
  <si>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</si>
  <si>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</si>
  <si>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</si>
  <si>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</si>
  <si>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</si>
  <si>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</si>
  <si>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</si>
  <si>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</si>
  <si>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</si>
  <si>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</si>
  <si>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</si>
  <si>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</si>
  <si>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</si>
  <si>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</si>
  <si>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</si>
  <si>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</si>
  <si>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</si>
  <si>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</si>
  <si>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</si>
  <si>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</si>
  <si>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</si>
  <si>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</si>
  <si>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</si>
  <si>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</si>
  <si>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</si>
  <si>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</si>
  <si>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</si>
  <si>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</si>
  <si>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</si>
  <si>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</si>
  <si>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</si>
  <si>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</si>
  <si>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</si>
  <si>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</si>
  <si>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</si>
  <si>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</si>
  <si>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</si>
  <si>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</si>
  <si>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</si>
  <si>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</si>
  <si>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</si>
  <si>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</si>
  <si>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</si>
  <si>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</si>
  <si>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</si>
  <si>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</si>
  <si>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</si>
  <si>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</si>
  <si>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</si>
  <si>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</si>
  <si>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</si>
  <si>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</si>
  <si>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</si>
  <si>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</si>
  <si>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</si>
  <si>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</si>
  <si>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</si>
  <si>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</si>
  <si>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</si>
  <si>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</si>
  <si>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</si>
  <si>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</si>
  <si>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</si>
  <si>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</si>
  <si>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</si>
  <si>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</si>
  <si>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</si>
  <si>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</si>
  <si>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</si>
  <si>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</si>
  <si>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</si>
  <si>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</si>
  <si>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</si>
  <si>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</si>
  <si>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</si>
  <si>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</si>
  <si>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</si>
  <si>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</si>
  <si>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</si>
  <si>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</si>
  <si>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</si>
  <si>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</si>
  <si>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</si>
  <si>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</si>
  <si>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</si>
  <si>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</si>
  <si>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</si>
  <si>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</si>
  <si>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</si>
  <si>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</si>
  <si>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</si>
  <si>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</si>
  <si>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</si>
  <si>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</si>
  <si>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</si>
  <si>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</si>
  <si>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</si>
  <si>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</si>
  <si>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</si>
  <si>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</si>
  <si>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</si>
  <si>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</si>
  <si>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</si>
  <si>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</si>
  <si>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</si>
  <si>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</si>
  <si>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</si>
  <si>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</si>
  <si>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</si>
  <si>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</si>
  <si>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</si>
  <si>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</si>
  <si>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</si>
  <si>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</si>
  <si>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</si>
  <si>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</si>
  <si>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</si>
  <si>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</si>
  <si>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</si>
  <si>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</si>
  <si>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</si>
  <si>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</si>
  <si>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</si>
  <si>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</si>
  <si>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</si>
  <si>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</si>
  <si>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</si>
  <si>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</si>
  <si>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</si>
  <si>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</si>
  <si>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</si>
  <si>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</si>
  <si>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</si>
  <si>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</si>
  <si>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</si>
  <si>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</si>
  <si>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</si>
  <si>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</si>
  <si>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</si>
  <si>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</si>
  <si>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</si>
  <si>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</si>
  <si>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</si>
  <si>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</si>
  <si>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</si>
  <si>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</si>
  <si>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</si>
  <si>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</si>
  <si>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</si>
  <si>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</si>
  <si>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</si>
  <si>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</si>
  <si>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</si>
  <si>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</si>
  <si>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</si>
  <si>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</si>
  <si>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</si>
  <si>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</si>
  <si>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</si>
  <si>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</si>
  <si>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</si>
  <si>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</si>
  <si>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</si>
  <si>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</si>
  <si>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</si>
  <si>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</si>
  <si>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</si>
  <si>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</si>
  <si>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</si>
  <si>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</si>
  <si>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</si>
  <si>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</si>
  <si>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</si>
  <si>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</si>
  <si>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</si>
  <si>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</si>
  <si>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</si>
  <si>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</si>
  <si>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</si>
  <si>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</si>
  <si>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</si>
  <si>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</si>
  <si>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</si>
  <si>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</si>
  <si>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</si>
  <si>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</si>
  <si>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</si>
  <si>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</si>
  <si>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</si>
  <si>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</si>
  <si>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</si>
  <si>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</si>
  <si>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</si>
  <si>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</si>
  <si>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</si>
  <si>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</si>
  <si>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</si>
  <si>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</si>
  <si>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</si>
  <si>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</si>
  <si>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</si>
  <si>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</si>
  <si>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</si>
  <si>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</si>
  <si>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</si>
  <si>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</si>
  <si>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</si>
  <si>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</si>
  <si>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</si>
  <si>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</si>
  <si>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</si>
  <si>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</si>
  <si>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</si>
  <si>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</si>
  <si>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</si>
  <si>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</si>
  <si>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</si>
  <si>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</si>
  <si>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</si>
  <si>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</si>
  <si>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</si>
  <si>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</si>
  <si>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</si>
  <si>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</si>
  <si>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</si>
  <si>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</si>
  <si>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</si>
  <si>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</si>
  <si>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</si>
  <si>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</si>
  <si>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</si>
  <si>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</si>
  <si>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</si>
  <si>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</si>
  <si>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</si>
  <si>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</si>
  <si>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</si>
  <si>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</si>
  <si>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</si>
  <si>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</si>
  <si>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</si>
  <si>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</si>
  <si>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</si>
  <si>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</si>
  <si>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</si>
  <si>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</si>
  <si>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</si>
  <si>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</si>
  <si>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</si>
  <si>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</si>
  <si>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</si>
  <si>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</si>
  <si>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</si>
  <si>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</si>
  <si>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</si>
  <si>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</si>
  <si>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</si>
  <si>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</si>
  <si>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</si>
  <si>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</si>
  <si>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</si>
  <si>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</si>
  <si>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</si>
  <si>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</si>
  <si>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</si>
  <si>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</si>
  <si>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</si>
  <si>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</si>
  <si>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</si>
  <si>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</si>
  <si>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</si>
  <si>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</si>
  <si>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</si>
  <si>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</si>
  <si>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</si>
  <si>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</si>
  <si>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</si>
  <si>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</si>
  <si>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</si>
  <si>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</si>
  <si>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</si>
  <si>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</si>
  <si>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</si>
  <si>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</si>
  <si>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</si>
  <si>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</si>
  <si>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</si>
  <si>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</si>
  <si>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</si>
  <si>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</si>
  <si>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</si>
  <si>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</si>
  <si>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</si>
  <si>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</si>
  <si>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</si>
  <si>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</si>
  <si>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</si>
  <si>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</si>
  <si>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</si>
  <si>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</si>
  <si>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</si>
  <si>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</si>
  <si>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</si>
  <si>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</si>
  <si>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</si>
  <si>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</si>
  <si>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</si>
  <si>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</si>
  <si>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</si>
  <si>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</si>
  <si>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</si>
  <si>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</si>
  <si>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</si>
  <si>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</si>
  <si>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</si>
  <si>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</si>
  <si>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</si>
  <si>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</si>
  <si>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</si>
  <si>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</si>
  <si>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</si>
  <si>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</si>
  <si>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</si>
  <si>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</si>
  <si>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</si>
  <si>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</si>
  <si>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</si>
  <si>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</si>
  <si>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</si>
  <si>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</si>
  <si>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</si>
  <si>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</si>
  <si>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</si>
  <si>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</si>
  <si>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</si>
  <si>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</si>
  <si>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</si>
  <si>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</si>
  <si>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</si>
  <si>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</si>
  <si>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</si>
  <si>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</si>
  <si>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</si>
  <si>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</si>
  <si>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</si>
  <si>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</si>
  <si>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</si>
  <si>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</si>
  <si>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</si>
  <si>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</si>
  <si>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</si>
  <si>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</si>
  <si>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</si>
  <si>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</si>
  <si>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</si>
  <si>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</si>
  <si>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</si>
  <si>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</si>
  <si>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</si>
  <si>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</si>
  <si>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</si>
  <si>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</si>
  <si>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</si>
  <si>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</si>
  <si>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</si>
  <si>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</si>
  <si>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</si>
  <si>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</si>
  <si>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</si>
  <si>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</si>
  <si>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</si>
  <si>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</si>
  <si>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</si>
  <si>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</si>
  <si>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</si>
  <si>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</si>
  <si>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</si>
  <si>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</si>
  <si>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</si>
  <si>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</si>
  <si>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</si>
  <si>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</si>
  <si>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</si>
  <si>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</si>
  <si>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</si>
  <si>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</si>
  <si>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</si>
  <si>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</si>
  <si>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</si>
  <si>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</si>
  <si>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</si>
  <si>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</si>
  <si>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</si>
  <si>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</si>
  <si>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</si>
  <si>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</si>
  <si>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</si>
  <si>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</si>
  <si>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</si>
  <si>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</si>
  <si>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</si>
  <si>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</si>
  <si>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</si>
  <si>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</si>
  <si>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</si>
  <si>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</si>
  <si>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</si>
  <si>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</si>
  <si>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</si>
  <si>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</si>
  <si>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</si>
  <si>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</si>
  <si>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</si>
  <si>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</si>
  <si>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</si>
  <si>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</si>
  <si>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</si>
  <si>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</si>
  <si>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</si>
  <si>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</si>
  <si>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</si>
  <si>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</si>
  <si>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</si>
  <si>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</si>
  <si>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</si>
  <si>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</si>
  <si>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</si>
  <si>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</si>
  <si>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</si>
  <si>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</si>
  <si>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</si>
  <si>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</si>
  <si>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</si>
  <si>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</si>
  <si>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</si>
  <si>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</si>
  <si>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</si>
  <si>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</si>
  <si>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</si>
  <si>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</si>
  <si>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</si>
  <si>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</si>
  <si>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</si>
  <si>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</si>
  <si>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</si>
  <si>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</si>
  <si>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</si>
  <si>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</si>
  <si>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</si>
  <si>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</si>
  <si>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</si>
  <si>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</si>
  <si>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</si>
  <si>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</si>
  <si>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</si>
  <si>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</si>
  <si>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</si>
  <si>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</si>
  <si>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</si>
  <si>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</si>
  <si>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</si>
  <si>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</si>
  <si>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</si>
  <si>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</si>
  <si>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</si>
  <si>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</si>
  <si>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</si>
  <si>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</si>
  <si>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</si>
  <si>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</si>
  <si>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</si>
  <si>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</si>
  <si>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</si>
  <si>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</si>
  <si>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</si>
  <si>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</si>
  <si>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</si>
  <si>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</si>
  <si>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</si>
  <si>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</si>
  <si>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</si>
  <si>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</si>
  <si>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</si>
  <si>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</si>
  <si>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</si>
  <si>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</si>
  <si>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</si>
  <si>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</si>
  <si>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</si>
  <si>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</si>
  <si>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</si>
  <si>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</si>
  <si>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</si>
  <si>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</si>
  <si>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</si>
  <si>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</si>
  <si>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</si>
  <si>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</si>
  <si>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</si>
  <si>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</si>
  <si>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</si>
  <si>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</si>
  <si>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</si>
  <si>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</si>
  <si>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</si>
  <si>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</si>
  <si>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</si>
  <si>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</si>
  <si>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</si>
  <si>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</si>
  <si>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</si>
  <si>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</si>
  <si>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</si>
  <si>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</si>
  <si>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</si>
  <si>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</si>
  <si>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</si>
  <si>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</si>
  <si>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</si>
  <si>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</si>
  <si>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</si>
  <si>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</si>
  <si>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</si>
  <si>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</si>
  <si>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</si>
  <si>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</si>
  <si>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</si>
  <si>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</si>
  <si>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</si>
  <si>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</si>
  <si>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</si>
  <si>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</si>
  <si>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</si>
  <si>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</si>
  <si>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</si>
  <si>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</si>
  <si>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</si>
  <si>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</si>
  <si>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</si>
  <si>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</si>
  <si>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</si>
  <si>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</si>
  <si>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</si>
  <si>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</si>
  <si>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</si>
  <si>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</si>
  <si>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</si>
  <si>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</si>
  <si>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</si>
  <si>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</si>
  <si>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</si>
  <si>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</si>
  <si>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</si>
  <si>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</si>
  <si>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</si>
  <si>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</si>
  <si>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</si>
  <si>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</si>
  <si>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</si>
  <si>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</si>
  <si>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</si>
  <si>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</si>
  <si>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</si>
  <si>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</si>
  <si>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</si>
  <si>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</si>
  <si>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</si>
  <si>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</si>
  <si>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</si>
  <si>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</si>
  <si>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</si>
  <si>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</si>
  <si>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</si>
  <si>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</si>
  <si>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</si>
  <si>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</si>
  <si>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</si>
  <si>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</si>
  <si>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</si>
  <si>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</si>
  <si>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</si>
  <si>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</si>
  <si>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</si>
  <si>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</si>
  <si>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</si>
  <si>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</si>
  <si>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</si>
  <si>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</si>
  <si>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</si>
  <si>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</si>
  <si>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</si>
  <si>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</si>
  <si>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</si>
  <si>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</si>
  <si>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</si>
  <si>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</si>
  <si>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</si>
  <si>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</si>
  <si>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</si>
  <si>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</si>
  <si>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</si>
  <si>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</si>
  <si>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</si>
  <si>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</si>
  <si>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</si>
  <si>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</si>
  <si>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</si>
  <si>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</si>
  <si>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</si>
  <si>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</si>
  <si>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</si>
  <si>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</si>
  <si>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</si>
  <si>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</si>
  <si>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</si>
  <si>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</si>
  <si>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</si>
  <si>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</si>
  <si>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</si>
  <si>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</si>
  <si>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</si>
  <si>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</si>
  <si>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</si>
  <si>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</si>
  <si>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</si>
  <si>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</si>
  <si>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</si>
  <si>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</si>
  <si>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</si>
  <si>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</si>
  <si>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</si>
  <si>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</si>
  <si>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</si>
  <si>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</si>
  <si>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</si>
  <si>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</si>
  <si>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</si>
  <si>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</si>
  <si>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</si>
  <si>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</si>
  <si>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</si>
  <si>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</si>
  <si>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</si>
  <si>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</si>
  <si>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</si>
  <si>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</si>
  <si>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</si>
  <si>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</si>
  <si>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</si>
  <si>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</si>
  <si>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</si>
  <si>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</si>
  <si>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</si>
  <si>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</si>
  <si>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</si>
  <si>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</si>
  <si>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</si>
  <si>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</si>
  <si>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</si>
  <si>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</si>
  <si>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</si>
  <si>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</si>
  <si>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</si>
  <si>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</si>
  <si>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</si>
  <si>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</si>
  <si>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</si>
  <si>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</si>
  <si>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</si>
  <si>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</si>
  <si>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</si>
  <si>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</si>
  <si>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</si>
  <si>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</si>
  <si>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</si>
  <si>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</si>
  <si>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</si>
  <si>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</si>
  <si>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</si>
  <si>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</si>
  <si>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</si>
  <si>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</si>
  <si>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</si>
  <si>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</si>
  <si>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</si>
  <si>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</si>
  <si>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</si>
  <si>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</si>
  <si>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</si>
  <si>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</si>
  <si>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</si>
  <si>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</si>
  <si>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</si>
  <si>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</si>
  <si>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</si>
  <si>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</si>
  <si>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</si>
  <si>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</si>
  <si>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</si>
  <si>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</si>
  <si>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</si>
  <si>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</si>
  <si>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</si>
  <si>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</si>
  <si>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</si>
  <si>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</si>
  <si>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</si>
  <si>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</si>
  <si>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</si>
  <si>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</si>
  <si>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</si>
  <si>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</si>
  <si>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</si>
  <si>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</si>
  <si>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</si>
  <si>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</si>
  <si>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</si>
  <si>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</si>
  <si>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</si>
  <si>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</si>
  <si>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</si>
  <si>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</si>
  <si>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</si>
  <si>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</si>
  <si>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</si>
  <si>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</si>
  <si>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</si>
  <si>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</si>
  <si>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</si>
  <si>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</si>
  <si>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</si>
  <si>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</si>
  <si>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</si>
  <si>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</si>
  <si>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</si>
  <si>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</si>
  <si>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</si>
  <si>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</si>
  <si>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</si>
  <si>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</si>
  <si>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</si>
  <si>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</si>
  <si>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</si>
  <si>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</si>
  <si>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</si>
  <si>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</si>
  <si>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</si>
  <si>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</si>
  <si>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</si>
  <si>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</si>
  <si>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</si>
  <si>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</si>
  <si>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</si>
  <si>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</si>
  <si>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</si>
  <si>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</si>
  <si>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</si>
  <si>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</si>
  <si>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</si>
  <si>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</si>
  <si>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</si>
  <si>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</si>
  <si>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</si>
  <si>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</si>
  <si>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</si>
  <si>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</si>
  <si>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</si>
  <si>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</si>
  <si>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</si>
  <si>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</si>
  <si>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</si>
  <si>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</si>
  <si>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</si>
  <si>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</si>
  <si>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</si>
  <si>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</si>
  <si>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</si>
  <si>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</si>
  <si>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</si>
  <si>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</si>
  <si>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</si>
  <si>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</si>
  <si>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</si>
  <si>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</si>
  <si>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</si>
  <si>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</si>
  <si>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</si>
  <si>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</si>
  <si>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</si>
  <si>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</si>
  <si>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</si>
  <si>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</si>
  <si>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</si>
  <si>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</si>
  <si>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</si>
  <si>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</si>
  <si>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</si>
  <si>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</si>
  <si>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</si>
  <si>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</si>
  <si>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</si>
  <si>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</si>
  <si>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</si>
  <si>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</si>
  <si>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</si>
  <si>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</si>
  <si>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</si>
  <si>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</si>
  <si>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</si>
  <si>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</si>
  <si>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</si>
  <si>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</si>
  <si>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</si>
  <si>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</si>
  <si>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</si>
  <si>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</si>
  <si>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</si>
  <si>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</si>
  <si>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</si>
  <si>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</si>
  <si>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</si>
  <si>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</si>
  <si>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</si>
  <si>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</si>
  <si>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</si>
  <si>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</si>
  <si>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</si>
  <si>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</si>
  <si>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</si>
  <si>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</si>
  <si>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</si>
  <si>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</si>
  <si>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</si>
  <si>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</si>
  <si>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</si>
  <si>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</si>
  <si>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</si>
  <si>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</si>
  <si>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</si>
  <si>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</si>
  <si>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</si>
  <si>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</si>
  <si>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</si>
  <si>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</si>
  <si>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</si>
  <si>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</si>
  <si>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</si>
  <si>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</si>
  <si>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</si>
  <si>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</si>
  <si>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</si>
  <si>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</si>
  <si>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</si>
  <si>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</si>
  <si>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</si>
  <si>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</si>
  <si>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</si>
  <si>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</si>
  <si>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</si>
  <si>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</si>
  <si>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</si>
  <si>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</si>
  <si>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</si>
  <si>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</si>
  <si>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</si>
  <si>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</si>
  <si>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</si>
  <si>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</si>
  <si>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</si>
  <si>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</si>
  <si>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</si>
  <si>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</si>
  <si>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</si>
  <si>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</si>
  <si>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</si>
  <si>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</si>
  <si>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</si>
  <si>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</si>
  <si>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</si>
  <si>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</si>
  <si>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</si>
  <si>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</si>
  <si>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</si>
  <si>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</si>
  <si>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</si>
  <si>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</si>
  <si>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</si>
  <si>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</si>
  <si>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</si>
  <si>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</si>
  <si>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</si>
  <si>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</si>
  <si>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</si>
  <si>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</si>
  <si>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</si>
  <si>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</si>
  <si>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</si>
  <si>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</si>
  <si>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</si>
  <si>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</si>
  <si>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</si>
  <si>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</si>
  <si>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</si>
  <si>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</si>
  <si>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</si>
  <si>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</si>
  <si>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</si>
  <si>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</si>
  <si>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</si>
  <si>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</si>
  <si>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</si>
  <si>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</si>
  <si>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</si>
  <si>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</si>
  <si>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</si>
  <si>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</si>
  <si>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</si>
  <si>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</si>
  <si>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</si>
  <si>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</si>
  <si>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</si>
  <si>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</si>
  <si>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</si>
  <si>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</si>
  <si>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</si>
  <si>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</si>
  <si>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</si>
  <si>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</si>
  <si>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</si>
  <si>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</si>
  <si>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</si>
  <si>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</si>
  <si>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</si>
  <si>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</si>
  <si>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</si>
  <si>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</si>
  <si>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</si>
  <si>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</si>
  <si>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</si>
  <si>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</si>
  <si>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</si>
  <si>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</si>
  <si>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</si>
  <si>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</si>
  <si>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</si>
  <si>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</si>
  <si>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</si>
  <si>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</si>
  <si>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</si>
  <si>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</si>
  <si>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</si>
  <si>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</si>
  <si>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</si>
  <si>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</si>
  <si>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</si>
  <si>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</si>
  <si>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</si>
  <si>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</si>
  <si>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</si>
  <si>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</si>
  <si>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</si>
  <si>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</si>
  <si>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</si>
  <si>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</si>
  <si>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</si>
  <si>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</si>
  <si>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</si>
  <si>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</si>
  <si>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</si>
  <si>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</si>
  <si>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</si>
  <si>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</si>
  <si>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</si>
  <si>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</si>
  <si>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</si>
  <si>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</si>
  <si>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</si>
  <si>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</si>
  <si>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</si>
  <si>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</si>
  <si>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</si>
  <si>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</si>
  <si>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</si>
  <si>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</si>
  <si>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</si>
  <si>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</si>
  <si>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</si>
  <si>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</si>
  <si>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</si>
  <si>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</si>
  <si>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</si>
  <si>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</si>
  <si>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</si>
  <si>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</si>
  <si>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</si>
  <si>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</si>
  <si>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</si>
  <si>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</si>
  <si>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</si>
  <si>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</si>
  <si>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</si>
  <si>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</si>
  <si>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</si>
  <si>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</si>
  <si>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</si>
  <si>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</si>
  <si>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</si>
  <si>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</si>
  <si>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</si>
  <si>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</si>
  <si>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</si>
  <si>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</si>
  <si>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</si>
  <si>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</si>
  <si>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</si>
  <si>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</si>
  <si>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</si>
  <si>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</si>
  <si>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</si>
  <si>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</si>
  <si>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</si>
  <si>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</si>
  <si>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</si>
  <si>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</si>
  <si>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</si>
  <si>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</si>
  <si>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</si>
  <si>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</si>
  <si>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</si>
  <si>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</si>
  <si>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</si>
  <si>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</si>
  <si>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</si>
  <si>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</si>
  <si>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</si>
  <si>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</si>
  <si>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</si>
  <si>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</si>
  <si>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</si>
  <si>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</si>
  <si>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</si>
  <si>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</si>
  <si>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</si>
  <si>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</si>
  <si>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</si>
  <si>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</si>
  <si>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</si>
  <si>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</si>
  <si>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</si>
  <si>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</si>
  <si>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</si>
  <si>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</si>
  <si>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</si>
  <si>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</si>
  <si>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</si>
  <si>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</si>
  <si>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</si>
  <si>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</si>
  <si>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</si>
  <si>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</si>
  <si>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</si>
  <si>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</si>
  <si>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</si>
  <si>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</si>
  <si>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</si>
  <si>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</si>
  <si>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</si>
  <si>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</si>
  <si>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</si>
  <si>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</si>
  <si>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</si>
  <si>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</si>
  <si>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</si>
  <si>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</si>
  <si>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</si>
  <si>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</si>
  <si>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</si>
  <si>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</si>
  <si>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</si>
  <si>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</si>
  <si>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</si>
  <si>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</si>
  <si>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</si>
  <si>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</si>
  <si>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</si>
  <si>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</si>
  <si>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</si>
  <si>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</si>
  <si>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</si>
  <si>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</si>
  <si>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</si>
  <si>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</si>
  <si>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</si>
  <si>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</si>
  <si>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</si>
  <si>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</si>
  <si>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</si>
  <si>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</si>
  <si>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</si>
  <si>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</si>
  <si>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</si>
  <si>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</si>
  <si>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</si>
  <si>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</si>
  <si>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</si>
  <si>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</si>
  <si>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</si>
  <si>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</si>
  <si>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</si>
  <si>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</si>
  <si>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</si>
  <si>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</si>
  <si>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</si>
  <si>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</si>
  <si>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</si>
  <si>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</si>
  <si>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</si>
  <si>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</si>
  <si>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</si>
  <si>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</si>
  <si>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</si>
  <si>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</si>
  <si>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</si>
  <si>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</si>
  <si>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</si>
  <si>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</si>
  <si>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</si>
  <si>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</si>
  <si>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</si>
  <si>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</si>
  <si>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</si>
  <si>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</si>
  <si>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</si>
  <si>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</si>
  <si>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</si>
  <si>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</si>
  <si>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</si>
  <si>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</si>
  <si>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</si>
  <si>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</si>
  <si>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</si>
  <si>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</si>
  <si>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</si>
  <si>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</si>
  <si>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</si>
  <si>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</si>
  <si>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</si>
  <si>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</si>
  <si>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</si>
  <si>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</si>
  <si>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</si>
  <si>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</si>
  <si>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</si>
  <si>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</si>
  <si>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</si>
  <si>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</si>
  <si>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</si>
  <si>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</si>
  <si>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</si>
  <si>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</si>
  <si>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</si>
  <si>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</si>
  <si>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</si>
  <si>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</si>
  <si>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</si>
  <si>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</si>
  <si>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</si>
  <si>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</si>
  <si>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</si>
  <si>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</si>
  <si>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</si>
  <si>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</si>
  <si>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</si>
  <si>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</si>
  <si>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</si>
  <si>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</si>
  <si>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</si>
  <si>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</si>
  <si>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</si>
  <si>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</si>
  <si>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</si>
  <si>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</si>
  <si>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</si>
  <si>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</si>
  <si>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</si>
  <si>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</si>
  <si>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</si>
  <si>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</si>
  <si>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</si>
  <si>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</si>
  <si>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</si>
  <si>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</si>
  <si>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</si>
  <si>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</si>
  <si>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</si>
  <si>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</si>
  <si>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</si>
  <si>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</si>
  <si>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</si>
  <si>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</si>
  <si>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</si>
  <si>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</si>
  <si>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</si>
  <si>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</si>
  <si>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</si>
  <si>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</si>
  <si>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</si>
  <si>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</si>
  <si>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</si>
  <si>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</si>
  <si>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</si>
  <si>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</si>
  <si>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</si>
  <si>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</si>
  <si>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</si>
  <si>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</si>
  <si>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</si>
  <si>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</si>
  <si>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</si>
  <si>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</si>
  <si>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</si>
  <si>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</si>
  <si>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</si>
  <si>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</si>
  <si>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</si>
  <si>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</si>
  <si>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</si>
  <si>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</si>
  <si>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</si>
  <si>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</si>
  <si>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</si>
  <si>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</si>
  <si>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</si>
  <si>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</si>
  <si>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</si>
  <si>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</si>
  <si>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</si>
  <si>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</si>
  <si>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</si>
  <si>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</si>
  <si>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</si>
  <si>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</si>
  <si>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</si>
  <si>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</si>
  <si>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</si>
  <si>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</si>
  <si>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</si>
  <si>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</si>
  <si>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</si>
  <si>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</si>
  <si>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</si>
  <si>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</si>
  <si>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</si>
  <si>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</si>
  <si>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</si>
  <si>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</si>
  <si>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</si>
  <si>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</si>
  <si>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</si>
  <si>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</si>
  <si>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</si>
  <si>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</si>
  <si>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</si>
  <si>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</si>
  <si>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</si>
  <si>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</si>
  <si>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</si>
  <si>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</si>
  <si>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</si>
  <si>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</si>
  <si>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</si>
  <si>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</si>
  <si>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</si>
  <si>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</si>
  <si>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</si>
  <si>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</si>
  <si>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</si>
  <si>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</si>
  <si>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</si>
  <si>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</si>
  <si>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</si>
  <si>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</si>
  <si>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</si>
  <si>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</si>
  <si>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</si>
  <si>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</si>
  <si>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</si>
  <si>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</si>
  <si>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</si>
  <si>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</si>
  <si>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</si>
  <si>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</si>
  <si>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</si>
  <si>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</si>
  <si>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</si>
  <si>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</si>
  <si>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</si>
  <si>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</si>
  <si>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</si>
  <si>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</si>
  <si>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</si>
  <si>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</si>
  <si>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</si>
  <si>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</si>
  <si>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</si>
  <si>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1-2</t>
    </r>
    <r>
      <rPr>
        <sz val="11"/>
        <rFont val="宋体"/>
        <family val="3"/>
        <charset val="134"/>
      </rPr>
      <t>层</t>
    </r>
    <phoneticPr fontId="25" type="noConversion"/>
  </si>
  <si>
    <r>
      <t>1</t>
    </r>
    <r>
      <rPr>
        <sz val="11"/>
        <color indexed="8"/>
        <rFont val="Arial"/>
        <family val="2"/>
      </rPr>
      <t>-2</t>
    </r>
    <r>
      <rPr>
        <sz val="11"/>
        <color indexed="8"/>
        <rFont val="宋体"/>
        <family val="3"/>
        <charset val="134"/>
      </rPr>
      <t>层</t>
    </r>
  </si>
  <si>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</si>
  <si>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</si>
  <si>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</si>
  <si>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</si>
  <si>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</si>
  <si>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</si>
  <si>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</si>
  <si>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</si>
  <si>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</si>
  <si>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</si>
  <si>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</si>
  <si>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</si>
  <si>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</si>
  <si>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rFont val="宋体"/>
        <family val="3"/>
        <charset val="134"/>
      </rPr>
      <t>层</t>
    </r>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</si>
  <si>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</si>
  <si>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</si>
  <si>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</si>
  <si>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</si>
  <si>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</si>
  <si>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</si>
  <si>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</si>
  <si>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</si>
  <si>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</si>
  <si>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</si>
  <si>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</si>
  <si>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</si>
  <si>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北京市朝阳区建国路79号</t>
    <phoneticPr fontId="7" type="noConversion"/>
  </si>
  <si>
    <t>估价对象位于CBD商圈，周边商业氛围成熟，人流量大，商业繁华度好</t>
    <phoneticPr fontId="20" type="noConversion"/>
  </si>
  <si>
    <t>估价对象周边公共交通包括：54路、58路、382路等公交线路，1公里以内有地铁1号线和14号线换乘站大望路地铁站。综合评价交通便捷度好</t>
    <phoneticPr fontId="20" type="noConversion"/>
  </si>
  <si>
    <t>七通</t>
    <phoneticPr fontId="20" type="noConversion"/>
  </si>
  <si>
    <t>区域自然环境：庆丰公园、惠水湾森林公园；人文环境：首都经济贸易大学（红庙校区）、中央电视台；综合评价环境状况好</t>
    <phoneticPr fontId="20" type="noConversion"/>
  </si>
  <si>
    <t>城市主干道—建国路</t>
    <phoneticPr fontId="20" type="noConversion"/>
  </si>
  <si>
    <t>建国路89号</t>
    <phoneticPr fontId="25" type="noConversion"/>
  </si>
  <si>
    <t>单面临街</t>
    <phoneticPr fontId="25" type="noConversion"/>
  </si>
  <si>
    <t>城市主干道—建国路</t>
    <phoneticPr fontId="25" type="noConversion"/>
  </si>
  <si>
    <r>
      <rPr>
        <sz val="11"/>
        <color indexed="8"/>
        <rFont val="宋体"/>
        <family val="3"/>
        <charset val="134"/>
      </rPr>
      <t>城市主干道</t>
    </r>
    <r>
      <rPr>
        <sz val="11"/>
        <color indexed="8"/>
        <rFont val="Arial"/>
        <family val="2"/>
      </rPr>
      <t>—</t>
    </r>
    <r>
      <rPr>
        <sz val="11"/>
        <color indexed="8"/>
        <rFont val="宋体"/>
        <family val="3"/>
        <charset val="134"/>
      </rPr>
      <t>西大望路</t>
    </r>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</si>
  <si>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</si>
  <si>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</si>
  <si>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</si>
  <si>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华贸购物中心</t>
    <phoneticPr fontId="25" type="noConversion"/>
  </si>
  <si>
    <t>华贸购物中心</t>
    <phoneticPr fontId="146" type="noConversion"/>
  </si>
  <si>
    <t>CBD万达广场</t>
    <phoneticPr fontId="146" type="noConversion"/>
  </si>
  <si>
    <t>城市主干道—建国路</t>
    <phoneticPr fontId="146" type="noConversion"/>
  </si>
  <si>
    <t>城市主干道—建国路</t>
    <phoneticPr fontId="146" type="noConversion"/>
  </si>
  <si>
    <t>城市次干道—针织路</t>
    <phoneticPr fontId="146" type="noConversion"/>
  </si>
  <si>
    <t>层高5米以上</t>
  </si>
  <si>
    <t>层高5米以上</t>
    <phoneticPr fontId="146" type="noConversion"/>
  </si>
  <si>
    <t>正常层高</t>
    <phoneticPr fontId="146" type="noConversion"/>
  </si>
  <si>
    <t>社区底商</t>
    <phoneticPr fontId="25" type="noConversion"/>
  </si>
  <si>
    <t>写字楼配套</t>
    <phoneticPr fontId="25" type="noConversion"/>
  </si>
  <si>
    <t>北京市朝阳区建国路79号一层L125、L126及二层L229、L230</t>
    <phoneticPr fontId="7" type="noConversion"/>
  </si>
  <si>
    <t>9</t>
    <phoneticPr fontId="4"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</si>
  <si>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</si>
  <si>
    <t>建国门外大街1号</t>
    <phoneticPr fontId="25" type="noConversion"/>
  </si>
  <si>
    <t>东方梅地亚中心</t>
    <phoneticPr fontId="25" type="noConversion"/>
  </si>
  <si>
    <t>城市主干道—建国门外大街</t>
    <phoneticPr fontId="25" type="noConversion"/>
  </si>
  <si>
    <t>城市次干道—郎家园路</t>
    <phoneticPr fontId="25" type="noConversion"/>
  </si>
  <si>
    <t>建外SOHO</t>
    <phoneticPr fontId="4" type="noConversion"/>
  </si>
  <si>
    <t>城市次干路—景恒街</t>
    <phoneticPr fontId="146" type="noConversion"/>
  </si>
  <si>
    <t>城市次干路—景恒街</t>
    <phoneticPr fontId="146" type="noConversion"/>
  </si>
  <si>
    <t>临街店铺</t>
  </si>
  <si>
    <t>临街店铺</t>
    <phoneticPr fontId="146" type="noConversion"/>
  </si>
  <si>
    <t>10米及以下</t>
    <phoneticPr fontId="146" type="noConversion"/>
  </si>
  <si>
    <t>10米及以下</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</si>
</sst>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wrapText="1"/>
      <protection locked="0"/>
    </xf>
    <xf numFmtId="0" fontId="53" fillId="8" borderId="3" xfId="0" applyNumberFormat="1" applyFont="1" applyFill="1" applyBorder="1" applyAlignment="1" applyProtection="1">
      <alignment horizontal="center" vertical="center" wrapText="1"/>
      <protection locked="0"/>
    </xf>
    <xf numFmtId="179" fontId="111" fillId="8" borderId="1" xfId="8" applyNumberFormat="1" applyFont="1" applyFill="1" applyBorder="1" applyAlignment="1">
      <alignment horizontal="center" vertical="center" wrapText="1" shrinkToFi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46" fillId="0" borderId="1" xfId="8"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0" borderId="35"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179" fontId="111" fillId="8" borderId="35" xfId="8" applyNumberFormat="1" applyFont="1" applyFill="1" applyBorder="1" applyAlignment="1">
      <alignment horizontal="center" vertical="center" wrapText="1" shrinkToFit="1"/>
    </xf>
    <xf numFmtId="179" fontId="111" fillId="8" borderId="36" xfId="8" applyNumberFormat="1" applyFont="1" applyFill="1" applyBorder="1" applyAlignment="1">
      <alignment horizontal="center" vertical="center" wrapText="1" shrinkToFit="1"/>
    </xf>
    <xf numFmtId="179" fontId="111" fillId="8" borderId="27" xfId="8" applyNumberFormat="1" applyFont="1" applyFill="1" applyBorder="1" applyAlignment="1">
      <alignment horizontal="center" vertical="center" wrapText="1" shrinkToFit="1"/>
    </xf>
    <xf numFmtId="179" fontId="111" fillId="8" borderId="64" xfId="8" applyNumberFormat="1" applyFont="1" applyFill="1" applyBorder="1" applyAlignment="1">
      <alignment horizontal="center" vertical="center" wrapText="1" shrinkToFit="1"/>
    </xf>
    <xf numFmtId="179" fontId="111" fillId="8" borderId="65" xfId="8" applyNumberFormat="1" applyFont="1" applyFill="1" applyBorder="1" applyAlignment="1">
      <alignment horizontal="center" vertical="center" wrapText="1" shrinkToFit="1"/>
    </xf>
    <xf numFmtId="179" fontId="111" fillId="8" borderId="24"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260" fillId="0" borderId="2" xfId="8" applyFont="1" applyFill="1" applyBorder="1" applyAlignment="1">
      <alignment horizontal="center" vertical="center" wrapText="1" shrinkToFit="1"/>
    </xf>
    <xf numFmtId="0" fontId="260" fillId="0" borderId="51" xfId="8" applyFont="1" applyFill="1" applyBorder="1" applyAlignment="1">
      <alignment horizontal="center" vertical="center" wrapText="1" shrinkToFit="1"/>
    </xf>
    <xf numFmtId="0" fontId="260" fillId="0" borderId="3" xfId="8" applyFont="1" applyFill="1" applyBorder="1" applyAlignment="1">
      <alignment horizontal="center"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48</xdr:row>
      <xdr:rowOff>1</xdr:rowOff>
    </xdr:from>
    <xdr:to>
      <xdr:col>16</xdr:col>
      <xdr:colOff>485775</xdr:colOff>
      <xdr:row>79</xdr:row>
      <xdr:rowOff>41095</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8229601"/>
          <a:ext cx="11458575" cy="5356044"/>
        </a:xfrm>
        <a:prstGeom prst="rect">
          <a:avLst/>
        </a:prstGeom>
      </xdr:spPr>
    </xdr:pic>
    <xdr:clientData/>
  </xdr:twoCellAnchor>
  <xdr:twoCellAnchor editAs="oneCell">
    <xdr:from>
      <xdr:col>0</xdr:col>
      <xdr:colOff>1</xdr:colOff>
      <xdr:row>80</xdr:row>
      <xdr:rowOff>0</xdr:rowOff>
    </xdr:from>
    <xdr:to>
      <xdr:col>11</xdr:col>
      <xdr:colOff>381001</xdr:colOff>
      <xdr:row>95</xdr:row>
      <xdr:rowOff>25613</xdr:rowOff>
    </xdr:to>
    <xdr:pic>
      <xdr:nvPicPr>
        <xdr:cNvPr id="12" name="图片 11"/>
        <xdr:cNvPicPr>
          <a:picLocks noChangeAspect="1"/>
        </xdr:cNvPicPr>
      </xdr:nvPicPr>
      <xdr:blipFill>
        <a:blip xmlns:r="http://schemas.openxmlformats.org/officeDocument/2006/relationships" r:embed="rId2"/>
        <a:stretch>
          <a:fillRect/>
        </a:stretch>
      </xdr:blipFill>
      <xdr:spPr>
        <a:xfrm>
          <a:off x="1" y="13716000"/>
          <a:ext cx="7924800" cy="2597363"/>
        </a:xfrm>
        <a:prstGeom prst="rect">
          <a:avLst/>
        </a:prstGeom>
      </xdr:spPr>
    </xdr:pic>
    <xdr:clientData/>
  </xdr:twoCellAnchor>
  <xdr:twoCellAnchor editAs="oneCell">
    <xdr:from>
      <xdr:col>0</xdr:col>
      <xdr:colOff>0</xdr:colOff>
      <xdr:row>1</xdr:row>
      <xdr:rowOff>0</xdr:rowOff>
    </xdr:from>
    <xdr:to>
      <xdr:col>16</xdr:col>
      <xdr:colOff>257175</xdr:colOff>
      <xdr:row>31</xdr:row>
      <xdr:rowOff>129223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11229975" cy="5272723"/>
        </a:xfrm>
        <a:prstGeom prst="rect">
          <a:avLst/>
        </a:prstGeom>
      </xdr:spPr>
    </xdr:pic>
    <xdr:clientData/>
  </xdr:twoCellAnchor>
  <xdr:twoCellAnchor editAs="oneCell">
    <xdr:from>
      <xdr:col>0</xdr:col>
      <xdr:colOff>28575</xdr:colOff>
      <xdr:row>31</xdr:row>
      <xdr:rowOff>95250</xdr:rowOff>
    </xdr:from>
    <xdr:to>
      <xdr:col>11</xdr:col>
      <xdr:colOff>266700</xdr:colOff>
      <xdr:row>45</xdr:row>
      <xdr:rowOff>146301</xdr:rowOff>
    </xdr:to>
    <xdr:pic>
      <xdr:nvPicPr>
        <xdr:cNvPr id="6" name="图片 5"/>
        <xdr:cNvPicPr>
          <a:picLocks noChangeAspect="1"/>
        </xdr:cNvPicPr>
      </xdr:nvPicPr>
      <xdr:blipFill>
        <a:blip xmlns:r="http://schemas.openxmlformats.org/officeDocument/2006/relationships" r:embed="rId4"/>
        <a:stretch>
          <a:fillRect/>
        </a:stretch>
      </xdr:blipFill>
      <xdr:spPr>
        <a:xfrm>
          <a:off x="28575" y="5410200"/>
          <a:ext cx="7781925" cy="2451351"/>
        </a:xfrm>
        <a:prstGeom prst="rect">
          <a:avLst/>
        </a:prstGeom>
      </xdr:spPr>
    </xdr:pic>
    <xdr:clientData/>
  </xdr:twoCellAnchor>
  <xdr:twoCellAnchor editAs="oneCell">
    <xdr:from>
      <xdr:col>0</xdr:col>
      <xdr:colOff>0</xdr:colOff>
      <xdr:row>97</xdr:row>
      <xdr:rowOff>0</xdr:rowOff>
    </xdr:from>
    <xdr:to>
      <xdr:col>17</xdr:col>
      <xdr:colOff>46163</xdr:colOff>
      <xdr:row>129</xdr:row>
      <xdr:rowOff>18362</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6630650"/>
          <a:ext cx="11704763" cy="5504762"/>
        </a:xfrm>
        <a:prstGeom prst="rect">
          <a:avLst/>
        </a:prstGeom>
      </xdr:spPr>
    </xdr:pic>
    <xdr:clientData/>
  </xdr:twoCellAnchor>
  <xdr:twoCellAnchor editAs="oneCell">
    <xdr:from>
      <xdr:col>0</xdr:col>
      <xdr:colOff>0</xdr:colOff>
      <xdr:row>129</xdr:row>
      <xdr:rowOff>38100</xdr:rowOff>
    </xdr:from>
    <xdr:to>
      <xdr:col>13</xdr:col>
      <xdr:colOff>75077</xdr:colOff>
      <xdr:row>144</xdr:row>
      <xdr:rowOff>161588</xdr:rowOff>
    </xdr:to>
    <xdr:pic>
      <xdr:nvPicPr>
        <xdr:cNvPr id="8" name="图片 7"/>
        <xdr:cNvPicPr>
          <a:picLocks noChangeAspect="1"/>
        </xdr:cNvPicPr>
      </xdr:nvPicPr>
      <xdr:blipFill>
        <a:blip xmlns:r="http://schemas.openxmlformats.org/officeDocument/2006/relationships" r:embed="rId6"/>
        <a:stretch>
          <a:fillRect/>
        </a:stretch>
      </xdr:blipFill>
      <xdr:spPr>
        <a:xfrm>
          <a:off x="0" y="22155150"/>
          <a:ext cx="8990477" cy="2695238"/>
        </a:xfrm>
        <a:prstGeom prst="rect">
          <a:avLst/>
        </a:prstGeom>
      </xdr:spPr>
    </xdr:pic>
    <xdr:clientData/>
  </xdr:twoCellAnchor>
  <xdr:twoCellAnchor editAs="oneCell">
    <xdr:from>
      <xdr:col>2</xdr:col>
      <xdr:colOff>0</xdr:colOff>
      <xdr:row>146</xdr:row>
      <xdr:rowOff>0</xdr:rowOff>
    </xdr:from>
    <xdr:to>
      <xdr:col>14</xdr:col>
      <xdr:colOff>265639</xdr:colOff>
      <xdr:row>174</xdr:row>
      <xdr:rowOff>18448</xdr:rowOff>
    </xdr:to>
    <xdr:pic>
      <xdr:nvPicPr>
        <xdr:cNvPr id="9" name="图片 8"/>
        <xdr:cNvPicPr>
          <a:picLocks noChangeAspect="1"/>
        </xdr:cNvPicPr>
      </xdr:nvPicPr>
      <xdr:blipFill>
        <a:blip xmlns:r="http://schemas.openxmlformats.org/officeDocument/2006/relationships" r:embed="rId7"/>
        <a:stretch>
          <a:fillRect/>
        </a:stretch>
      </xdr:blipFill>
      <xdr:spPr>
        <a:xfrm>
          <a:off x="1371600" y="25031700"/>
          <a:ext cx="8495239" cy="4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15</xdr:col>
      <xdr:colOff>323851</xdr:colOff>
      <xdr:row>31</xdr:row>
      <xdr:rowOff>166299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71450"/>
          <a:ext cx="10610850" cy="5309799"/>
        </a:xfrm>
        <a:prstGeom prst="rect">
          <a:avLst/>
        </a:prstGeom>
      </xdr:spPr>
    </xdr:pic>
    <xdr:clientData/>
  </xdr:twoCellAnchor>
  <xdr:twoCellAnchor editAs="oneCell">
    <xdr:from>
      <xdr:col>0</xdr:col>
      <xdr:colOff>0</xdr:colOff>
      <xdr:row>32</xdr:row>
      <xdr:rowOff>47625</xdr:rowOff>
    </xdr:from>
    <xdr:to>
      <xdr:col>11</xdr:col>
      <xdr:colOff>213541</xdr:colOff>
      <xdr:row>47</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534025"/>
          <a:ext cx="7757341" cy="2638425"/>
        </a:xfrm>
        <a:prstGeom prst="rect">
          <a:avLst/>
        </a:prstGeom>
      </xdr:spPr>
    </xdr:pic>
    <xdr:clientData/>
  </xdr:twoCellAnchor>
  <xdr:twoCellAnchor editAs="oneCell">
    <xdr:from>
      <xdr:col>0</xdr:col>
      <xdr:colOff>0</xdr:colOff>
      <xdr:row>50</xdr:row>
      <xdr:rowOff>0</xdr:rowOff>
    </xdr:from>
    <xdr:to>
      <xdr:col>16</xdr:col>
      <xdr:colOff>161925</xdr:colOff>
      <xdr:row>80</xdr:row>
      <xdr:rowOff>77611</xdr:rowOff>
    </xdr:to>
    <xdr:pic>
      <xdr:nvPicPr>
        <xdr:cNvPr id="7" name="图片 6"/>
        <xdr:cNvPicPr>
          <a:picLocks noChangeAspect="1"/>
        </xdr:cNvPicPr>
      </xdr:nvPicPr>
      <xdr:blipFill>
        <a:blip xmlns:r="http://schemas.openxmlformats.org/officeDocument/2006/relationships" r:embed="rId3"/>
        <a:stretch>
          <a:fillRect/>
        </a:stretch>
      </xdr:blipFill>
      <xdr:spPr>
        <a:xfrm>
          <a:off x="0" y="8572500"/>
          <a:ext cx="11134725" cy="5221111"/>
        </a:xfrm>
        <a:prstGeom prst="rect">
          <a:avLst/>
        </a:prstGeom>
      </xdr:spPr>
    </xdr:pic>
    <xdr:clientData/>
  </xdr:twoCellAnchor>
  <xdr:twoCellAnchor editAs="oneCell">
    <xdr:from>
      <xdr:col>0</xdr:col>
      <xdr:colOff>0</xdr:colOff>
      <xdr:row>81</xdr:row>
      <xdr:rowOff>0</xdr:rowOff>
    </xdr:from>
    <xdr:to>
      <xdr:col>12</xdr:col>
      <xdr:colOff>389514</xdr:colOff>
      <xdr:row>97</xdr:row>
      <xdr:rowOff>133350</xdr:rowOff>
    </xdr:to>
    <xdr:pic>
      <xdr:nvPicPr>
        <xdr:cNvPr id="8" name="图片 7"/>
        <xdr:cNvPicPr>
          <a:picLocks noChangeAspect="1"/>
        </xdr:cNvPicPr>
      </xdr:nvPicPr>
      <xdr:blipFill>
        <a:blip xmlns:r="http://schemas.openxmlformats.org/officeDocument/2006/relationships" r:embed="rId4"/>
        <a:stretch>
          <a:fillRect/>
        </a:stretch>
      </xdr:blipFill>
      <xdr:spPr>
        <a:xfrm>
          <a:off x="0" y="13887450"/>
          <a:ext cx="8619114" cy="2876550"/>
        </a:xfrm>
        <a:prstGeom prst="rect">
          <a:avLst/>
        </a:prstGeom>
      </xdr:spPr>
    </xdr:pic>
    <xdr:clientData/>
  </xdr:twoCellAnchor>
  <xdr:twoCellAnchor editAs="oneCell">
    <xdr:from>
      <xdr:col>0</xdr:col>
      <xdr:colOff>0</xdr:colOff>
      <xdr:row>100</xdr:row>
      <xdr:rowOff>0</xdr:rowOff>
    </xdr:from>
    <xdr:to>
      <xdr:col>17</xdr:col>
      <xdr:colOff>112829</xdr:colOff>
      <xdr:row>132</xdr:row>
      <xdr:rowOff>46934</xdr:rowOff>
    </xdr:to>
    <xdr:pic>
      <xdr:nvPicPr>
        <xdr:cNvPr id="9" name="图片 8"/>
        <xdr:cNvPicPr>
          <a:picLocks noChangeAspect="1"/>
        </xdr:cNvPicPr>
      </xdr:nvPicPr>
      <xdr:blipFill>
        <a:blip xmlns:r="http://schemas.openxmlformats.org/officeDocument/2006/relationships" r:embed="rId5"/>
        <a:stretch>
          <a:fillRect/>
        </a:stretch>
      </xdr:blipFill>
      <xdr:spPr>
        <a:xfrm>
          <a:off x="0" y="17145000"/>
          <a:ext cx="11771429" cy="5533334"/>
        </a:xfrm>
        <a:prstGeom prst="rect">
          <a:avLst/>
        </a:prstGeom>
      </xdr:spPr>
    </xdr:pic>
    <xdr:clientData/>
  </xdr:twoCellAnchor>
  <xdr:twoCellAnchor editAs="oneCell">
    <xdr:from>
      <xdr:col>0</xdr:col>
      <xdr:colOff>0</xdr:colOff>
      <xdr:row>133</xdr:row>
      <xdr:rowOff>0</xdr:rowOff>
    </xdr:from>
    <xdr:to>
      <xdr:col>11</xdr:col>
      <xdr:colOff>465724</xdr:colOff>
      <xdr:row>148</xdr:row>
      <xdr:rowOff>47298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22802850"/>
          <a:ext cx="8009524" cy="2619048"/>
        </a:xfrm>
        <a:prstGeom prst="rect">
          <a:avLst/>
        </a:prstGeom>
      </xdr:spPr>
    </xdr:pic>
    <xdr:clientData/>
  </xdr:twoCellAnchor>
  <xdr:twoCellAnchor editAs="oneCell">
    <xdr:from>
      <xdr:col>2</xdr:col>
      <xdr:colOff>0</xdr:colOff>
      <xdr:row>149</xdr:row>
      <xdr:rowOff>0</xdr:rowOff>
    </xdr:from>
    <xdr:to>
      <xdr:col>14</xdr:col>
      <xdr:colOff>370401</xdr:colOff>
      <xdr:row>178</xdr:row>
      <xdr:rowOff>75569</xdr:rowOff>
    </xdr:to>
    <xdr:pic>
      <xdr:nvPicPr>
        <xdr:cNvPr id="11" name="图片 10"/>
        <xdr:cNvPicPr>
          <a:picLocks noChangeAspect="1"/>
        </xdr:cNvPicPr>
      </xdr:nvPicPr>
      <xdr:blipFill>
        <a:blip xmlns:r="http://schemas.openxmlformats.org/officeDocument/2006/relationships" r:embed="rId7"/>
        <a:stretch>
          <a:fillRect/>
        </a:stretch>
      </xdr:blipFill>
      <xdr:spPr>
        <a:xfrm>
          <a:off x="1371600" y="25546050"/>
          <a:ext cx="8600001" cy="5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估价对象为北京市房地产，为XX所有。根据《不动产权证书》[]，估价对象建筑面积为732.42平方米，（分摊）出让国有建设用地使用权面积为0平方米。估价对象用途为。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2021年1月6日</v>
      </c>
    </row>
    <row r="10" spans="1:2">
      <c r="A10" s="1698" t="s">
        <v>1110</v>
      </c>
      <c r="B10" s="1685" t="str">
        <f>'预评函-1'!A13</f>
        <v>本次估价的“房地产价值”是指在正常市场情况下，在价值时点2021年1月6日，估价对象规划用途为，假定未设立法定优先受偿款下的房地产市场价值。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732.42</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8" sqref="I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44165</v>
      </c>
      <c r="C2" s="1994" t="s">
        <v>1539</v>
      </c>
      <c r="D2" s="1084">
        <v>44202</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3138</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45" t="s">
        <v>1549</v>
      </c>
      <c r="B8" s="2014" t="s">
        <v>1550</v>
      </c>
      <c r="C8" s="2957" t="s">
        <v>3162</v>
      </c>
      <c r="D8" s="2958"/>
      <c r="E8" s="2015" t="s">
        <v>1551</v>
      </c>
      <c r="F8" s="2016" t="s">
        <v>1552</v>
      </c>
      <c r="G8" s="690" t="str">
        <f>C6</f>
        <v>北京市朝阳区建国路79号</v>
      </c>
    </row>
    <row r="9" spans="1:10" ht="25.5">
      <c r="A9" s="2945"/>
      <c r="B9" s="344" t="s">
        <v>1553</v>
      </c>
      <c r="C9" s="2881" t="s">
        <v>3133</v>
      </c>
      <c r="D9" s="2017" t="s">
        <v>3046</v>
      </c>
      <c r="E9" s="1006" t="s">
        <v>1554</v>
      </c>
      <c r="F9" s="992"/>
      <c r="G9" s="1008"/>
    </row>
    <row r="10" spans="1:10" ht="13.5" thickBot="1">
      <c r="A10" s="2945"/>
      <c r="B10" s="344" t="s">
        <v>1555</v>
      </c>
      <c r="C10" s="2959"/>
      <c r="D10" s="2960"/>
      <c r="E10" s="2018" t="s">
        <v>1556</v>
      </c>
      <c r="F10" s="1009"/>
      <c r="G10" s="1010"/>
    </row>
    <row r="11" spans="1:10" ht="13.5" thickBot="1">
      <c r="A11" s="2945"/>
      <c r="B11" s="2019" t="s">
        <v>1557</v>
      </c>
      <c r="C11" s="2961"/>
      <c r="D11" s="2962"/>
      <c r="E11" s="1018"/>
      <c r="F11" s="1017"/>
      <c r="G11" s="1070"/>
    </row>
    <row r="12" spans="1:10" ht="24.75" thickBot="1">
      <c r="A12" s="2948" t="s">
        <v>1558</v>
      </c>
      <c r="B12" s="2020" t="s">
        <v>1559</v>
      </c>
      <c r="C12" s="1012">
        <v>732.42</v>
      </c>
      <c r="D12" s="2020" t="s">
        <v>1560</v>
      </c>
      <c r="E12" s="2021" t="s">
        <v>1561</v>
      </c>
      <c r="F12" s="2022" t="s">
        <v>1562</v>
      </c>
      <c r="G12" s="1070"/>
    </row>
    <row r="13" spans="1:10" ht="21" customHeight="1" thickBot="1">
      <c r="A13" s="2949"/>
      <c r="B13" s="2023" t="s">
        <v>1563</v>
      </c>
      <c r="C13" s="1013">
        <v>0</v>
      </c>
      <c r="D13" s="2023" t="s">
        <v>1564</v>
      </c>
      <c r="E13" s="2024" t="s">
        <v>1561</v>
      </c>
      <c r="F13" s="1017"/>
      <c r="G13" s="1070"/>
      <c r="I13" s="2935"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3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3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63" t="s">
        <v>1572</v>
      </c>
      <c r="C17" s="2964"/>
      <c r="D17" s="2965" t="s">
        <v>1573</v>
      </c>
      <c r="E17" s="2966"/>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51" t="s">
        <v>1589</v>
      </c>
      <c r="D27" s="2952"/>
      <c r="E27" s="1000"/>
      <c r="F27" s="1007" t="s">
        <v>1589</v>
      </c>
      <c r="G27" s="1000"/>
      <c r="I27" s="1067"/>
      <c r="K27" s="1067"/>
    </row>
    <row r="28" spans="1:15">
      <c r="A28" s="1004" t="s">
        <v>1590</v>
      </c>
      <c r="B28" s="974"/>
      <c r="C28" s="2953" t="s">
        <v>1591</v>
      </c>
      <c r="D28" s="2954"/>
      <c r="E28" s="974"/>
      <c r="F28" s="1889" t="s">
        <v>1591</v>
      </c>
      <c r="G28" s="974"/>
      <c r="I28" s="1067"/>
      <c r="K28" s="1067"/>
    </row>
    <row r="29" spans="1:15">
      <c r="A29" s="1004" t="s">
        <v>1592</v>
      </c>
      <c r="B29" s="974"/>
      <c r="C29" s="2953" t="s">
        <v>1592</v>
      </c>
      <c r="D29" s="2954"/>
      <c r="E29" s="974"/>
      <c r="F29" s="1889" t="s">
        <v>1593</v>
      </c>
      <c r="G29" s="974"/>
      <c r="I29" s="1067"/>
      <c r="K29" s="1067"/>
    </row>
    <row r="30" spans="1:15">
      <c r="A30" s="1004" t="s">
        <v>1594</v>
      </c>
      <c r="B30" s="974"/>
      <c r="C30" s="2942" t="s">
        <v>1595</v>
      </c>
      <c r="D30" s="2062"/>
      <c r="E30" s="1019" t="str">
        <f>E31&amp;" "&amp;E32&amp;" "&amp;E33&amp;" "&amp;E34</f>
        <v xml:space="preserve">   </v>
      </c>
      <c r="F30" s="1889" t="s">
        <v>1596</v>
      </c>
      <c r="G30" s="974"/>
    </row>
    <row r="31" spans="1:15">
      <c r="A31" s="1004" t="s">
        <v>1597</v>
      </c>
      <c r="B31" s="974"/>
      <c r="C31" s="2943"/>
      <c r="D31" s="1888" t="s">
        <v>1598</v>
      </c>
      <c r="E31" s="974"/>
      <c r="F31" s="1889" t="s">
        <v>1599</v>
      </c>
      <c r="G31" s="974"/>
    </row>
    <row r="32" spans="1:15" ht="24.75" thickBot="1">
      <c r="A32" s="1005" t="s">
        <v>1600</v>
      </c>
      <c r="B32" s="1001"/>
      <c r="C32" s="2943"/>
      <c r="D32" s="1888" t="s">
        <v>1601</v>
      </c>
      <c r="E32" s="974"/>
      <c r="F32" s="1889" t="s">
        <v>1602</v>
      </c>
      <c r="G32" s="974"/>
    </row>
    <row r="33" spans="1:7">
      <c r="A33" s="1003" t="s">
        <v>1603</v>
      </c>
      <c r="B33" s="1000"/>
      <c r="C33" s="2943"/>
      <c r="D33" s="1888" t="s">
        <v>1604</v>
      </c>
      <c r="E33" s="974"/>
      <c r="F33" s="1889" t="s">
        <v>1605</v>
      </c>
      <c r="G33" s="974"/>
    </row>
    <row r="34" spans="1:7" ht="13.5" thickBot="1">
      <c r="A34" s="1004" t="s">
        <v>1606</v>
      </c>
      <c r="B34" s="974"/>
      <c r="C34" s="2944"/>
      <c r="D34" s="1888" t="s">
        <v>1607</v>
      </c>
      <c r="E34" s="974"/>
      <c r="F34" s="1890" t="s">
        <v>1608</v>
      </c>
      <c r="G34" s="1002"/>
    </row>
    <row r="35" spans="1:7">
      <c r="A35" s="1004" t="s">
        <v>1559</v>
      </c>
      <c r="B35" s="974"/>
      <c r="C35" s="2953" t="s">
        <v>1609</v>
      </c>
      <c r="D35" s="2954"/>
      <c r="E35" s="974"/>
      <c r="F35" s="1015" t="s">
        <v>1610</v>
      </c>
      <c r="G35" s="1000"/>
    </row>
    <row r="36" spans="1:7" ht="13.5" thickBot="1">
      <c r="A36" s="1004" t="s">
        <v>1611</v>
      </c>
      <c r="B36" s="974"/>
      <c r="C36" s="2955" t="s">
        <v>1612</v>
      </c>
      <c r="D36" s="2956"/>
      <c r="E36" s="1001"/>
      <c r="F36" s="1886" t="s">
        <v>1613</v>
      </c>
      <c r="G36" s="974"/>
    </row>
    <row r="37" spans="1:7" ht="13.5" thickBot="1">
      <c r="A37" s="1004" t="s">
        <v>1614</v>
      </c>
      <c r="B37" s="974"/>
      <c r="C37" s="2940" t="s">
        <v>1615</v>
      </c>
      <c r="D37" s="2063" t="s">
        <v>1599</v>
      </c>
      <c r="E37" s="1000"/>
      <c r="F37" s="1890" t="s">
        <v>1616</v>
      </c>
      <c r="G37" s="1001"/>
    </row>
    <row r="38" spans="1:7">
      <c r="A38" s="1004" t="s">
        <v>1617</v>
      </c>
      <c r="B38" s="974"/>
      <c r="C38" s="2946"/>
      <c r="D38" s="1888" t="s">
        <v>1606</v>
      </c>
      <c r="E38" s="974"/>
      <c r="F38" s="1007" t="s">
        <v>1618</v>
      </c>
      <c r="G38" s="1000"/>
    </row>
    <row r="39" spans="1:7">
      <c r="A39" s="1004" t="s">
        <v>1619</v>
      </c>
      <c r="B39" s="974"/>
      <c r="C39" s="2946" t="s">
        <v>1620</v>
      </c>
      <c r="D39" s="1888" t="s">
        <v>1559</v>
      </c>
      <c r="E39" s="974"/>
      <c r="F39" s="1889" t="s">
        <v>1621</v>
      </c>
      <c r="G39" s="974"/>
    </row>
    <row r="40" spans="1:7" ht="24.75" customHeight="1" thickBot="1">
      <c r="A40" s="1005" t="s">
        <v>1622</v>
      </c>
      <c r="B40" s="1001"/>
      <c r="C40" s="2947"/>
      <c r="D40" s="1891" t="s">
        <v>1563</v>
      </c>
      <c r="E40" s="1001"/>
      <c r="F40" s="1890" t="s">
        <v>1623</v>
      </c>
      <c r="G40" s="1001"/>
    </row>
    <row r="41" spans="1:7">
      <c r="A41" s="1006" t="s">
        <v>1624</v>
      </c>
      <c r="B41" s="1056"/>
      <c r="C41" s="2936" t="s">
        <v>1624</v>
      </c>
      <c r="D41" s="2937"/>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38" t="s">
        <v>1627</v>
      </c>
      <c r="D48" s="2939"/>
      <c r="E48" s="1051"/>
      <c r="F48" s="1890" t="s">
        <v>1628</v>
      </c>
      <c r="G48" s="1001"/>
    </row>
    <row r="49" spans="1:15">
      <c r="A49" s="1004" t="s">
        <v>1629</v>
      </c>
      <c r="B49" s="1050"/>
      <c r="C49" s="2940" t="s">
        <v>1630</v>
      </c>
      <c r="D49" s="2941"/>
      <c r="E49" s="1052"/>
      <c r="F49" s="1080"/>
      <c r="G49" s="1081"/>
    </row>
    <row r="50" spans="1:15" ht="13.5" thickBot="1">
      <c r="A50" s="1004" t="s">
        <v>1631</v>
      </c>
      <c r="B50" s="1050"/>
      <c r="C50" s="2947" t="s">
        <v>1632</v>
      </c>
      <c r="D50" s="2950"/>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7" t="s">
        <v>0</v>
      </c>
      <c r="B1" s="2967" t="s">
        <v>2</v>
      </c>
      <c r="C1" s="2967" t="s">
        <v>3</v>
      </c>
      <c r="D1" s="2968" t="s">
        <v>67</v>
      </c>
      <c r="E1" s="2968" t="s">
        <v>68</v>
      </c>
      <c r="F1" s="2968"/>
      <c r="G1" s="2968"/>
      <c r="H1" s="2968"/>
      <c r="I1" s="2968"/>
      <c r="J1" s="2968"/>
      <c r="K1" s="2968"/>
      <c r="L1" s="2968"/>
      <c r="M1" s="2968"/>
    </row>
    <row r="2" spans="1:13" ht="27" customHeight="1">
      <c r="A2" s="2967"/>
      <c r="B2" s="2967"/>
      <c r="C2" s="2967"/>
      <c r="D2" s="2968"/>
      <c r="E2" s="2968" t="s">
        <v>51</v>
      </c>
      <c r="F2" s="2968" t="s">
        <v>52</v>
      </c>
      <c r="G2" s="2968"/>
      <c r="H2" s="2968"/>
      <c r="I2" s="2968"/>
      <c r="J2" s="2968" t="s">
        <v>53</v>
      </c>
      <c r="K2" s="2968"/>
      <c r="L2" s="2968"/>
      <c r="M2" s="2968"/>
    </row>
    <row r="3" spans="1:13" ht="28.5">
      <c r="A3" s="2967"/>
      <c r="B3" s="2967"/>
      <c r="C3" s="2967"/>
      <c r="D3" s="2968"/>
      <c r="E3" s="29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8" t="s">
        <v>69</v>
      </c>
      <c r="B9" s="2968"/>
      <c r="C9" s="29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16" sqref="G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44202</v>
      </c>
      <c r="C2" s="1851"/>
      <c r="D2" s="2969"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70"/>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70"/>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732.42</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28</v>
      </c>
      <c r="C13" s="2090"/>
      <c r="D13" s="2091" t="s">
        <v>1654</v>
      </c>
      <c r="E13" s="39">
        <f>E12*'数据-取费表'!B5</f>
        <v>146484</v>
      </c>
      <c r="F13" s="1845" t="s">
        <v>1655</v>
      </c>
      <c r="G13" s="1851"/>
      <c r="H13" s="2971" t="s">
        <v>2906</v>
      </c>
      <c r="I13" s="2972"/>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0.84199999999999997</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3163</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0.85</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2929680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73" t="s">
        <v>3071</v>
      </c>
      <c r="I19" s="2974"/>
      <c r="J19" s="2974"/>
      <c r="K19" s="2974"/>
      <c r="L19" s="2975"/>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0.82499999999999996</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2011</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-10</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1.4999999999999999E-2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76" t="s">
        <v>1728</v>
      </c>
      <c r="B1" s="2977"/>
      <c r="C1" s="2977"/>
      <c r="D1" s="2977"/>
      <c r="E1" s="2977"/>
      <c r="F1" s="2977"/>
      <c r="G1" s="297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3139</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3140</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3141</v>
      </c>
      <c r="D8" s="2147"/>
      <c r="E8" s="2147"/>
      <c r="F8" s="1242"/>
      <c r="G8" s="1242"/>
      <c r="H8" s="2136"/>
      <c r="I8" s="2136"/>
      <c r="J8" s="2136"/>
      <c r="K8" s="2136"/>
      <c r="L8" s="2136"/>
      <c r="M8" s="2136"/>
      <c r="N8" s="2136"/>
      <c r="O8" s="2136"/>
      <c r="P8" s="2136"/>
      <c r="Q8" s="2136"/>
      <c r="R8" s="2136"/>
    </row>
    <row r="9" spans="1:29" ht="67.5">
      <c r="A9" s="411"/>
      <c r="B9" s="1882" t="s">
        <v>1748</v>
      </c>
      <c r="C9" s="2841" t="s">
        <v>3142</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3143</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估价对象位于CBD商圈，周边商业氛围成熟，人流量大，商业繁华度好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估价对象周边公共交通包括：54路、58路、382路等公交线路，1公里以内有地铁1号线和14号线换乘站大望路地铁站。综合评价交通便捷度好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区域自然环境：庆丰公园、惠水湾森林公园；人文环境：首都经济贸易大学（红庙校区）、中央电视台；综合评价环境状况好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城市主干道—建国路</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732.42</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44202</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3741.4211</v>
      </c>
      <c r="C5" s="1826">
        <f>ROUND(B5*10000/$B$1,0)</f>
        <v>51083</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3741.4211</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732.42</v>
      </c>
      <c r="C14" s="1830">
        <f>项目基本情况!C13</f>
        <v>0</v>
      </c>
      <c r="D14" s="1830">
        <f>B5</f>
        <v>3741.4211</v>
      </c>
      <c r="E14" s="1830">
        <f>ROUND(D14*10000/B14,0)</f>
        <v>51083</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42" t="str">
        <f>项目基本情况!B1</f>
        <v>北京市房地产市场价值预评估</v>
      </c>
      <c r="B2" s="3042"/>
      <c r="C2" s="3042"/>
      <c r="D2" s="3042"/>
      <c r="E2" s="3042"/>
      <c r="F2" s="3042"/>
      <c r="G2" s="3042"/>
      <c r="H2" s="3042"/>
      <c r="I2" s="3042"/>
    </row>
    <row r="3" spans="1:12" ht="12.75">
      <c r="A3" s="3045" t="s">
        <v>1764</v>
      </c>
      <c r="B3" s="3046"/>
      <c r="C3" s="3046"/>
      <c r="D3" s="3046"/>
      <c r="E3" s="3046"/>
      <c r="F3" s="3046"/>
      <c r="G3" s="3046"/>
      <c r="H3" s="3046"/>
      <c r="I3" s="3046"/>
    </row>
    <row r="4" spans="1:12" ht="14.25">
      <c r="A4" s="2192" t="s">
        <v>1765</v>
      </c>
      <c r="B4" s="2193" t="s">
        <v>1766</v>
      </c>
      <c r="C4" s="2194"/>
      <c r="D4" s="2194"/>
      <c r="E4" s="3026" t="s">
        <v>1767</v>
      </c>
      <c r="F4" s="3027"/>
      <c r="G4" s="3027"/>
      <c r="H4" s="3027"/>
      <c r="I4" s="3037"/>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19" t="s">
        <v>1768</v>
      </c>
      <c r="B5" s="2981">
        <v>25</v>
      </c>
      <c r="C5" s="3030"/>
      <c r="D5" s="3044"/>
      <c r="E5" s="56" t="s">
        <v>1769</v>
      </c>
      <c r="F5" s="2195"/>
      <c r="G5" s="2195"/>
      <c r="H5" s="2195"/>
      <c r="I5" s="2196"/>
    </row>
    <row r="6" spans="1:12" ht="12.75">
      <c r="A6" s="3019"/>
      <c r="B6" s="2981"/>
      <c r="C6" s="3047"/>
      <c r="D6" s="3044"/>
      <c r="E6" s="56" t="s">
        <v>1770</v>
      </c>
      <c r="F6" s="2195"/>
      <c r="G6" s="2195"/>
      <c r="H6" s="2195"/>
      <c r="I6" s="2196"/>
    </row>
    <row r="7" spans="1:12" ht="12.75">
      <c r="A7" s="3019"/>
      <c r="B7" s="2981"/>
      <c r="C7" s="3031"/>
      <c r="D7" s="3044"/>
      <c r="E7" s="56" t="s">
        <v>1771</v>
      </c>
      <c r="F7" s="2195"/>
      <c r="G7" s="2195"/>
      <c r="H7" s="2195"/>
      <c r="I7" s="2196"/>
    </row>
    <row r="8" spans="1:12" ht="12.75">
      <c r="A8" s="3019" t="s">
        <v>1772</v>
      </c>
      <c r="B8" s="2981">
        <v>15</v>
      </c>
      <c r="C8" s="3030"/>
      <c r="D8" s="3044"/>
      <c r="E8" s="56" t="s">
        <v>1773</v>
      </c>
      <c r="F8" s="2195"/>
      <c r="G8" s="2195"/>
      <c r="H8" s="2195"/>
      <c r="I8" s="2196"/>
    </row>
    <row r="9" spans="1:12" ht="12.75">
      <c r="A9" s="3019"/>
      <c r="B9" s="2981"/>
      <c r="C9" s="3031"/>
      <c r="D9" s="3044"/>
      <c r="E9" s="56" t="s">
        <v>1774</v>
      </c>
      <c r="F9" s="2195"/>
      <c r="G9" s="2195"/>
      <c r="H9" s="2195"/>
      <c r="I9" s="2196"/>
    </row>
    <row r="10" spans="1:12" ht="12.75">
      <c r="A10" s="3019" t="s">
        <v>1775</v>
      </c>
      <c r="B10" s="2981">
        <v>15</v>
      </c>
      <c r="C10" s="3030"/>
      <c r="D10" s="3044"/>
      <c r="E10" s="56" t="s">
        <v>1776</v>
      </c>
      <c r="F10" s="2195"/>
      <c r="G10" s="2195"/>
      <c r="H10" s="2195"/>
      <c r="I10" s="2196"/>
    </row>
    <row r="11" spans="1:12" ht="12.75">
      <c r="A11" s="3019"/>
      <c r="B11" s="2981"/>
      <c r="C11" s="3031"/>
      <c r="D11" s="3044"/>
      <c r="E11" s="56" t="s">
        <v>1777</v>
      </c>
      <c r="F11" s="2195"/>
      <c r="G11" s="2195"/>
      <c r="H11" s="2195"/>
      <c r="I11" s="2196"/>
    </row>
    <row r="12" spans="1:12" ht="12.75">
      <c r="A12" s="3019" t="s">
        <v>1778</v>
      </c>
      <c r="B12" s="2981">
        <v>15</v>
      </c>
      <c r="C12" s="3030"/>
      <c r="D12" s="3044"/>
      <c r="E12" s="56" t="s">
        <v>1779</v>
      </c>
      <c r="F12" s="2195"/>
      <c r="G12" s="2195"/>
      <c r="H12" s="2195"/>
      <c r="I12" s="2196"/>
    </row>
    <row r="13" spans="1:12" ht="12.75">
      <c r="A13" s="3019"/>
      <c r="B13" s="2981"/>
      <c r="C13" s="3031"/>
      <c r="D13" s="3044"/>
      <c r="E13" s="56" t="s">
        <v>1780</v>
      </c>
      <c r="F13" s="2195"/>
      <c r="G13" s="2195"/>
      <c r="H13" s="2195"/>
      <c r="I13" s="2196"/>
    </row>
    <row r="14" spans="1:12" ht="12.75">
      <c r="A14" s="3019" t="s">
        <v>1781</v>
      </c>
      <c r="B14" s="2981">
        <v>30</v>
      </c>
      <c r="C14" s="3030"/>
      <c r="D14" s="3044"/>
      <c r="E14" s="56" t="s">
        <v>1782</v>
      </c>
      <c r="F14" s="2195"/>
      <c r="G14" s="2195"/>
      <c r="H14" s="2195"/>
      <c r="I14" s="2196"/>
    </row>
    <row r="15" spans="1:12" ht="12.75">
      <c r="A15" s="3019"/>
      <c r="B15" s="2981"/>
      <c r="C15" s="3047"/>
      <c r="D15" s="3044"/>
      <c r="E15" s="56" t="s">
        <v>1783</v>
      </c>
      <c r="F15" s="2195"/>
      <c r="G15" s="2195"/>
      <c r="H15" s="2195"/>
      <c r="I15" s="2196"/>
    </row>
    <row r="16" spans="1:12" ht="12.75">
      <c r="A16" s="3019"/>
      <c r="B16" s="2981"/>
      <c r="C16" s="3031"/>
      <c r="D16" s="3044"/>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50" t="s">
        <v>1793</v>
      </c>
      <c r="B24" s="2202" t="s">
        <v>1788</v>
      </c>
      <c r="C24" s="61">
        <f>D30</f>
        <v>0</v>
      </c>
      <c r="D24" s="990"/>
      <c r="E24" s="2190"/>
      <c r="F24" s="2190"/>
      <c r="G24" s="2190"/>
      <c r="H24" s="2190"/>
      <c r="I24" s="2190"/>
    </row>
    <row r="25" spans="1:35" ht="21.75" customHeight="1">
      <c r="A25" s="3051"/>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-1.1320000000000001</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2.1320000000000001</v>
      </c>
      <c r="E35" s="2231" t="s">
        <v>1805</v>
      </c>
      <c r="F35" s="79">
        <v>4460</v>
      </c>
      <c r="G35" s="2190"/>
      <c r="H35" s="2190"/>
      <c r="I35" s="2190"/>
    </row>
    <row r="36" spans="1:16" ht="15.75" thickBot="1">
      <c r="A36" s="3032" t="s">
        <v>1806</v>
      </c>
      <c r="B36" s="2232" t="s">
        <v>1807</v>
      </c>
      <c r="C36" s="69">
        <v>0</v>
      </c>
      <c r="D36" s="2233"/>
      <c r="E36" s="2234"/>
      <c r="F36" s="2234"/>
      <c r="G36" s="2190"/>
      <c r="H36" s="2190"/>
      <c r="I36" s="2190"/>
    </row>
    <row r="37" spans="1:16" ht="15.75" thickBot="1">
      <c r="A37" s="3033"/>
      <c r="B37" s="2235" t="s">
        <v>1808</v>
      </c>
      <c r="C37" s="71">
        <v>0</v>
      </c>
      <c r="D37" s="2200"/>
      <c r="E37" s="2200"/>
      <c r="F37" s="2234"/>
      <c r="G37" s="2200"/>
      <c r="H37" s="2200"/>
      <c r="I37" s="2200"/>
    </row>
    <row r="38" spans="1:16" ht="15.75" thickBot="1">
      <c r="A38" s="3034"/>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38" t="s">
        <v>1817</v>
      </c>
      <c r="B45" s="3039"/>
      <c r="C45" s="3040"/>
      <c r="D45" s="80" t="e">
        <f ca="1">ROUND(I102*F45,0)</f>
        <v>#REF!</v>
      </c>
      <c r="E45" s="81" t="s">
        <v>1818</v>
      </c>
      <c r="F45" s="82">
        <v>1</v>
      </c>
      <c r="G45" s="83" t="s">
        <v>1819</v>
      </c>
      <c r="H45" s="2190"/>
      <c r="I45" s="2190"/>
      <c r="J45" s="3100" t="s">
        <v>1820</v>
      </c>
      <c r="K45" s="3100"/>
      <c r="L45" s="3100"/>
      <c r="M45" s="3100"/>
      <c r="N45" s="3100"/>
      <c r="O45" s="3100"/>
      <c r="P45" s="1841"/>
    </row>
    <row r="46" spans="1:16" ht="14.25" customHeight="1">
      <c r="A46" s="3023" t="s">
        <v>1821</v>
      </c>
      <c r="B46" s="3024"/>
      <c r="C46" s="3024"/>
      <c r="D46" s="3024"/>
      <c r="E46" s="3024"/>
      <c r="F46" s="3024"/>
      <c r="G46" s="3025"/>
      <c r="H46" s="2252"/>
      <c r="I46" s="1140"/>
      <c r="J46" s="1878">
        <v>1</v>
      </c>
      <c r="K46" s="3100" t="s">
        <v>1822</v>
      </c>
      <c r="L46" s="3100"/>
      <c r="M46" s="3101" t="str">
        <f>项目基本情况!B1</f>
        <v>北京市房地产市场价值预评估</v>
      </c>
      <c r="N46" s="3101"/>
      <c r="O46" s="3101"/>
      <c r="P46" s="1841"/>
    </row>
    <row r="47" spans="1:16" ht="12" customHeight="1">
      <c r="A47" s="85" t="s">
        <v>1823</v>
      </c>
      <c r="B47" s="86"/>
      <c r="C47" s="87"/>
      <c r="D47" s="88" t="s">
        <v>1824</v>
      </c>
      <c r="E47" s="14" t="s">
        <v>1825</v>
      </c>
      <c r="F47" s="89" t="s">
        <v>1826</v>
      </c>
      <c r="G47" s="90" t="s">
        <v>1827</v>
      </c>
      <c r="H47" s="2252"/>
      <c r="I47" s="1140"/>
      <c r="J47" s="1878">
        <v>2</v>
      </c>
      <c r="K47" s="3100" t="s">
        <v>1828</v>
      </c>
      <c r="L47" s="3100"/>
      <c r="M47" s="3102">
        <f>'数据-取费表'!B2</f>
        <v>44202</v>
      </c>
      <c r="N47" s="3102"/>
      <c r="O47" s="3102"/>
      <c r="P47" s="1841"/>
    </row>
    <row r="48" spans="1:16" ht="25.5">
      <c r="A48" s="3035" t="s">
        <v>1829</v>
      </c>
      <c r="B48" s="3036"/>
      <c r="C48" s="3036"/>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3100" t="s">
        <v>1832</v>
      </c>
      <c r="L48" s="3100"/>
      <c r="M48" s="3101" t="e">
        <f ca="1">I102</f>
        <v>#REF!</v>
      </c>
      <c r="N48" s="3101"/>
      <c r="O48" s="3101"/>
      <c r="P48" s="1841"/>
    </row>
    <row r="49" spans="1:16" ht="25.5" customHeight="1">
      <c r="A49" s="92" t="s">
        <v>1833</v>
      </c>
      <c r="B49" s="3028" t="s">
        <v>1834</v>
      </c>
      <c r="C49" s="3028"/>
      <c r="D49" s="93">
        <v>0</v>
      </c>
      <c r="E49" s="13" t="s">
        <v>1835</v>
      </c>
      <c r="F49" s="18" t="s">
        <v>48</v>
      </c>
      <c r="G49" s="3093"/>
      <c r="H49" s="2190"/>
      <c r="I49" s="2255"/>
      <c r="J49" s="1878">
        <v>4</v>
      </c>
      <c r="K49" s="3100" t="str">
        <f>IF(项目基本情况!F5="房地产抵押价值","房地产抵押价值","抵押担保权已注销时的房地产抵押价值")</f>
        <v>抵押担保权已注销时的房地产抵押价值</v>
      </c>
      <c r="L49" s="3100"/>
      <c r="M49" s="3101" t="str">
        <f>IF(项目基本情况!F5="房地产抵押价值",I110,I112)</f>
        <v>——</v>
      </c>
      <c r="N49" s="3101"/>
      <c r="O49" s="3101"/>
      <c r="P49" s="1841"/>
    </row>
    <row r="50" spans="1:16" ht="25.5" customHeight="1">
      <c r="A50" s="94"/>
      <c r="B50" s="3028" t="s">
        <v>1836</v>
      </c>
      <c r="C50" s="3028"/>
      <c r="D50" s="95"/>
      <c r="E50" s="21"/>
      <c r="F50" s="96"/>
      <c r="G50" s="3094"/>
      <c r="H50" s="2190"/>
      <c r="I50" s="2255"/>
      <c r="J50" s="3100" t="s">
        <v>1837</v>
      </c>
      <c r="K50" s="3100"/>
      <c r="L50" s="3100"/>
      <c r="M50" s="3100"/>
      <c r="N50" s="3100"/>
      <c r="O50" s="3100"/>
      <c r="P50" s="1841"/>
    </row>
    <row r="51" spans="1:16" ht="12" customHeight="1">
      <c r="A51" s="97"/>
      <c r="B51" s="3028" t="s">
        <v>1838</v>
      </c>
      <c r="C51" s="3028"/>
      <c r="D51" s="98"/>
      <c r="E51" s="20"/>
      <c r="F51" s="96"/>
      <c r="G51" s="3095"/>
      <c r="H51" s="2190"/>
      <c r="I51" s="2255"/>
      <c r="J51" s="2256" t="s">
        <v>1839</v>
      </c>
      <c r="K51" s="3100" t="s">
        <v>1840</v>
      </c>
      <c r="L51" s="3100"/>
      <c r="M51" s="2256" t="s">
        <v>1841</v>
      </c>
      <c r="N51" s="2256" t="s">
        <v>1842</v>
      </c>
      <c r="O51" s="2256" t="s">
        <v>1843</v>
      </c>
      <c r="P51" s="1841"/>
    </row>
    <row r="52" spans="1:16" ht="24" customHeight="1">
      <c r="A52" s="99" t="s">
        <v>1844</v>
      </c>
      <c r="B52" s="3028" t="s">
        <v>1845</v>
      </c>
      <c r="C52" s="3028"/>
      <c r="D52" s="98" t="e">
        <f ca="1">ROUND(D45*'数据-取费表'!E29/(1+'数据-取费表'!F30),0)</f>
        <v>#REF!</v>
      </c>
      <c r="E52" s="10" t="s">
        <v>1846</v>
      </c>
      <c r="F52" s="100">
        <f>'数据-取费表'!E29</f>
        <v>5.6000000000000001E-2</v>
      </c>
      <c r="G52" s="2257"/>
      <c r="H52" s="2190"/>
      <c r="I52" s="2255"/>
      <c r="J52" s="1878">
        <v>1</v>
      </c>
      <c r="K52" s="3060" t="s">
        <v>1847</v>
      </c>
      <c r="L52" s="3060"/>
      <c r="M52" s="778" t="e">
        <f ca="1">D48</f>
        <v>#REF!</v>
      </c>
      <c r="N52" s="1878" t="str">
        <f>E48</f>
        <v>销售额×税（费）率</v>
      </c>
      <c r="O52" s="779">
        <f>F48</f>
        <v>5.6000000000000001E-2</v>
      </c>
      <c r="P52" s="1841"/>
    </row>
    <row r="53" spans="1:16" ht="12" customHeight="1">
      <c r="A53" s="99" t="s">
        <v>1848</v>
      </c>
      <c r="B53" s="3029" t="s">
        <v>1849</v>
      </c>
      <c r="C53" s="2954"/>
      <c r="D53" s="98" t="e">
        <f ca="1">ROUND(D45*'数据-取费表'!E29/(1+'数据-取费表'!F30),0)</f>
        <v>#REF!</v>
      </c>
      <c r="E53" s="10" t="s">
        <v>1846</v>
      </c>
      <c r="F53" s="100">
        <f>'数据-取费表'!E29</f>
        <v>5.6000000000000001E-2</v>
      </c>
      <c r="G53" s="2257"/>
      <c r="H53" s="2190"/>
      <c r="I53" s="2255"/>
      <c r="J53" s="1878">
        <v>2</v>
      </c>
      <c r="K53" s="3060" t="s">
        <v>1850</v>
      </c>
      <c r="L53" s="3060"/>
      <c r="M53" s="778" t="e">
        <f t="shared" ref="M53:O54" ca="1" si="1">D55</f>
        <v>#REF!</v>
      </c>
      <c r="N53" s="1878" t="str">
        <f t="shared" si="1"/>
        <v>销售额×税（费）率</v>
      </c>
      <c r="O53" s="779">
        <f t="shared" si="1"/>
        <v>5.0000000000000001E-4</v>
      </c>
      <c r="P53" s="1841"/>
    </row>
    <row r="54" spans="1:16" ht="12" customHeight="1">
      <c r="A54" s="99" t="s">
        <v>1851</v>
      </c>
      <c r="B54" s="3029" t="s">
        <v>1852</v>
      </c>
      <c r="C54" s="2954"/>
      <c r="D54" s="98" t="e">
        <f ca="1">C68</f>
        <v>#REF!</v>
      </c>
      <c r="E54" s="20" t="s">
        <v>1853</v>
      </c>
      <c r="F54" s="100">
        <f>'数据-取费表'!E29</f>
        <v>5.6000000000000001E-2</v>
      </c>
      <c r="G54" s="2257"/>
      <c r="H54" s="2258"/>
      <c r="I54" s="2255"/>
      <c r="J54" s="1878">
        <v>3</v>
      </c>
      <c r="K54" s="3060" t="s">
        <v>1854</v>
      </c>
      <c r="L54" s="3060"/>
      <c r="M54" s="778" t="e">
        <f t="shared" ca="1" si="1"/>
        <v>#REF!</v>
      </c>
      <c r="N54" s="1878" t="str">
        <f t="shared" si="1"/>
        <v>增值额×税（费）率</v>
      </c>
      <c r="O54" s="780" t="str">
        <f t="shared" si="1"/>
        <v>——</v>
      </c>
      <c r="P54" s="1841"/>
    </row>
    <row r="55" spans="1:16" ht="24" customHeight="1">
      <c r="A55" s="2946" t="s">
        <v>1855</v>
      </c>
      <c r="B55" s="3036"/>
      <c r="C55" s="3036"/>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3060" t="str">
        <f>IF(H59="非个人房产","——","个人所得税")</f>
        <v>个人所得税</v>
      </c>
      <c r="L55" s="3060"/>
      <c r="M55" s="781" t="e">
        <f ca="1">D59</f>
        <v>#REF!</v>
      </c>
      <c r="N55" s="1881" t="str">
        <f>E59</f>
        <v>销售额×税（费）率</v>
      </c>
      <c r="O55" s="782">
        <f>F59</f>
        <v>0.01</v>
      </c>
      <c r="P55" s="1841"/>
    </row>
    <row r="56" spans="1:16" ht="24.75">
      <c r="A56" s="2946" t="s">
        <v>1858</v>
      </c>
      <c r="B56" s="3036"/>
      <c r="C56" s="3036"/>
      <c r="D56" s="101" t="e">
        <f ca="1">IF(H56="个人住宅",D57,D58)</f>
        <v>#REF!</v>
      </c>
      <c r="E56" s="10" t="s">
        <v>1859</v>
      </c>
      <c r="F56" s="100" t="str">
        <f>IF(H56="正常",F58,"免征")</f>
        <v>——</v>
      </c>
      <c r="G56" s="2259" t="s">
        <v>1860</v>
      </c>
      <c r="H56" s="2260" t="s">
        <v>1857</v>
      </c>
      <c r="I56" s="1018"/>
      <c r="J56" s="1878" t="str">
        <f>IF(项目基本情况!I6="上海银行",IF(J55="",4,J55+1),"")</f>
        <v/>
      </c>
      <c r="K56" s="3078" t="str">
        <f>IF(项目基本情况!I6="上海银行","其他处置费用","")</f>
        <v/>
      </c>
      <c r="L56" s="3079"/>
      <c r="M56" s="778" t="str">
        <f>IF(项目基本情况!I6="上海银行",M69,"")</f>
        <v/>
      </c>
      <c r="N56" s="3091" t="str">
        <f>IF(项目基本情况!I6="上海银行","包含处置中涉及的律师、诉讼、拍卖、评估等费用","")</f>
        <v/>
      </c>
      <c r="O56" s="3092"/>
      <c r="P56" s="1841"/>
    </row>
    <row r="57" spans="1:16" ht="12.75">
      <c r="A57" s="99" t="s">
        <v>1833</v>
      </c>
      <c r="B57" s="3026" t="s">
        <v>1861</v>
      </c>
      <c r="C57" s="3037"/>
      <c r="D57" s="103">
        <v>0</v>
      </c>
      <c r="E57" s="13" t="s">
        <v>1835</v>
      </c>
      <c r="F57" s="70"/>
      <c r="G57" s="2257"/>
      <c r="H57" s="1018"/>
      <c r="I57" s="1018"/>
      <c r="J57" s="3060">
        <f>IF(AND(J55="",J56=""),4,IF(项目基本情况!I6="上海银行",J56+1,J55+1))</f>
        <v>5</v>
      </c>
      <c r="K57" s="3060" t="s">
        <v>1862</v>
      </c>
      <c r="L57" s="2261" t="s">
        <v>1863</v>
      </c>
      <c r="M57" s="783"/>
      <c r="N57" s="784">
        <f ca="1">SUMIF(M52:M56,"&lt;9e307")</f>
        <v>0</v>
      </c>
      <c r="O57" s="2262"/>
      <c r="P57" s="1837" t="e">
        <f ca="1">N57/M49</f>
        <v>#VALUE!</v>
      </c>
    </row>
    <row r="58" spans="1:16" ht="24.75">
      <c r="A58" s="99" t="s">
        <v>1844</v>
      </c>
      <c r="B58" s="3026" t="s">
        <v>1864</v>
      </c>
      <c r="C58" s="3027"/>
      <c r="D58" s="101" t="e">
        <f ca="1">IF(H58="转让取得",C81,C97)</f>
        <v>#REF!</v>
      </c>
      <c r="E58" s="10" t="s">
        <v>1859</v>
      </c>
      <c r="F58" s="14" t="s">
        <v>48</v>
      </c>
      <c r="G58" s="2257"/>
      <c r="H58" s="2260" t="s">
        <v>1865</v>
      </c>
      <c r="I58" s="1018"/>
      <c r="J58" s="3060"/>
      <c r="K58" s="3060"/>
      <c r="L58" s="2261" t="s">
        <v>1866</v>
      </c>
      <c r="M58" s="785"/>
      <c r="N58" s="2263" t="str">
        <f ca="1">IF(H19="元",NUMBERSTRING(INT(N57),2)&amp;"元整",NUMBERSTRING(INT(N57*10000),2)&amp;"元整")</f>
        <v>零元整</v>
      </c>
      <c r="O58" s="2264"/>
      <c r="P58" s="1841"/>
    </row>
    <row r="59" spans="1:16" ht="26.25" thickBot="1">
      <c r="A59" s="2947" t="s">
        <v>1867</v>
      </c>
      <c r="B59" s="2950"/>
      <c r="C59" s="2950"/>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58">
        <f>J57+1</f>
        <v>6</v>
      </c>
      <c r="K59" s="3060"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59"/>
      <c r="K60" s="3060"/>
      <c r="L60" s="2261" t="s">
        <v>1866</v>
      </c>
      <c r="M60" s="785"/>
      <c r="N60" s="2263" t="e">
        <f ca="1">IF(H19="元",NUMBERSTRING(INT(N59),2)&amp;"元整",NUMBERSTRING(INT(N59*10000),2)&amp;"元整")</f>
        <v>#VALUE!</v>
      </c>
      <c r="O60" s="2264"/>
      <c r="P60" s="1841"/>
    </row>
    <row r="61" spans="1:16" ht="13.5" thickBot="1">
      <c r="A61" s="3041" t="s">
        <v>1870</v>
      </c>
      <c r="B61" s="3041"/>
      <c r="C61" s="3041"/>
      <c r="D61" s="3041"/>
      <c r="E61" s="3041"/>
      <c r="F61" s="1018"/>
      <c r="G61" s="1018"/>
      <c r="H61" s="2243"/>
      <c r="I61" s="2190"/>
      <c r="J61" s="1878">
        <f>J59+1</f>
        <v>7</v>
      </c>
      <c r="K61" s="3060" t="s">
        <v>1871</v>
      </c>
      <c r="L61" s="3060"/>
      <c r="M61" s="788"/>
      <c r="N61" s="789" t="e">
        <f ca="1">IF(H19="元",ROUND(N59/项目基本情况!C12,0),ROUND(N59*10000/项目基本情况!C12,0))</f>
        <v>#VALUE!</v>
      </c>
      <c r="O61" s="2267"/>
      <c r="P61" s="1841"/>
    </row>
    <row r="62" spans="1:16" ht="12.75">
      <c r="A62" s="3048" t="s">
        <v>1872</v>
      </c>
      <c r="B62" s="3049"/>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3080"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3080"/>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3080"/>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3080"/>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3080"/>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3080"/>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3080"/>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52" t="s">
        <v>1892</v>
      </c>
      <c r="B70" s="3053"/>
      <c r="C70" s="3053"/>
      <c r="D70" s="3053"/>
      <c r="E70" s="3053"/>
      <c r="F70" s="3053"/>
      <c r="G70" s="3053"/>
      <c r="H70" s="3053"/>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48" t="s">
        <v>1872</v>
      </c>
      <c r="B71" s="3049"/>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29" t="s">
        <v>1902</v>
      </c>
      <c r="F76" s="3028"/>
      <c r="G76" s="3028"/>
      <c r="H76" s="3043"/>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3020" t="s">
        <v>1907</v>
      </c>
      <c r="F78" s="3021"/>
      <c r="G78" s="3021"/>
      <c r="H78" s="3022"/>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52" t="s">
        <v>1911</v>
      </c>
      <c r="B83" s="3053"/>
      <c r="C83" s="3053"/>
      <c r="D83" s="3053"/>
      <c r="E83" s="3053"/>
      <c r="F83" s="3053"/>
      <c r="G83" s="3053"/>
      <c r="H83" s="3053"/>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48" t="s">
        <v>1872</v>
      </c>
      <c r="B84" s="3049"/>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3020" t="s">
        <v>1919</v>
      </c>
      <c r="F91" s="3021"/>
      <c r="G91" s="3021"/>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3020" t="s">
        <v>1922</v>
      </c>
      <c r="F92" s="3021"/>
      <c r="G92" s="3021"/>
      <c r="H92" s="3022"/>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3020" t="s">
        <v>1907</v>
      </c>
      <c r="F93" s="3021"/>
      <c r="G93" s="3021"/>
      <c r="H93" s="3022"/>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3020" t="s">
        <v>1924</v>
      </c>
      <c r="F94" s="3021"/>
      <c r="G94" s="3021"/>
      <c r="H94" s="3022"/>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75" t="s">
        <v>1926</v>
      </c>
      <c r="B99" s="3076"/>
      <c r="C99" s="3076"/>
      <c r="D99" s="3077"/>
      <c r="E99" s="2190"/>
      <c r="F99" s="3086" t="s">
        <v>1927</v>
      </c>
      <c r="G99" s="3087"/>
      <c r="H99" s="3087"/>
      <c r="I99" s="3088"/>
    </row>
    <row r="100" spans="1:35" ht="15.75">
      <c r="A100" s="3089" t="s">
        <v>1928</v>
      </c>
      <c r="B100" s="3090"/>
      <c r="C100" s="720">
        <f>C4</f>
        <v>0</v>
      </c>
      <c r="D100" s="721">
        <f>D4</f>
        <v>0</v>
      </c>
      <c r="E100" s="2190"/>
      <c r="F100" s="2985" t="s">
        <v>1929</v>
      </c>
      <c r="G100" s="2986"/>
      <c r="H100" s="2985" t="s">
        <v>1930</v>
      </c>
      <c r="I100" s="2984"/>
    </row>
    <row r="101" spans="1:35" ht="15.75">
      <c r="A101" s="3067" t="s">
        <v>1931</v>
      </c>
      <c r="B101" s="2285" t="str">
        <f>IF(H19="元","总价（元）","总价（万元）")</f>
        <v>总价（元）</v>
      </c>
      <c r="C101" s="720" t="e">
        <f ca="1">C19</f>
        <v>#REF!</v>
      </c>
      <c r="D101" s="721" t="e">
        <f ca="1">D19</f>
        <v>#REF!</v>
      </c>
      <c r="E101" s="2190"/>
      <c r="F101" s="2985" t="str">
        <f>项目基本情况!I1</f>
        <v>北京市房地产</v>
      </c>
      <c r="G101" s="2986"/>
      <c r="H101" s="2983">
        <f>项目基本情况!C12</f>
        <v>732.42</v>
      </c>
      <c r="I101" s="2984"/>
    </row>
    <row r="102" spans="1:35" ht="15.75">
      <c r="A102" s="3067"/>
      <c r="B102" s="2285" t="s">
        <v>1932</v>
      </c>
      <c r="C102" s="722" t="e">
        <f ca="1">C20</f>
        <v>#REF!</v>
      </c>
      <c r="D102" s="723" t="e">
        <f ca="1">D20</f>
        <v>#REF!</v>
      </c>
      <c r="E102" s="2190"/>
      <c r="F102" s="3012" t="s">
        <v>1933</v>
      </c>
      <c r="G102" s="3013"/>
      <c r="H102" s="2286" t="str">
        <f>C106</f>
        <v>总价（元）</v>
      </c>
      <c r="I102" s="1858" t="e">
        <f ca="1">H121</f>
        <v>#REF!</v>
      </c>
    </row>
    <row r="103" spans="1:35" ht="15">
      <c r="A103" s="3067" t="s">
        <v>1934</v>
      </c>
      <c r="B103" s="2287" t="str">
        <f>B101</f>
        <v>总价（元）</v>
      </c>
      <c r="C103" s="724" t="e">
        <f ca="1">H121</f>
        <v>#REF!</v>
      </c>
      <c r="D103" s="725"/>
      <c r="E103" s="2190"/>
      <c r="F103" s="3012"/>
      <c r="G103" s="3013"/>
      <c r="H103" s="2286" t="s">
        <v>1932</v>
      </c>
      <c r="I103" s="1046" t="e">
        <f ca="1">I121</f>
        <v>#REF!</v>
      </c>
    </row>
    <row r="104" spans="1:35" ht="16.5" thickBot="1">
      <c r="A104" s="3068"/>
      <c r="B104" s="2288" t="s">
        <v>1932</v>
      </c>
      <c r="C104" s="726" t="e">
        <f ca="1">I121</f>
        <v>#REF!</v>
      </c>
      <c r="D104" s="727"/>
      <c r="E104" s="2190"/>
      <c r="F104" s="3084"/>
      <c r="G104" s="3085"/>
      <c r="H104" s="3069"/>
      <c r="I104" s="3070"/>
    </row>
    <row r="105" spans="1:35" ht="15.75">
      <c r="A105" s="3075" t="s">
        <v>1935</v>
      </c>
      <c r="B105" s="3076"/>
      <c r="C105" s="3076"/>
      <c r="D105" s="3077"/>
      <c r="E105" s="2190"/>
      <c r="F105" s="3073" t="s">
        <v>1936</v>
      </c>
      <c r="G105" s="3074"/>
      <c r="H105" s="2289" t="str">
        <f>C108</f>
        <v>总额（元）</v>
      </c>
      <c r="I105" s="1858">
        <f>SUMIF(I106:I108,"&lt;9E307")</f>
        <v>0</v>
      </c>
    </row>
    <row r="106" spans="1:35" ht="15">
      <c r="A106" s="2999" t="s">
        <v>1937</v>
      </c>
      <c r="B106" s="3000"/>
      <c r="C106" s="2286" t="str">
        <f>B101</f>
        <v>总价（元）</v>
      </c>
      <c r="D106" s="1047" t="e">
        <f ca="1">H121</f>
        <v>#REF!</v>
      </c>
      <c r="E106" s="2190"/>
      <c r="F106" s="3001" t="s">
        <v>1938</v>
      </c>
      <c r="G106" s="3002"/>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999"/>
      <c r="B107" s="3000"/>
      <c r="C107" s="2286" t="s">
        <v>1932</v>
      </c>
      <c r="D107" s="1048" t="e">
        <f ca="1">I121</f>
        <v>#REF!</v>
      </c>
      <c r="E107" s="2190"/>
      <c r="F107" s="3001" t="s">
        <v>1939</v>
      </c>
      <c r="G107" s="3002"/>
      <c r="H107" s="2289" t="str">
        <f>C110</f>
        <v>总额（元）</v>
      </c>
      <c r="I107" s="1046">
        <f>C37</f>
        <v>0</v>
      </c>
      <c r="K107" s="2290"/>
    </row>
    <row r="108" spans="1:35" ht="15">
      <c r="A108" s="3006" t="s">
        <v>1940</v>
      </c>
      <c r="B108" s="3007"/>
      <c r="C108" s="2289" t="str">
        <f>IF(H19="元","总额（元）","总额（万元）")</f>
        <v>总额（元）</v>
      </c>
      <c r="D108" s="1047">
        <f>IF(D36="正常操作",I106+I107+I108,I107+I108)</f>
        <v>0</v>
      </c>
      <c r="E108" s="2190"/>
      <c r="F108" s="3001" t="s">
        <v>1941</v>
      </c>
      <c r="G108" s="3002"/>
      <c r="H108" s="2289" t="str">
        <f>C111</f>
        <v>总额（元）</v>
      </c>
      <c r="I108" s="1046">
        <f>C38</f>
        <v>0</v>
      </c>
    </row>
    <row r="109" spans="1:35" ht="15.75">
      <c r="A109" s="3001" t="s">
        <v>1938</v>
      </c>
      <c r="B109" s="3002"/>
      <c r="C109" s="2289" t="str">
        <f>C108</f>
        <v>总额（元）</v>
      </c>
      <c r="D109" s="637">
        <f>IF(D36="同一抵押权人同一抵押物续贷",C36&amp;"（未扣减，详见特别提示）",C36)</f>
        <v>0</v>
      </c>
      <c r="E109" s="2190"/>
      <c r="F109" s="3084"/>
      <c r="G109" s="3085"/>
      <c r="H109" s="3071"/>
      <c r="I109" s="3072"/>
    </row>
    <row r="110" spans="1:35" ht="28.5" customHeight="1">
      <c r="A110" s="3001" t="s">
        <v>1939</v>
      </c>
      <c r="B110" s="3002"/>
      <c r="C110" s="2289" t="str">
        <f>C108</f>
        <v>总额（元）</v>
      </c>
      <c r="D110" s="637">
        <f>C37</f>
        <v>0</v>
      </c>
      <c r="E110" s="2190"/>
      <c r="F110" s="2987" t="str">
        <f>IF(项目基本情况!F5="已注销","——","3.房地产抵押价值")</f>
        <v>3.房地产抵押价值</v>
      </c>
      <c r="G110" s="2988"/>
      <c r="H110" s="2291" t="str">
        <f>C112</f>
        <v>总价（元）</v>
      </c>
      <c r="I110" s="1859" t="e">
        <f ca="1">IF(F110="——","——",I102-I105)</f>
        <v>#REF!</v>
      </c>
    </row>
    <row r="111" spans="1:35" ht="15">
      <c r="A111" s="3001" t="s">
        <v>1941</v>
      </c>
      <c r="B111" s="3002"/>
      <c r="C111" s="2289" t="str">
        <f>C108</f>
        <v>总额（元）</v>
      </c>
      <c r="D111" s="637">
        <f>C38</f>
        <v>0</v>
      </c>
      <c r="E111" s="2190"/>
      <c r="F111" s="3103"/>
      <c r="G111" s="3104"/>
      <c r="H111" s="2286" t="s">
        <v>1932</v>
      </c>
      <c r="I111" s="2292" t="e">
        <f ca="1">D113</f>
        <v>#REF!</v>
      </c>
    </row>
    <row r="112" spans="1:35" ht="26.25" customHeight="1">
      <c r="A112" s="2999" t="str">
        <f>IF(项目基本情况!F5="已注销","——","3.房地产抵押价值")</f>
        <v>3.房地产抵押价值</v>
      </c>
      <c r="B112" s="3000"/>
      <c r="C112" s="2286" t="str">
        <f>B101</f>
        <v>总价（元）</v>
      </c>
      <c r="D112" s="1047" t="e">
        <f ca="1">IF(A112="——","——",D106-D108)</f>
        <v>#REF!</v>
      </c>
      <c r="E112" s="2190"/>
      <c r="F112" s="2987" t="str">
        <f>IF(项目基本情况!F5="已注销及未注销","4.抵押担保权已注销时的房地产抵押价值",IF(项目基本情况!F5="已注销","3.抵押担保权已注销时的房地产抵押价值","——"))</f>
        <v>——</v>
      </c>
      <c r="G112" s="2988"/>
      <c r="H112" s="2291" t="str">
        <f>C114</f>
        <v>总价（元）</v>
      </c>
      <c r="I112" s="1859" t="str">
        <f>IF(F112="——","——",I102-I107-I108)</f>
        <v>——</v>
      </c>
    </row>
    <row r="113" spans="1:15" ht="15">
      <c r="A113" s="2999"/>
      <c r="B113" s="3000"/>
      <c r="C113" s="2286" t="s">
        <v>1932</v>
      </c>
      <c r="D113" s="1048" t="e">
        <f ca="1">ROUND(IF(D112=D106,D107,IF(H19="元",D112/项目基本情况!C12,D112*10000/项目基本情况!C12)),0)</f>
        <v>#REF!</v>
      </c>
      <c r="E113" s="2190"/>
      <c r="F113" s="3103"/>
      <c r="G113" s="3104"/>
      <c r="H113" s="2286" t="s">
        <v>1932</v>
      </c>
      <c r="I113" s="2293" t="str">
        <f>D115</f>
        <v>——</v>
      </c>
    </row>
    <row r="114" spans="1:15" ht="15.75">
      <c r="A114" s="2999" t="str">
        <f>IF(项目基本情况!F5="已注销及未注销","4.抵押担保权已注销时的房地产抵押价值",IF(项目基本情况!F5="已注销","3.抵押担保权已注销时的房地产抵押价值","——"))</f>
        <v>——</v>
      </c>
      <c r="B114" s="3000"/>
      <c r="C114" s="2286" t="str">
        <f>B101</f>
        <v>总价（元）</v>
      </c>
      <c r="D114" s="1047" t="str">
        <f>IF(A114="——","——",D106-D110-D111)</f>
        <v>——</v>
      </c>
      <c r="E114" s="2190"/>
      <c r="F114" s="2987" t="str">
        <f>IF(项目基本情况!G5="抵押净值",IF(OR(项目基本情况!F5="已注销",项目基本情况!F5="房地产抵押价值"),"4.抵押净值","5.抵押净值"),"——")</f>
        <v>——</v>
      </c>
      <c r="G114" s="2988"/>
      <c r="H114" s="2286" t="str">
        <f>C116</f>
        <v>总价（元）</v>
      </c>
      <c r="I114" s="1858" t="str">
        <f>IF(F114="——","——",N59)</f>
        <v>——</v>
      </c>
    </row>
    <row r="115" spans="1:15" ht="15.75" thickBot="1">
      <c r="A115" s="2999"/>
      <c r="B115" s="3000"/>
      <c r="C115" s="2286" t="s">
        <v>1932</v>
      </c>
      <c r="D115" s="1048" t="str">
        <f>IF(A114="——","——",ROUND(IF(D114=D106,D107,IF(H19="元",D114/项目基本情况!C12,D114*10000/项目基本情况!C12)),0))</f>
        <v>——</v>
      </c>
      <c r="E115" s="2190"/>
      <c r="F115" s="2989"/>
      <c r="G115" s="2990"/>
      <c r="H115" s="2294" t="s">
        <v>1932</v>
      </c>
      <c r="I115" s="1860" t="e">
        <f ca="1">D117</f>
        <v>#REF!</v>
      </c>
    </row>
    <row r="116" spans="1:15" ht="15.75">
      <c r="A116" s="2999" t="str">
        <f>IF(项目基本情况!G5="抵押净值",IF(OR(项目基本情况!F5="已注销",项目基本情况!F5="房地产抵押价值"),"4.抵押净值","5.抵押净值"),"——")</f>
        <v>——</v>
      </c>
      <c r="B116" s="3000"/>
      <c r="C116" s="2286" t="str">
        <f>B101</f>
        <v>总价（元）</v>
      </c>
      <c r="D116" s="1047" t="str">
        <f>IF(A116="——","——",N59)</f>
        <v>——</v>
      </c>
      <c r="E116" s="2190"/>
      <c r="F116" s="3099"/>
      <c r="G116" s="3099"/>
      <c r="H116" s="3055"/>
      <c r="I116" s="3055"/>
      <c r="N116" s="55"/>
      <c r="O116" s="55"/>
    </row>
    <row r="117" spans="1:15" ht="15.75" thickBot="1">
      <c r="A117" s="3004"/>
      <c r="B117" s="3005"/>
      <c r="C117" s="2294" t="s">
        <v>1932</v>
      </c>
      <c r="D117" s="1049" t="e">
        <f ca="1">IF(D116=D112,D113,IF(A116="——","——",N61))</f>
        <v>#REF!</v>
      </c>
      <c r="E117" s="2190"/>
      <c r="F117" s="2979" t="str">
        <f>IF(B32="总价","（以上估价结果中单价为总价除以建筑面积得出）","（以上估价结果中总价为楼面单价乘以建筑面积得出）")</f>
        <v>（以上估价结果中总价为楼面单价乘以建筑面积得出）</v>
      </c>
      <c r="G117" s="2979"/>
      <c r="H117" s="2979"/>
      <c r="I117" s="2979"/>
      <c r="N117" s="55"/>
      <c r="O117" s="55"/>
    </row>
    <row r="118" spans="1:15" ht="15">
      <c r="A118" s="3056" t="s">
        <v>1942</v>
      </c>
      <c r="B118" s="3057"/>
      <c r="C118" s="3057"/>
      <c r="D118" s="3057"/>
      <c r="E118" s="3057"/>
      <c r="F118" s="3057"/>
      <c r="G118" s="3057"/>
      <c r="H118" s="3057"/>
      <c r="I118" s="3057"/>
    </row>
    <row r="119" spans="1:15" ht="14.25">
      <c r="A119" s="2980" t="s">
        <v>1943</v>
      </c>
      <c r="B119" s="3010" t="s">
        <v>1944</v>
      </c>
      <c r="C119" s="3010" t="s">
        <v>1945</v>
      </c>
      <c r="D119" s="3082" t="s">
        <v>1946</v>
      </c>
      <c r="E119" s="3083"/>
      <c r="F119" s="2981" t="s">
        <v>1804</v>
      </c>
      <c r="G119" s="2981"/>
      <c r="H119" s="2981" t="s">
        <v>1947</v>
      </c>
      <c r="I119" s="3081"/>
    </row>
    <row r="120" spans="1:15" ht="14.25">
      <c r="A120" s="2980"/>
      <c r="B120" s="3011"/>
      <c r="C120" s="3011"/>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732.42</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2980" t="s">
        <v>1951</v>
      </c>
      <c r="B122" s="2981"/>
      <c r="C122" s="2981"/>
      <c r="D122" s="3014" t="e">
        <f ca="1">IF(H19="元",NUMBERSTRING(INT(D121),2)&amp;"元整",NUMBERSTRING(INT(D121*10000),2)&amp;"元整")</f>
        <v>#REF!</v>
      </c>
      <c r="E122" s="3061"/>
      <c r="F122" s="3014" t="e">
        <f ca="1">IF(H19="元",NUMBERSTRING(INT(F121),2)&amp;"元整",NUMBERSTRING(INT(F121*10000),2)&amp;"元整")</f>
        <v>#REF!</v>
      </c>
      <c r="G122" s="3061"/>
      <c r="H122" s="3014" t="e">
        <f ca="1">IF(H19="元",NUMBERSTRING(INT(H121),2)&amp;"元整",NUMBERSTRING(INT(H121*10000),2)&amp;"元整")</f>
        <v>#REF!</v>
      </c>
      <c r="I122" s="3015"/>
    </row>
    <row r="123" spans="1:15" ht="15">
      <c r="A123" s="3062" t="str">
        <f>IF(项目基本情况!D5="房地产市场价值","——",MID(A108,3,LEN(A108)-2))</f>
        <v>——</v>
      </c>
      <c r="B123" s="2992"/>
      <c r="C123" s="3063"/>
      <c r="D123" s="2991">
        <f>I105</f>
        <v>0</v>
      </c>
      <c r="E123" s="2992"/>
      <c r="F123" s="2992"/>
      <c r="G123" s="2992"/>
      <c r="H123" s="2992"/>
      <c r="I123" s="2993"/>
    </row>
    <row r="124" spans="1:15" ht="14.25">
      <c r="A124" s="3064" t="s">
        <v>1951</v>
      </c>
      <c r="B124" s="3065"/>
      <c r="C124" s="3066"/>
      <c r="D124" s="2994">
        <f>H109</f>
        <v>0</v>
      </c>
      <c r="E124" s="2995"/>
      <c r="F124" s="2995"/>
      <c r="G124" s="2995"/>
      <c r="H124" s="2995"/>
      <c r="I124" s="2996"/>
    </row>
    <row r="125" spans="1:15" ht="15">
      <c r="A125" s="2997" t="str">
        <f>IF(项目基本情况!D5="房地产市场价值","——",MID(A112,3,LEN(A112)-2))</f>
        <v>——</v>
      </c>
      <c r="B125" s="2998"/>
      <c r="C125" s="2998"/>
      <c r="D125" s="2991" t="e">
        <f ca="1">I110</f>
        <v>#REF!</v>
      </c>
      <c r="E125" s="2992"/>
      <c r="F125" s="2992"/>
      <c r="G125" s="2992"/>
      <c r="H125" s="2992"/>
      <c r="I125" s="2993"/>
    </row>
    <row r="126" spans="1:15" ht="14.25">
      <c r="A126" s="2980" t="s">
        <v>1951</v>
      </c>
      <c r="B126" s="2981"/>
      <c r="C126" s="2981"/>
      <c r="D126" s="2994" t="e">
        <f ca="1">I111</f>
        <v>#REF!</v>
      </c>
      <c r="E126" s="2995"/>
      <c r="F126" s="2995"/>
      <c r="G126" s="2995"/>
      <c r="H126" s="2995"/>
      <c r="I126" s="2996"/>
    </row>
    <row r="127" spans="1:15" ht="15.75" thickBot="1">
      <c r="A127" s="2997" t="str">
        <f>IF(项目基本情况!D5="房地产市场价值","——",MID(A114,3,LEN(A114)-2))</f>
        <v>——</v>
      </c>
      <c r="B127" s="2998"/>
      <c r="C127" s="2998"/>
      <c r="D127" s="3096" t="str">
        <f>I112</f>
        <v>——</v>
      </c>
      <c r="E127" s="3097"/>
      <c r="F127" s="3097"/>
      <c r="G127" s="3097"/>
      <c r="H127" s="3097"/>
      <c r="I127" s="3098"/>
    </row>
    <row r="128" spans="1:15" ht="15.75" thickTop="1" thickBot="1">
      <c r="A128" s="2980" t="s">
        <v>1951</v>
      </c>
      <c r="B128" s="2981"/>
      <c r="C128" s="2982"/>
      <c r="D128" s="3054" t="str">
        <f>I113</f>
        <v>——</v>
      </c>
      <c r="E128" s="3054"/>
      <c r="F128" s="3054"/>
      <c r="G128" s="3054"/>
      <c r="H128" s="3054"/>
      <c r="I128" s="3054"/>
    </row>
    <row r="129" spans="1:9" ht="16.5" thickTop="1" thickBot="1">
      <c r="A129" s="2997" t="str">
        <f>IF(项目基本情况!D5="房地产市场价值","——",MID(F114,3,LEN(F114)-2))</f>
        <v>——</v>
      </c>
      <c r="B129" s="2998"/>
      <c r="C129" s="2991"/>
      <c r="D129" s="3003" t="str">
        <f>I114</f>
        <v>——</v>
      </c>
      <c r="E129" s="3003"/>
      <c r="F129" s="3003"/>
      <c r="G129" s="3003"/>
      <c r="H129" s="3003"/>
      <c r="I129" s="3003"/>
    </row>
    <row r="130" spans="1:9" ht="15.75" thickTop="1" thickBot="1">
      <c r="A130" s="3008" t="s">
        <v>1951</v>
      </c>
      <c r="B130" s="3009"/>
      <c r="C130" s="3009"/>
      <c r="D130" s="3016">
        <f>H116</f>
        <v>0</v>
      </c>
      <c r="E130" s="3017"/>
      <c r="F130" s="3017"/>
      <c r="G130" s="3017"/>
      <c r="H130" s="3017"/>
      <c r="I130" s="3018"/>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78" t="str">
        <f>IF(B32="总价","（以上估价结果中楼面单价为总价除以建筑面积得出）","（以上估价结果中总价为楼面单价乘以建筑面积得出）")</f>
        <v>（以上估价结果中总价为楼面单价乘以建筑面积得出）</v>
      </c>
      <c r="B132" s="2978"/>
      <c r="C132" s="2978"/>
      <c r="D132" s="2978"/>
      <c r="E132" s="2978"/>
      <c r="F132" s="2978"/>
      <c r="G132" s="2978"/>
      <c r="H132" s="2978"/>
      <c r="I132" s="2978"/>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15" t="s">
        <v>1960</v>
      </c>
      <c r="B2" s="3115"/>
      <c r="C2" s="3115"/>
      <c r="D2" s="3115"/>
      <c r="E2" s="3115"/>
      <c r="F2" s="3115"/>
      <c r="G2" s="3115"/>
      <c r="H2" s="3115"/>
      <c r="I2" s="3115"/>
    </row>
    <row r="3" spans="1:12" ht="12.75">
      <c r="A3" s="3045" t="s">
        <v>1764</v>
      </c>
      <c r="B3" s="3046"/>
      <c r="C3" s="3046"/>
      <c r="D3" s="3046"/>
      <c r="E3" s="3046"/>
      <c r="F3" s="3046"/>
      <c r="G3" s="3046"/>
      <c r="H3" s="3046"/>
      <c r="I3" s="3046"/>
    </row>
    <row r="4" spans="1:12" ht="14.25">
      <c r="A4" s="2192" t="s">
        <v>1765</v>
      </c>
      <c r="B4" s="2193" t="s">
        <v>1766</v>
      </c>
      <c r="C4" s="2194"/>
      <c r="D4" s="2194"/>
      <c r="E4" s="3026" t="s">
        <v>1961</v>
      </c>
      <c r="F4" s="3027"/>
      <c r="G4" s="3027"/>
      <c r="H4" s="3027"/>
      <c r="I4" s="303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9" t="s">
        <v>1768</v>
      </c>
      <c r="B5" s="2981">
        <v>25</v>
      </c>
      <c r="C5" s="3030"/>
      <c r="D5" s="3044"/>
      <c r="E5" s="56" t="s">
        <v>1769</v>
      </c>
      <c r="F5" s="2195"/>
      <c r="G5" s="2195"/>
      <c r="H5" s="2195"/>
      <c r="I5" s="2196"/>
    </row>
    <row r="6" spans="1:12" ht="12.75">
      <c r="A6" s="3019"/>
      <c r="B6" s="2981"/>
      <c r="C6" s="3047"/>
      <c r="D6" s="3044"/>
      <c r="E6" s="56" t="s">
        <v>1770</v>
      </c>
      <c r="F6" s="2195"/>
      <c r="G6" s="2195"/>
      <c r="H6" s="2195"/>
      <c r="I6" s="2196"/>
    </row>
    <row r="7" spans="1:12" ht="12.75">
      <c r="A7" s="3019"/>
      <c r="B7" s="2981"/>
      <c r="C7" s="3031"/>
      <c r="D7" s="3044"/>
      <c r="E7" s="56" t="s">
        <v>1771</v>
      </c>
      <c r="F7" s="2195"/>
      <c r="G7" s="2195"/>
      <c r="H7" s="2195"/>
      <c r="I7" s="2196"/>
    </row>
    <row r="8" spans="1:12" ht="12.75">
      <c r="A8" s="3019" t="s">
        <v>1772</v>
      </c>
      <c r="B8" s="2981">
        <v>15</v>
      </c>
      <c r="C8" s="3030"/>
      <c r="D8" s="3044"/>
      <c r="E8" s="56" t="s">
        <v>1773</v>
      </c>
      <c r="F8" s="2195"/>
      <c r="G8" s="2195"/>
      <c r="H8" s="2195"/>
      <c r="I8" s="2196"/>
    </row>
    <row r="9" spans="1:12" ht="12.75">
      <c r="A9" s="3019"/>
      <c r="B9" s="2981"/>
      <c r="C9" s="3031"/>
      <c r="D9" s="3044"/>
      <c r="E9" s="56" t="s">
        <v>1774</v>
      </c>
      <c r="F9" s="2195"/>
      <c r="G9" s="2195"/>
      <c r="H9" s="2195"/>
      <c r="I9" s="2196"/>
    </row>
    <row r="10" spans="1:12" ht="12.75">
      <c r="A10" s="3019" t="s">
        <v>1775</v>
      </c>
      <c r="B10" s="2981">
        <v>15</v>
      </c>
      <c r="C10" s="3030"/>
      <c r="D10" s="3044"/>
      <c r="E10" s="56" t="s">
        <v>1776</v>
      </c>
      <c r="F10" s="2195"/>
      <c r="G10" s="2195"/>
      <c r="H10" s="2195"/>
      <c r="I10" s="2196"/>
    </row>
    <row r="11" spans="1:12" ht="12.75">
      <c r="A11" s="3019"/>
      <c r="B11" s="2981"/>
      <c r="C11" s="3031"/>
      <c r="D11" s="3044"/>
      <c r="E11" s="56" t="s">
        <v>1777</v>
      </c>
      <c r="F11" s="2195"/>
      <c r="G11" s="2195"/>
      <c r="H11" s="2195"/>
      <c r="I11" s="2196"/>
    </row>
    <row r="12" spans="1:12" ht="12.75">
      <c r="A12" s="3019" t="s">
        <v>1778</v>
      </c>
      <c r="B12" s="2981">
        <v>15</v>
      </c>
      <c r="C12" s="3030"/>
      <c r="D12" s="3044"/>
      <c r="E12" s="56" t="s">
        <v>1779</v>
      </c>
      <c r="F12" s="2195"/>
      <c r="G12" s="2195"/>
      <c r="H12" s="2195"/>
      <c r="I12" s="2196"/>
    </row>
    <row r="13" spans="1:12" ht="12.75">
      <c r="A13" s="3019"/>
      <c r="B13" s="2981"/>
      <c r="C13" s="3031"/>
      <c r="D13" s="3044"/>
      <c r="E13" s="56" t="s">
        <v>1780</v>
      </c>
      <c r="F13" s="2195"/>
      <c r="G13" s="2195"/>
      <c r="H13" s="2195"/>
      <c r="I13" s="2196"/>
    </row>
    <row r="14" spans="1:12" ht="12.75">
      <c r="A14" s="3019" t="s">
        <v>1781</v>
      </c>
      <c r="B14" s="2981">
        <v>30</v>
      </c>
      <c r="C14" s="3030"/>
      <c r="D14" s="3044"/>
      <c r="E14" s="56" t="s">
        <v>1782</v>
      </c>
      <c r="F14" s="2195"/>
      <c r="G14" s="2195"/>
      <c r="H14" s="2195"/>
      <c r="I14" s="2196"/>
    </row>
    <row r="15" spans="1:12" ht="12.75">
      <c r="A15" s="3019"/>
      <c r="B15" s="2981"/>
      <c r="C15" s="3047"/>
      <c r="D15" s="3044"/>
      <c r="E15" s="56" t="s">
        <v>1783</v>
      </c>
      <c r="F15" s="2195"/>
      <c r="G15" s="2195"/>
      <c r="H15" s="2195"/>
      <c r="I15" s="2196"/>
    </row>
    <row r="16" spans="1:12" ht="12.75">
      <c r="A16" s="3019"/>
      <c r="B16" s="2981"/>
      <c r="C16" s="3031"/>
      <c r="D16" s="3044"/>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50" t="s">
        <v>1793</v>
      </c>
      <c r="B24" s="2202" t="s">
        <v>1788</v>
      </c>
      <c r="C24" s="61">
        <f>D30</f>
        <v>0</v>
      </c>
      <c r="D24" s="990"/>
      <c r="E24" s="2190"/>
      <c r="F24" s="2190"/>
      <c r="G24" s="2190"/>
      <c r="H24" s="2190"/>
      <c r="I24" s="2190"/>
    </row>
    <row r="25" spans="1:35" ht="21.75" customHeight="1">
      <c r="A25" s="3051"/>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06" t="s">
        <v>1964</v>
      </c>
      <c r="B31" s="3106"/>
      <c r="C31" s="3106"/>
      <c r="D31" s="3106"/>
      <c r="E31" s="3106"/>
      <c r="F31" s="3106"/>
      <c r="G31" s="3106"/>
      <c r="H31" s="3106"/>
      <c r="I31" s="310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32" t="s">
        <v>1973</v>
      </c>
      <c r="B37" s="2232" t="s">
        <v>1974</v>
      </c>
      <c r="C37" s="69"/>
      <c r="D37" s="2233"/>
      <c r="E37" s="2234"/>
      <c r="F37" s="2234"/>
      <c r="G37" s="2190"/>
      <c r="H37" s="2190"/>
      <c r="I37" s="2190"/>
    </row>
    <row r="38" spans="1:16" ht="15.75" thickBot="1">
      <c r="A38" s="3033"/>
      <c r="B38" s="2235" t="s">
        <v>1975</v>
      </c>
      <c r="C38" s="71"/>
      <c r="D38" s="2200"/>
      <c r="E38" s="2200"/>
      <c r="F38" s="2234"/>
      <c r="G38" s="2200"/>
      <c r="H38" s="2200"/>
      <c r="I38" s="2200"/>
    </row>
    <row r="39" spans="1:16" ht="15.75" thickBot="1">
      <c r="A39" s="3034"/>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38" t="s">
        <v>1986</v>
      </c>
      <c r="B46" s="3039"/>
      <c r="C46" s="3040"/>
      <c r="D46" s="80">
        <f>ROUND(I103*F46,0)</f>
        <v>0</v>
      </c>
      <c r="E46" s="81" t="s">
        <v>1987</v>
      </c>
      <c r="F46" s="82">
        <v>1</v>
      </c>
      <c r="G46" s="83" t="s">
        <v>1988</v>
      </c>
      <c r="H46" s="2190"/>
      <c r="I46" s="2190"/>
      <c r="J46" s="3100" t="s">
        <v>1820</v>
      </c>
      <c r="K46" s="3100"/>
      <c r="L46" s="3100"/>
      <c r="M46" s="3100"/>
      <c r="N46" s="3100"/>
      <c r="O46" s="3100"/>
      <c r="P46" s="1841"/>
    </row>
    <row r="47" spans="1:16" ht="14.25" customHeight="1">
      <c r="A47" s="3023" t="s">
        <v>1821</v>
      </c>
      <c r="B47" s="3024"/>
      <c r="C47" s="3024"/>
      <c r="D47" s="3024"/>
      <c r="E47" s="3024"/>
      <c r="F47" s="3024"/>
      <c r="G47" s="3025"/>
      <c r="H47" s="2252"/>
      <c r="I47" s="1140"/>
      <c r="J47" s="1878">
        <v>1</v>
      </c>
      <c r="K47" s="3100" t="s">
        <v>1822</v>
      </c>
      <c r="L47" s="3100"/>
      <c r="M47" s="3116"/>
      <c r="N47" s="3116"/>
      <c r="O47" s="3116"/>
      <c r="P47" s="1841"/>
    </row>
    <row r="48" spans="1:16" ht="12" customHeight="1">
      <c r="A48" s="85" t="s">
        <v>1823</v>
      </c>
      <c r="B48" s="86"/>
      <c r="C48" s="87"/>
      <c r="D48" s="88" t="s">
        <v>1824</v>
      </c>
      <c r="E48" s="14" t="s">
        <v>1825</v>
      </c>
      <c r="F48" s="89" t="s">
        <v>1826</v>
      </c>
      <c r="G48" s="90" t="s">
        <v>1827</v>
      </c>
      <c r="H48" s="2252"/>
      <c r="I48" s="1140"/>
      <c r="J48" s="1878">
        <v>2</v>
      </c>
      <c r="K48" s="3100" t="s">
        <v>1828</v>
      </c>
      <c r="L48" s="3100"/>
      <c r="M48" s="3102">
        <f>'数据-取费表'!B2</f>
        <v>44202</v>
      </c>
      <c r="N48" s="3102"/>
      <c r="O48" s="3102"/>
      <c r="P48" s="1841"/>
    </row>
    <row r="49" spans="1:16" ht="25.5">
      <c r="A49" s="3035" t="s">
        <v>1829</v>
      </c>
      <c r="B49" s="3036"/>
      <c r="C49" s="3036"/>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3100" t="s">
        <v>1832</v>
      </c>
      <c r="L49" s="3100"/>
      <c r="M49" s="3101">
        <f>I103</f>
        <v>0</v>
      </c>
      <c r="N49" s="3101"/>
      <c r="O49" s="3101"/>
      <c r="P49" s="1841"/>
    </row>
    <row r="50" spans="1:16" ht="25.5" customHeight="1">
      <c r="A50" s="92" t="s">
        <v>1833</v>
      </c>
      <c r="B50" s="3028" t="s">
        <v>1834</v>
      </c>
      <c r="C50" s="3028"/>
      <c r="D50" s="93">
        <v>0</v>
      </c>
      <c r="E50" s="13" t="s">
        <v>1835</v>
      </c>
      <c r="F50" s="18" t="s">
        <v>48</v>
      </c>
      <c r="G50" s="3093"/>
      <c r="H50" s="2190"/>
      <c r="I50" s="2255"/>
      <c r="J50" s="1878">
        <v>4</v>
      </c>
      <c r="K50" s="3100" t="str">
        <f>IF(项目基本情况!F5="房地产抵押价值","房地产抵押价值","抵押担保权已注销时的房地产抵押价值")</f>
        <v>抵押担保权已注销时的房地产抵押价值</v>
      </c>
      <c r="L50" s="3100"/>
      <c r="M50" s="3101" t="str">
        <f>IF(项目基本情况!F5="房地产抵押价值",I111,I113)</f>
        <v>——</v>
      </c>
      <c r="N50" s="3101"/>
      <c r="O50" s="3101"/>
      <c r="P50" s="1841"/>
    </row>
    <row r="51" spans="1:16" ht="25.5" customHeight="1">
      <c r="A51" s="94"/>
      <c r="B51" s="3028" t="s">
        <v>1836</v>
      </c>
      <c r="C51" s="3028"/>
      <c r="D51" s="95"/>
      <c r="E51" s="21"/>
      <c r="F51" s="96"/>
      <c r="G51" s="3094"/>
      <c r="H51" s="2190"/>
      <c r="I51" s="2255"/>
      <c r="J51" s="3100" t="s">
        <v>1837</v>
      </c>
      <c r="K51" s="3100"/>
      <c r="L51" s="3100"/>
      <c r="M51" s="3100"/>
      <c r="N51" s="3100"/>
      <c r="O51" s="3100"/>
      <c r="P51" s="1841"/>
    </row>
    <row r="52" spans="1:16" ht="12" customHeight="1">
      <c r="A52" s="97"/>
      <c r="B52" s="3028" t="s">
        <v>1838</v>
      </c>
      <c r="C52" s="3028"/>
      <c r="D52" s="98"/>
      <c r="E52" s="20"/>
      <c r="F52" s="96"/>
      <c r="G52" s="3095"/>
      <c r="H52" s="2190"/>
      <c r="I52" s="2255"/>
      <c r="J52" s="2256" t="s">
        <v>1839</v>
      </c>
      <c r="K52" s="3100" t="s">
        <v>1840</v>
      </c>
      <c r="L52" s="3100"/>
      <c r="M52" s="2256" t="s">
        <v>1841</v>
      </c>
      <c r="N52" s="2256" t="s">
        <v>1842</v>
      </c>
      <c r="O52" s="2256" t="s">
        <v>1843</v>
      </c>
      <c r="P52" s="1841"/>
    </row>
    <row r="53" spans="1:16" ht="24" customHeight="1">
      <c r="A53" s="99" t="s">
        <v>1844</v>
      </c>
      <c r="B53" s="3028" t="s">
        <v>1845</v>
      </c>
      <c r="C53" s="3028"/>
      <c r="D53" s="98">
        <f>ROUND(D46*'数据-取费表'!E29/(1+'数据-取费表'!F30),0)</f>
        <v>0</v>
      </c>
      <c r="E53" s="10" t="s">
        <v>1846</v>
      </c>
      <c r="F53" s="100">
        <f>'数据-取费表'!E29</f>
        <v>5.6000000000000001E-2</v>
      </c>
      <c r="G53" s="2257"/>
      <c r="H53" s="2190"/>
      <c r="I53" s="2255"/>
      <c r="J53" s="1878">
        <v>1</v>
      </c>
      <c r="K53" s="3060" t="s">
        <v>1847</v>
      </c>
      <c r="L53" s="3060"/>
      <c r="M53" s="778">
        <f>D49</f>
        <v>0</v>
      </c>
      <c r="N53" s="1878" t="str">
        <f>E49</f>
        <v>销售额×税（费）率</v>
      </c>
      <c r="O53" s="779">
        <f>F49</f>
        <v>5.6000000000000001E-2</v>
      </c>
      <c r="P53" s="1841"/>
    </row>
    <row r="54" spans="1:16" ht="12" customHeight="1">
      <c r="A54" s="99" t="s">
        <v>1848</v>
      </c>
      <c r="B54" s="3029" t="s">
        <v>1849</v>
      </c>
      <c r="C54" s="2954"/>
      <c r="D54" s="98">
        <f>ROUND(D46*'数据-取费表'!E29/(1+'数据-取费表'!F30),0)</f>
        <v>0</v>
      </c>
      <c r="E54" s="10" t="s">
        <v>1846</v>
      </c>
      <c r="F54" s="100">
        <f>'数据-取费表'!E29</f>
        <v>5.6000000000000001E-2</v>
      </c>
      <c r="G54" s="2257"/>
      <c r="H54" s="2190"/>
      <c r="I54" s="2255"/>
      <c r="J54" s="1878">
        <v>2</v>
      </c>
      <c r="K54" s="3060" t="s">
        <v>1850</v>
      </c>
      <c r="L54" s="3060"/>
      <c r="M54" s="778">
        <f t="shared" ref="M54:O55" si="1">D56</f>
        <v>0</v>
      </c>
      <c r="N54" s="1878" t="str">
        <f t="shared" si="1"/>
        <v>销售额×税（费）率</v>
      </c>
      <c r="O54" s="779">
        <f t="shared" si="1"/>
        <v>5.0000000000000001E-4</v>
      </c>
      <c r="P54" s="1841"/>
    </row>
    <row r="55" spans="1:16" ht="12" customHeight="1">
      <c r="A55" s="99" t="s">
        <v>1851</v>
      </c>
      <c r="B55" s="3029" t="s">
        <v>1852</v>
      </c>
      <c r="C55" s="2954"/>
      <c r="D55" s="98">
        <f>C69</f>
        <v>0</v>
      </c>
      <c r="E55" s="20" t="s">
        <v>1853</v>
      </c>
      <c r="F55" s="100">
        <f>'数据-取费表'!E29</f>
        <v>5.6000000000000001E-2</v>
      </c>
      <c r="G55" s="2257"/>
      <c r="H55" s="2258"/>
      <c r="I55" s="2255"/>
      <c r="J55" s="1878">
        <v>3</v>
      </c>
      <c r="K55" s="3060" t="s">
        <v>1854</v>
      </c>
      <c r="L55" s="3060"/>
      <c r="M55" s="778">
        <f t="shared" si="1"/>
        <v>0</v>
      </c>
      <c r="N55" s="1878" t="str">
        <f t="shared" si="1"/>
        <v>增值额×税（费）率</v>
      </c>
      <c r="O55" s="780" t="str">
        <f t="shared" si="1"/>
        <v>——</v>
      </c>
      <c r="P55" s="1841"/>
    </row>
    <row r="56" spans="1:16" ht="24" customHeight="1">
      <c r="A56" s="2946" t="s">
        <v>1855</v>
      </c>
      <c r="B56" s="3036"/>
      <c r="C56" s="3036"/>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3060" t="str">
        <f>IF(H60="非个人房产","——","个人所得税")</f>
        <v>——</v>
      </c>
      <c r="L56" s="3060"/>
      <c r="M56" s="781" t="str">
        <f>D60</f>
        <v>——</v>
      </c>
      <c r="N56" s="1881" t="str">
        <f>E60</f>
        <v>——</v>
      </c>
      <c r="O56" s="782" t="str">
        <f>F60</f>
        <v>——</v>
      </c>
      <c r="P56" s="1841"/>
    </row>
    <row r="57" spans="1:16" ht="24.75">
      <c r="A57" s="2946" t="s">
        <v>1858</v>
      </c>
      <c r="B57" s="3036"/>
      <c r="C57" s="3036"/>
      <c r="D57" s="101">
        <f>IF(H57="个人住宅",D58,D59)</f>
        <v>0</v>
      </c>
      <c r="E57" s="10" t="s">
        <v>1859</v>
      </c>
      <c r="F57" s="100" t="str">
        <f>IF(H57="正常",F59,"免征")</f>
        <v>——</v>
      </c>
      <c r="G57" s="2259" t="s">
        <v>1860</v>
      </c>
      <c r="H57" s="2260" t="s">
        <v>1857</v>
      </c>
      <c r="I57" s="1018"/>
      <c r="J57" s="1878" t="str">
        <f>IF(项目基本情况!I6="上海银行",IF(J56="",4,J56+1),"")</f>
        <v/>
      </c>
      <c r="K57" s="3078" t="str">
        <f>IF(项目基本情况!I6="上海银行","其他处置费用","")</f>
        <v/>
      </c>
      <c r="L57" s="3079"/>
      <c r="M57" s="778" t="str">
        <f>IF(项目基本情况!I6="上海银行",M70,"")</f>
        <v/>
      </c>
      <c r="N57" s="3091" t="str">
        <f>IF(项目基本情况!I6="上海银行","包含处置中涉及的律师、诉讼、拍卖、评估等费用","")</f>
        <v/>
      </c>
      <c r="O57" s="3092"/>
      <c r="P57" s="1841"/>
    </row>
    <row r="58" spans="1:16" ht="12.75">
      <c r="A58" s="99" t="s">
        <v>1833</v>
      </c>
      <c r="B58" s="3026" t="s">
        <v>1861</v>
      </c>
      <c r="C58" s="3037"/>
      <c r="D58" s="103">
        <v>0</v>
      </c>
      <c r="E58" s="13" t="s">
        <v>1835</v>
      </c>
      <c r="F58" s="70"/>
      <c r="G58" s="2257"/>
      <c r="H58" s="1018"/>
      <c r="I58" s="1018"/>
      <c r="J58" s="3060">
        <f>IF(AND(J56="",J57=""),4,IF(项目基本情况!I6="上海银行",J57+1,J56+1))</f>
        <v>4</v>
      </c>
      <c r="K58" s="3060" t="s">
        <v>1862</v>
      </c>
      <c r="L58" s="2261" t="s">
        <v>1863</v>
      </c>
      <c r="M58" s="783"/>
      <c r="N58" s="784">
        <f>SUMIF(M53:M57,"&lt;9e307")</f>
        <v>0</v>
      </c>
      <c r="O58" s="2262"/>
      <c r="P58" s="1837" t="e">
        <f>N58/M50</f>
        <v>#VALUE!</v>
      </c>
    </row>
    <row r="59" spans="1:16" ht="24.75">
      <c r="A59" s="99" t="s">
        <v>1844</v>
      </c>
      <c r="B59" s="3026" t="s">
        <v>1864</v>
      </c>
      <c r="C59" s="3027"/>
      <c r="D59" s="101">
        <f>IF(H59="转让取得",C82,C98)</f>
        <v>0</v>
      </c>
      <c r="E59" s="10" t="s">
        <v>1859</v>
      </c>
      <c r="F59" s="14" t="s">
        <v>48</v>
      </c>
      <c r="G59" s="2257"/>
      <c r="H59" s="2260" t="s">
        <v>1865</v>
      </c>
      <c r="I59" s="1018"/>
      <c r="J59" s="3060"/>
      <c r="K59" s="3060"/>
      <c r="L59" s="2261" t="s">
        <v>1866</v>
      </c>
      <c r="M59" s="785"/>
      <c r="N59" s="2263" t="str">
        <f>IF(H19="元",NUMBERSTRING(INT(N58),2)&amp;"元整",NUMBERSTRING(INT(N58*10000),2)&amp;"元整")</f>
        <v>零元整</v>
      </c>
      <c r="O59" s="2264"/>
      <c r="P59" s="1841"/>
    </row>
    <row r="60" spans="1:16" ht="24.75" thickBot="1">
      <c r="A60" s="2947" t="s">
        <v>1867</v>
      </c>
      <c r="B60" s="2950"/>
      <c r="C60" s="2950"/>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58">
        <f>J58+1</f>
        <v>5</v>
      </c>
      <c r="K60" s="3060" t="s">
        <v>1869</v>
      </c>
      <c r="L60" s="1878" t="s">
        <v>1863</v>
      </c>
      <c r="M60" s="786"/>
      <c r="N60" s="787" t="e">
        <f>M50-N58</f>
        <v>#VALUE!</v>
      </c>
      <c r="O60" s="2266"/>
      <c r="P60" s="1841"/>
    </row>
    <row r="61" spans="1:16" ht="12" customHeight="1">
      <c r="A61" s="2062"/>
      <c r="B61" s="2190"/>
      <c r="C61" s="2190"/>
      <c r="D61" s="2190"/>
      <c r="E61" s="1018"/>
      <c r="F61" s="1018"/>
      <c r="G61" s="1018"/>
      <c r="H61" s="2243"/>
      <c r="I61" s="2190"/>
      <c r="J61" s="3059"/>
      <c r="K61" s="3060"/>
      <c r="L61" s="2261" t="s">
        <v>1866</v>
      </c>
      <c r="M61" s="785"/>
      <c r="N61" s="2263" t="e">
        <f>IF(H19="元",NUMBERSTRING(INT(N60),2)&amp;"元整",NUMBERSTRING(INT(N60*10000),2)&amp;"元整")</f>
        <v>#VALUE!</v>
      </c>
      <c r="O61" s="2264"/>
      <c r="P61" s="1841"/>
    </row>
    <row r="62" spans="1:16" ht="13.5" thickBot="1">
      <c r="A62" s="3041" t="s">
        <v>1870</v>
      </c>
      <c r="B62" s="3041"/>
      <c r="C62" s="3041"/>
      <c r="D62" s="3041"/>
      <c r="E62" s="3041"/>
      <c r="F62" s="1018"/>
      <c r="G62" s="1018"/>
      <c r="H62" s="2243"/>
      <c r="I62" s="2190"/>
      <c r="J62" s="1878">
        <f>J60+1</f>
        <v>6</v>
      </c>
      <c r="K62" s="3060" t="s">
        <v>1871</v>
      </c>
      <c r="L62" s="3060"/>
      <c r="M62" s="788"/>
      <c r="N62" s="789" t="e">
        <f>IF(H19="元",ROUND(N60/项目基本情况!C12,0),ROUND(N60*10000/项目基本情况!C12,0))</f>
        <v>#VALUE!</v>
      </c>
      <c r="O62" s="2267"/>
      <c r="P62" s="1841"/>
    </row>
    <row r="63" spans="1:16" ht="12.75">
      <c r="A63" s="3048" t="s">
        <v>1872</v>
      </c>
      <c r="B63" s="3049"/>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3080"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3080"/>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3080"/>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3080"/>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3080"/>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3080"/>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3080"/>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52" t="s">
        <v>1892</v>
      </c>
      <c r="B71" s="3053"/>
      <c r="C71" s="3053"/>
      <c r="D71" s="3053"/>
      <c r="E71" s="3053"/>
      <c r="F71" s="3053"/>
      <c r="G71" s="3053"/>
      <c r="H71" s="3053"/>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48" t="s">
        <v>1872</v>
      </c>
      <c r="B72" s="3049"/>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29" t="s">
        <v>1902</v>
      </c>
      <c r="F77" s="3028"/>
      <c r="G77" s="3028"/>
      <c r="H77" s="3043"/>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3020" t="s">
        <v>1907</v>
      </c>
      <c r="F79" s="3021"/>
      <c r="G79" s="3021"/>
      <c r="H79" s="3022"/>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52" t="s">
        <v>1911</v>
      </c>
      <c r="B84" s="3053"/>
      <c r="C84" s="3053"/>
      <c r="D84" s="3053"/>
      <c r="E84" s="3053"/>
      <c r="F84" s="3053"/>
      <c r="G84" s="3053"/>
      <c r="H84" s="3053"/>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48" t="s">
        <v>1872</v>
      </c>
      <c r="B85" s="3049"/>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3020" t="s">
        <v>1919</v>
      </c>
      <c r="F92" s="3021"/>
      <c r="G92" s="3021"/>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3020" t="s">
        <v>1922</v>
      </c>
      <c r="F93" s="3021"/>
      <c r="G93" s="3021"/>
      <c r="H93" s="3022"/>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3020" t="s">
        <v>1907</v>
      </c>
      <c r="F94" s="3021"/>
      <c r="G94" s="3021"/>
      <c r="H94" s="3022"/>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3020" t="s">
        <v>1924</v>
      </c>
      <c r="F95" s="3021"/>
      <c r="G95" s="3021"/>
      <c r="H95" s="3022"/>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75" t="s">
        <v>1926</v>
      </c>
      <c r="B100" s="3076"/>
      <c r="C100" s="3076"/>
      <c r="D100" s="3077"/>
      <c r="E100" s="2190"/>
      <c r="F100" s="3086" t="s">
        <v>1927</v>
      </c>
      <c r="G100" s="3087"/>
      <c r="H100" s="3087"/>
      <c r="I100" s="3088"/>
    </row>
    <row r="101" spans="1:35" ht="15.75">
      <c r="A101" s="3089" t="s">
        <v>1928</v>
      </c>
      <c r="B101" s="3090"/>
      <c r="C101" s="720">
        <f>C4</f>
        <v>0</v>
      </c>
      <c r="D101" s="721">
        <f>D4</f>
        <v>0</v>
      </c>
      <c r="E101" s="2190"/>
      <c r="F101" s="2985" t="s">
        <v>1929</v>
      </c>
      <c r="G101" s="2986"/>
      <c r="H101" s="3111" t="s">
        <v>1930</v>
      </c>
      <c r="I101" s="2984"/>
    </row>
    <row r="102" spans="1:35" ht="15.75">
      <c r="A102" s="3112" t="s">
        <v>1990</v>
      </c>
      <c r="B102" s="2285" t="str">
        <f>IF(H19="元","总价（元）","总价（万元）")</f>
        <v>总价（元）</v>
      </c>
      <c r="C102" s="720" t="e">
        <f ca="1">C19</f>
        <v>#REF!</v>
      </c>
      <c r="D102" s="721" t="e">
        <f ca="1">D19</f>
        <v>#REF!</v>
      </c>
      <c r="E102" s="2190"/>
      <c r="F102" s="3113"/>
      <c r="G102" s="3114"/>
      <c r="H102" s="2983">
        <f>典型户型修正!B25</f>
        <v>0</v>
      </c>
      <c r="I102" s="2984"/>
    </row>
    <row r="103" spans="1:35" ht="15.75">
      <c r="A103" s="3112"/>
      <c r="B103" s="2285" t="s">
        <v>1932</v>
      </c>
      <c r="C103" s="722" t="e">
        <f ca="1">C20</f>
        <v>#REF!</v>
      </c>
      <c r="D103" s="723" t="e">
        <f ca="1">D20</f>
        <v>#REF!</v>
      </c>
      <c r="E103" s="2190"/>
      <c r="F103" s="3012" t="s">
        <v>1933</v>
      </c>
      <c r="G103" s="3013"/>
      <c r="H103" s="2286" t="str">
        <f>C109</f>
        <v>总价（元）</v>
      </c>
      <c r="I103" s="1858">
        <f>H124</f>
        <v>0</v>
      </c>
    </row>
    <row r="104" spans="1:35" ht="15">
      <c r="A104" s="3112" t="s">
        <v>1991</v>
      </c>
      <c r="B104" s="2287" t="str">
        <f>B102</f>
        <v>总价（元）</v>
      </c>
      <c r="C104" s="1186" t="e">
        <f ca="1">ROUND(IF('数据-取费表'!B4="总价",G19,IF(H19="元",G20*'数据-取费表'!E5,G20*'数据-取费表'!E5/10000)),0)</f>
        <v>#REF!</v>
      </c>
      <c r="D104" s="725"/>
      <c r="E104" s="2190"/>
      <c r="F104" s="3012"/>
      <c r="G104" s="3013"/>
      <c r="H104" s="2286" t="s">
        <v>1932</v>
      </c>
      <c r="I104" s="1046" t="e">
        <f>I124</f>
        <v>#DIV/0!</v>
      </c>
    </row>
    <row r="105" spans="1:35" ht="15.75">
      <c r="A105" s="3112"/>
      <c r="B105" s="2285" t="s">
        <v>1932</v>
      </c>
      <c r="C105" s="1187" t="e">
        <f ca="1">ROUND(IF('数据-取费表'!B4="楼面单价",G20,IF(H19="元",G19/'数据-取费表'!E5,G19*10000/'数据-取费表'!E5)),0)</f>
        <v>#REF!</v>
      </c>
      <c r="D105" s="725"/>
      <c r="E105" s="2190"/>
      <c r="F105" s="3084"/>
      <c r="G105" s="3085"/>
      <c r="H105" s="3069"/>
      <c r="I105" s="3070"/>
    </row>
    <row r="106" spans="1:35" ht="15.75">
      <c r="A106" s="3105" t="s">
        <v>1992</v>
      </c>
      <c r="B106" s="2325" t="str">
        <f>B102</f>
        <v>总价（元）</v>
      </c>
      <c r="C106" s="724">
        <f>H124</f>
        <v>0</v>
      </c>
      <c r="D106" s="1185"/>
      <c r="E106" s="2190"/>
      <c r="F106" s="3073" t="s">
        <v>1936</v>
      </c>
      <c r="G106" s="3074"/>
      <c r="H106" s="2289" t="str">
        <f>C111</f>
        <v>总额（元）</v>
      </c>
      <c r="I106" s="1858">
        <f>SUMIF(I107:I109,"&lt;9E307")</f>
        <v>0</v>
      </c>
    </row>
    <row r="107" spans="1:35" ht="15.75" thickBot="1">
      <c r="A107" s="3068"/>
      <c r="B107" s="2288" t="s">
        <v>1932</v>
      </c>
      <c r="C107" s="726" t="e">
        <f>I124</f>
        <v>#DIV/0!</v>
      </c>
      <c r="D107" s="727"/>
      <c r="E107" s="2190"/>
      <c r="F107" s="3001" t="s">
        <v>1938</v>
      </c>
      <c r="G107" s="3002"/>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08" t="s">
        <v>1935</v>
      </c>
      <c r="B108" s="3109"/>
      <c r="C108" s="3109"/>
      <c r="D108" s="3110"/>
      <c r="E108" s="2190"/>
      <c r="F108" s="3001" t="s">
        <v>1939</v>
      </c>
      <c r="G108" s="3002"/>
      <c r="H108" s="2289" t="str">
        <f>C113</f>
        <v>总额（元）</v>
      </c>
      <c r="I108" s="1046">
        <f>C38</f>
        <v>0</v>
      </c>
      <c r="K108" s="2290"/>
    </row>
    <row r="109" spans="1:35" ht="15">
      <c r="A109" s="2999" t="s">
        <v>1993</v>
      </c>
      <c r="B109" s="3000"/>
      <c r="C109" s="2286" t="str">
        <f>B102</f>
        <v>总价（元）</v>
      </c>
      <c r="D109" s="1047">
        <f>H124</f>
        <v>0</v>
      </c>
      <c r="E109" s="2190"/>
      <c r="F109" s="3001" t="s">
        <v>1941</v>
      </c>
      <c r="G109" s="3002"/>
      <c r="H109" s="2289" t="str">
        <f>C114</f>
        <v>总额（元）</v>
      </c>
      <c r="I109" s="1046">
        <f>C39</f>
        <v>0</v>
      </c>
    </row>
    <row r="110" spans="1:35" ht="15.75">
      <c r="A110" s="2999"/>
      <c r="B110" s="3000"/>
      <c r="C110" s="2286" t="s">
        <v>1932</v>
      </c>
      <c r="D110" s="1048" t="e">
        <f>I124</f>
        <v>#DIV/0!</v>
      </c>
      <c r="E110" s="2190"/>
      <c r="F110" s="3084"/>
      <c r="G110" s="3085"/>
      <c r="H110" s="3071"/>
      <c r="I110" s="3072"/>
    </row>
    <row r="111" spans="1:35" ht="28.5" customHeight="1">
      <c r="A111" s="3006" t="s">
        <v>1940</v>
      </c>
      <c r="B111" s="3007"/>
      <c r="C111" s="2289" t="str">
        <f>IF(H19="元","总额（元）","总额（万元）")</f>
        <v>总额（元）</v>
      </c>
      <c r="D111" s="1047">
        <f>IF(D37="正常操作",I107+I108+I109,I108+I109)</f>
        <v>0</v>
      </c>
      <c r="E111" s="2190"/>
      <c r="F111" s="2987" t="str">
        <f>IF(项目基本情况!F5="已注销","——","3.房地产抵押价值")</f>
        <v>3.房地产抵押价值</v>
      </c>
      <c r="G111" s="2988"/>
      <c r="H111" s="2326" t="str">
        <f>C115</f>
        <v>总价（元）</v>
      </c>
      <c r="I111" s="1858">
        <f>IF(F111="——","——",I103-I106)</f>
        <v>0</v>
      </c>
    </row>
    <row r="112" spans="1:35" ht="15">
      <c r="A112" s="3001" t="s">
        <v>1938</v>
      </c>
      <c r="B112" s="3002"/>
      <c r="C112" s="2289" t="str">
        <f>C111</f>
        <v>总额（元）</v>
      </c>
      <c r="D112" s="637">
        <f>IF(D37="同一抵押权人同一抵押物续贷",C37&amp;"（未扣减，详见特别提示）",C37)</f>
        <v>0</v>
      </c>
      <c r="E112" s="2190"/>
      <c r="F112" s="3103"/>
      <c r="G112" s="3104"/>
      <c r="H112" s="2286" t="s">
        <v>1932</v>
      </c>
      <c r="I112" s="2292" t="e">
        <f>D116</f>
        <v>#DIV/0!</v>
      </c>
    </row>
    <row r="113" spans="1:26" ht="15.75">
      <c r="A113" s="3001" t="s">
        <v>1939</v>
      </c>
      <c r="B113" s="3002"/>
      <c r="C113" s="2289" t="str">
        <f>C111</f>
        <v>总额（元）</v>
      </c>
      <c r="D113" s="637">
        <f>C38</f>
        <v>0</v>
      </c>
      <c r="E113" s="2190"/>
      <c r="F113" s="2987" t="str">
        <f>IF(项目基本情况!F5="已注销及未注销","4.抵押担保权已注销时的房地产抵押价值",IF(项目基本情况!F5="已注销","3.抵押担保权已注销时的房地产抵押价值","——"))</f>
        <v>——</v>
      </c>
      <c r="G113" s="2988"/>
      <c r="H113" s="2326" t="str">
        <f>C117</f>
        <v>总价（元）</v>
      </c>
      <c r="I113" s="1858" t="str">
        <f>IF(F113="——","——",I103-I108-I109)</f>
        <v>——</v>
      </c>
    </row>
    <row r="114" spans="1:26" ht="15">
      <c r="A114" s="3001" t="s">
        <v>1941</v>
      </c>
      <c r="B114" s="3002"/>
      <c r="C114" s="2289" t="str">
        <f>C111</f>
        <v>总额（元）</v>
      </c>
      <c r="D114" s="637">
        <f>C39</f>
        <v>0</v>
      </c>
      <c r="E114" s="2190"/>
      <c r="F114" s="3103"/>
      <c r="G114" s="3104"/>
      <c r="H114" s="2286" t="s">
        <v>1932</v>
      </c>
      <c r="I114" s="1046" t="str">
        <f>D118</f>
        <v>——</v>
      </c>
    </row>
    <row r="115" spans="1:26" ht="15.75">
      <c r="A115" s="2999" t="str">
        <f>IF(项目基本情况!F5="已注销","——","3.房地产抵押价值")</f>
        <v>3.房地产抵押价值</v>
      </c>
      <c r="B115" s="3000"/>
      <c r="C115" s="2286" t="str">
        <f>B102</f>
        <v>总价（元）</v>
      </c>
      <c r="D115" s="1047">
        <f>IF(A115="——","——",D109-D111)</f>
        <v>0</v>
      </c>
      <c r="E115" s="2190"/>
      <c r="F115" s="2987" t="str">
        <f>IF(项目基本情况!G5="抵押净值",IF(OR(项目基本情况!F5="已注销",项目基本情况!F5="房地产抵押价值"),"4.抵押净值","5.抵押净值"),"——")</f>
        <v>——</v>
      </c>
      <c r="G115" s="2988"/>
      <c r="H115" s="2286" t="str">
        <f>C119</f>
        <v>总价（元）</v>
      </c>
      <c r="I115" s="1858" t="str">
        <f>IF(F115="——","——",N60)</f>
        <v>——</v>
      </c>
    </row>
    <row r="116" spans="1:26" ht="15.75" thickBot="1">
      <c r="A116" s="2999"/>
      <c r="B116" s="3000"/>
      <c r="C116" s="2286" t="s">
        <v>1994</v>
      </c>
      <c r="D116" s="1048" t="e">
        <f>ROUND(IF(D115=D109,D110,IF(H19="元",D115/B124,D115*10000/B124)),0)</f>
        <v>#DIV/0!</v>
      </c>
      <c r="E116" s="2190"/>
      <c r="F116" s="2989"/>
      <c r="G116" s="2990"/>
      <c r="H116" s="2294" t="s">
        <v>1994</v>
      </c>
      <c r="I116" s="1860" t="str">
        <f>D120</f>
        <v>——</v>
      </c>
    </row>
    <row r="117" spans="1:26" ht="15.75">
      <c r="A117" s="2999" t="str">
        <f>IF(项目基本情况!F5="已注销及未注销","4.抵押担保权已注销时的房地产抵押价值",IF(项目基本情况!F5="已注销","3.抵押担保权已注销时的房地产抵押价值","——"))</f>
        <v>——</v>
      </c>
      <c r="B117" s="3000"/>
      <c r="C117" s="2286" t="str">
        <f>B102</f>
        <v>总价（元）</v>
      </c>
      <c r="D117" s="1047" t="str">
        <f>IF(A117="——","——",D109-D113-D114)</f>
        <v>——</v>
      </c>
      <c r="E117" s="2190"/>
      <c r="F117" s="3099"/>
      <c r="G117" s="3099"/>
      <c r="H117" s="3055"/>
      <c r="I117" s="3055"/>
      <c r="N117" s="55"/>
      <c r="O117" s="55"/>
    </row>
    <row r="118" spans="1:26" s="1841" customFormat="1" ht="15">
      <c r="A118" s="2999"/>
      <c r="B118" s="3000"/>
      <c r="C118" s="2286" t="s">
        <v>1994</v>
      </c>
      <c r="D118" s="1048" t="str">
        <f>IF(A117="——","——",IF(H19="元",ROUND(D117/B124,0),ROUND(D117*10000/B124,0)))</f>
        <v>——</v>
      </c>
      <c r="E118" s="2190"/>
      <c r="F118" s="3107" t="str">
        <f>IF(B32="总价","（以上估价结果中楼面单价为总价除以建筑面积得出）","（以上估价结果中总价为楼面单价乘以建筑面积得出）")</f>
        <v>（以上估价结果中总价为楼面单价乘以建筑面积得出）</v>
      </c>
      <c r="G118" s="3107"/>
      <c r="H118" s="3107"/>
      <c r="I118" s="3107"/>
      <c r="J118" s="798"/>
      <c r="K118" s="798"/>
      <c r="L118" s="798"/>
      <c r="M118" s="798"/>
      <c r="N118" s="55"/>
      <c r="O118" s="55"/>
      <c r="P118" s="798"/>
      <c r="Q118" s="798"/>
      <c r="R118" s="798"/>
      <c r="S118" s="798"/>
      <c r="T118" s="798"/>
      <c r="U118" s="798"/>
      <c r="V118" s="798"/>
      <c r="W118" s="798"/>
      <c r="X118" s="798"/>
      <c r="Y118" s="798"/>
      <c r="Z118" s="798"/>
    </row>
    <row r="119" spans="1:26" s="1841" customFormat="1" ht="15">
      <c r="A119" s="2999" t="str">
        <f>IF(项目基本情况!G5="抵押净值",IF(OR(项目基本情况!F5="已注销",项目基本情况!F5="房地产抵押价值"),"4.抵押净值","5.抵押净值"),"——")</f>
        <v>——</v>
      </c>
      <c r="B119" s="3000"/>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004"/>
      <c r="B120" s="3005"/>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56" t="s">
        <v>1995</v>
      </c>
      <c r="B121" s="3057"/>
      <c r="C121" s="3057"/>
      <c r="D121" s="3057"/>
      <c r="E121" s="3057"/>
      <c r="F121" s="3057"/>
      <c r="G121" s="3057"/>
      <c r="H121" s="3057"/>
      <c r="I121" s="3057"/>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980" t="s">
        <v>1943</v>
      </c>
      <c r="B122" s="3010" t="s">
        <v>1996</v>
      </c>
      <c r="C122" s="3010" t="s">
        <v>1997</v>
      </c>
      <c r="D122" s="3082" t="s">
        <v>1946</v>
      </c>
      <c r="E122" s="3083"/>
      <c r="F122" s="2981" t="s">
        <v>1998</v>
      </c>
      <c r="G122" s="2981"/>
      <c r="H122" s="2981" t="s">
        <v>1947</v>
      </c>
      <c r="I122" s="308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980"/>
      <c r="B123" s="3011"/>
      <c r="C123" s="3011"/>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980" t="s">
        <v>1951</v>
      </c>
      <c r="B125" s="2981"/>
      <c r="C125" s="2981"/>
      <c r="D125" s="3014" t="str">
        <f>IF(H19="元",NUMBERSTRING(INT(D124),2)&amp;"元整",NUMBERSTRING(INT(D124*10000),2)&amp;"元整")</f>
        <v>零元整</v>
      </c>
      <c r="E125" s="3061"/>
      <c r="F125" s="3014" t="str">
        <f>IF(H19="元",NUMBERSTRING(INT(F124),2)&amp;"元整",NUMBERSTRING(INT(F124*10000),2)&amp;"元整")</f>
        <v>零元整</v>
      </c>
      <c r="G125" s="3061"/>
      <c r="H125" s="3014" t="str">
        <f>IF(H19="元",NUMBERSTRING(INT(H124),2)&amp;"元整",NUMBERSTRING(INT(H124*10000),2)&amp;"元整")</f>
        <v>零元整</v>
      </c>
      <c r="I125" s="3015"/>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62" t="str">
        <f>IF(项目基本情况!D5="房地产市场价值","——",MID(A111,3,LEN(A111)-2))</f>
        <v>——</v>
      </c>
      <c r="B126" s="2992"/>
      <c r="C126" s="3063"/>
      <c r="D126" s="2991">
        <f>I106</f>
        <v>0</v>
      </c>
      <c r="E126" s="2992"/>
      <c r="F126" s="2992"/>
      <c r="G126" s="2992"/>
      <c r="H126" s="2992"/>
      <c r="I126" s="2993"/>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64" t="s">
        <v>1951</v>
      </c>
      <c r="B127" s="3065"/>
      <c r="C127" s="3066"/>
      <c r="D127" s="2994">
        <f>H110</f>
        <v>0</v>
      </c>
      <c r="E127" s="2995"/>
      <c r="F127" s="2995"/>
      <c r="G127" s="2995"/>
      <c r="H127" s="2995"/>
      <c r="I127" s="2996"/>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97" t="str">
        <f>IF(项目基本情况!D5="房地产市场价值","——",MID(A115,3,LEN(A115)-2))</f>
        <v>——</v>
      </c>
      <c r="B128" s="2998"/>
      <c r="C128" s="2998"/>
      <c r="D128" s="2991">
        <f>I111</f>
        <v>0</v>
      </c>
      <c r="E128" s="2992"/>
      <c r="F128" s="2992"/>
      <c r="G128" s="2992"/>
      <c r="H128" s="2992"/>
      <c r="I128" s="2993"/>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980" t="s">
        <v>1951</v>
      </c>
      <c r="B129" s="2981"/>
      <c r="C129" s="2981"/>
      <c r="D129" s="2994" t="e">
        <f>I112</f>
        <v>#DIV/0!</v>
      </c>
      <c r="E129" s="2995"/>
      <c r="F129" s="2995"/>
      <c r="G129" s="2995"/>
      <c r="H129" s="2995"/>
      <c r="I129" s="2996"/>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97" t="str">
        <f>IF(项目基本情况!D5="房地产市场价值","——",MID(A117,3,LEN(A117)-2))</f>
        <v>——</v>
      </c>
      <c r="B130" s="2998"/>
      <c r="C130" s="2998"/>
      <c r="D130" s="3096" t="str">
        <f>I113</f>
        <v>——</v>
      </c>
      <c r="E130" s="3097"/>
      <c r="F130" s="3097"/>
      <c r="G130" s="3097"/>
      <c r="H130" s="3097"/>
      <c r="I130" s="3098"/>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980" t="s">
        <v>1951</v>
      </c>
      <c r="B131" s="2981"/>
      <c r="C131" s="2982"/>
      <c r="D131" s="3054" t="str">
        <f>I114</f>
        <v>——</v>
      </c>
      <c r="E131" s="3054"/>
      <c r="F131" s="3054"/>
      <c r="G131" s="3054"/>
      <c r="H131" s="3054"/>
      <c r="I131" s="3054"/>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97" t="str">
        <f>IF(项目基本情况!D5="房地产市场价值","——",MID(F115,3,LEN(F115)-2))</f>
        <v>——</v>
      </c>
      <c r="B132" s="2998"/>
      <c r="C132" s="2991"/>
      <c r="D132" s="3003" t="str">
        <f>I115</f>
        <v>——</v>
      </c>
      <c r="E132" s="3003"/>
      <c r="F132" s="3003"/>
      <c r="G132" s="3003"/>
      <c r="H132" s="3003"/>
      <c r="I132" s="300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08" t="s">
        <v>1951</v>
      </c>
      <c r="B133" s="3009"/>
      <c r="C133" s="3009"/>
      <c r="D133" s="3016">
        <f>H117</f>
        <v>0</v>
      </c>
      <c r="E133" s="3017"/>
      <c r="F133" s="3017"/>
      <c r="G133" s="3017"/>
      <c r="H133" s="3017"/>
      <c r="I133" s="3018"/>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145203</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0.17500000000000004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-146484</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-146484</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-2930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-29883</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-29883</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145203</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732.42</v>
      </c>
      <c r="G7" s="1234"/>
      <c r="H7" s="321"/>
      <c r="I7" s="322"/>
      <c r="J7" s="323"/>
      <c r="K7" s="324"/>
      <c r="L7" s="319" t="s">
        <v>2103</v>
      </c>
      <c r="M7" s="320">
        <f>IF('数据-取费表'!B41="",IF(D1="仅计算典型户型",'数据-取费表'!E5,'数据-取费表'!B5),'数据-取费表'!B41)</f>
        <v>732.42</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3720489</v>
      </c>
      <c r="D13" s="1418" t="s">
        <v>2117</v>
      </c>
      <c r="E13" s="1418" t="s">
        <v>2118</v>
      </c>
      <c r="F13" s="1419">
        <f>'数据-取费表'!E20</f>
        <v>0.82499999999999996</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2929680</v>
      </c>
      <c r="D14" s="1883" t="s">
        <v>2121</v>
      </c>
      <c r="E14" s="1884"/>
      <c r="F14" s="975"/>
      <c r="G14" s="1235"/>
      <c r="H14" s="337" t="s">
        <v>2100</v>
      </c>
      <c r="I14" s="319" t="s">
        <v>2122</v>
      </c>
      <c r="J14" s="14">
        <f ca="1">C29</f>
        <v>4509684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146484</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128075</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146484</v>
      </c>
      <c r="D17" s="319" t="s">
        <v>2135</v>
      </c>
      <c r="E17" s="319" t="s">
        <v>2136</v>
      </c>
      <c r="F17" s="16">
        <f>'数据-取费表'!E23</f>
        <v>200</v>
      </c>
      <c r="G17" s="1235"/>
      <c r="H17" s="337" t="s">
        <v>2137</v>
      </c>
      <c r="I17" s="319" t="s">
        <v>2138</v>
      </c>
      <c r="J17" s="14">
        <f ca="1">ROUND(IF(项目基本情况!B7="自然人",J6*M17/(1+'数据-取费表'!F30),J18+J19+J20),0)</f>
        <v>37881</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43945</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3266593</v>
      </c>
      <c r="D19" s="56" t="s">
        <v>2146</v>
      </c>
      <c r="E19" s="1893"/>
      <c r="F19" s="16"/>
      <c r="G19" s="1235"/>
      <c r="H19" s="337" t="s">
        <v>2123</v>
      </c>
      <c r="I19" s="319" t="s">
        <v>2147</v>
      </c>
      <c r="J19" s="14">
        <f ca="1">IF(项目基本情况!B7="自然人","——",IF(K19="按租金收入计税",ROUND(J6*M19/(1+'数据-取费表'!F30),0),ROUND(C29*M19*0.7,0)))</f>
        <v>37881</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65332</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90194</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158266</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-128075</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666385</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4509684</v>
      </c>
      <c r="D29" s="1429"/>
      <c r="E29" s="1427"/>
      <c r="F29" s="1430"/>
      <c r="G29" s="791"/>
      <c r="H29" s="356" t="s">
        <v>24</v>
      </c>
      <c r="I29" s="357" t="s">
        <v>2195</v>
      </c>
      <c r="J29" s="358">
        <f ca="1">ROUND(J26/(1+F40)^F41,0)</f>
        <v>0</v>
      </c>
      <c r="K29" s="359" t="s">
        <v>2196</v>
      </c>
      <c r="L29" s="360"/>
      <c r="M29" s="361">
        <f>IF(D1="仅计算典型户型",'数据-取费表'!E5,'数据-取费表'!B5)</f>
        <v>732.42</v>
      </c>
    </row>
    <row r="30" spans="1:37" ht="18" customHeight="1" thickTop="1">
      <c r="A30" s="1416" t="s">
        <v>14</v>
      </c>
      <c r="B30" s="1417" t="s">
        <v>2197</v>
      </c>
      <c r="C30" s="327">
        <f ca="1">ROUND(C31+C36+C37+C38,0)</f>
        <v>135516</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37881</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37881</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223229</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90194</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7441</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1.4999999999999999E-2</v>
      </c>
      <c r="G38" s="791"/>
      <c r="H38" s="1226"/>
      <c r="I38" s="365" t="s">
        <v>2210</v>
      </c>
      <c r="J38" s="220">
        <f ca="1">ROUND(J34/C39,3)</f>
        <v>-1.647</v>
      </c>
      <c r="K38" s="1231"/>
      <c r="L38" s="1226"/>
      <c r="M38" s="1226"/>
    </row>
    <row r="39" spans="1:18" ht="18" customHeight="1" thickTop="1">
      <c r="A39" s="1416" t="s">
        <v>22</v>
      </c>
      <c r="B39" s="1431" t="s">
        <v>2211</v>
      </c>
      <c r="C39" s="327">
        <f ca="1">C5-C30</f>
        <v>-135516</v>
      </c>
      <c r="D39" s="1432" t="s">
        <v>2212</v>
      </c>
      <c r="E39" s="1433"/>
      <c r="F39" s="1434"/>
      <c r="G39" s="791"/>
      <c r="H39" s="1226"/>
      <c r="I39" s="365" t="s">
        <v>2213</v>
      </c>
      <c r="J39" s="220">
        <f ca="1">1-J38</f>
        <v>2.6470000000000002</v>
      </c>
      <c r="K39" s="1231"/>
      <c r="L39" s="1226"/>
      <c r="M39" s="1226"/>
    </row>
    <row r="40" spans="1:18" s="791" customFormat="1" ht="18" customHeight="1">
      <c r="A40" s="316" t="s">
        <v>23</v>
      </c>
      <c r="B40" s="317" t="s">
        <v>2214</v>
      </c>
      <c r="C40" s="318">
        <f ca="1">ROUND(C39*(1-((1+F42)/(1+F40))^F41)/(F40-F42),0)</f>
        <v>1744816</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-10</v>
      </c>
      <c r="H41" s="1233"/>
      <c r="I41" s="219" t="s">
        <v>2088</v>
      </c>
      <c r="J41" s="220">
        <f ca="1">ROUND(C13/C40,3)</f>
        <v>2.1320000000000001</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-1.1320000000000001</v>
      </c>
      <c r="K42" s="1230"/>
      <c r="L42" s="1233"/>
      <c r="M42" s="1233"/>
      <c r="Q42" s="795"/>
    </row>
    <row r="43" spans="1:18" s="791" customFormat="1" ht="18" customHeight="1" thickBot="1">
      <c r="A43" s="356" t="s">
        <v>24</v>
      </c>
      <c r="B43" s="357" t="s">
        <v>2217</v>
      </c>
      <c r="C43" s="358">
        <f ca="1">ROUND(C40/F43,0)</f>
        <v>2382</v>
      </c>
      <c r="D43" s="359" t="s">
        <v>2218</v>
      </c>
      <c r="E43" s="360" t="s">
        <v>2219</v>
      </c>
      <c r="F43" s="361">
        <f>IF(D1="仅计算典型户型",'数据-取费表'!E5,'数据-取费表'!B5)</f>
        <v>732.42</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1744816</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4509684</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28</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2011</v>
      </c>
      <c r="K50" s="2349" t="s">
        <v>2247</v>
      </c>
      <c r="L50" s="1342"/>
      <c r="O50" s="1367" t="s">
        <v>958</v>
      </c>
      <c r="P50" s="1364" t="s">
        <v>2248</v>
      </c>
      <c r="Q50" s="1365">
        <f>J54</f>
        <v>-10</v>
      </c>
      <c r="R50" s="1366" t="s">
        <v>2249</v>
      </c>
    </row>
    <row r="51" spans="1:18" s="791" customFormat="1" ht="15.75" thickBot="1">
      <c r="A51" s="321"/>
      <c r="B51" s="322"/>
      <c r="C51" s="323"/>
      <c r="D51" s="324"/>
      <c r="E51" s="339" t="s">
        <v>2103</v>
      </c>
      <c r="F51" s="1292">
        <f>F7</f>
        <v>732.42</v>
      </c>
      <c r="I51" s="2345" t="s">
        <v>2250</v>
      </c>
      <c r="J51" s="1343">
        <f>SUMPRODUCT((I64:I66=J48)*(J63:L63=J49)*(J64:L66))</f>
        <v>0</v>
      </c>
      <c r="K51" s="2349" t="s">
        <v>2251</v>
      </c>
      <c r="L51" s="1342"/>
      <c r="O51" s="1363" t="s">
        <v>959</v>
      </c>
      <c r="P51" s="1364" t="str">
        <f>IF(C2="元","收益价值(元)","收益价值(万元)")</f>
        <v>收益价值(元)</v>
      </c>
      <c r="Q51" s="1365">
        <f ca="1">ROUND(IF(C2="元",Q45+Q46,(Q45+Q46)/10000),0)</f>
        <v>1744816</v>
      </c>
      <c r="R51" s="1366" t="s">
        <v>960</v>
      </c>
    </row>
    <row r="52" spans="1:18" s="791" customFormat="1" ht="16.5" thickBot="1">
      <c r="A52" s="321"/>
      <c r="B52" s="322"/>
      <c r="C52" s="323"/>
      <c r="D52" s="324"/>
      <c r="E52" s="319" t="s">
        <v>2105</v>
      </c>
      <c r="F52" s="320">
        <f>F8</f>
        <v>365</v>
      </c>
      <c r="I52" s="2350" t="s">
        <v>2252</v>
      </c>
      <c r="J52" s="1344">
        <f>IF(J50="",J51,J50+J51-YEAR('数据-取费表'!B2))</f>
        <v>-10</v>
      </c>
      <c r="K52" s="2351" t="s">
        <v>2253</v>
      </c>
      <c r="L52" s="1345">
        <f ca="1">ROUND(-PV('数据-取费表'!B15,L49,(C40-C13*J35)),0)</f>
        <v>25354295</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-10</v>
      </c>
      <c r="K54" s="3117" t="s">
        <v>2789</v>
      </c>
      <c r="L54" s="3118"/>
      <c r="O54" s="1363" t="s">
        <v>953</v>
      </c>
      <c r="P54" s="1364" t="s">
        <v>2225</v>
      </c>
      <c r="Q54" s="1365">
        <f ca="1">C40+J29</f>
        <v>1744816</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3720489</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4509684</v>
      </c>
      <c r="D58" s="1290"/>
      <c r="E58" s="1291"/>
      <c r="F58" s="1298"/>
      <c r="I58" s="2360" t="s">
        <v>2265</v>
      </c>
      <c r="J58" s="1350" t="str">
        <f>IF(OR(M48="住宅",J52&lt;L49,J57="是"),"——",J52-L49)</f>
        <v>——</v>
      </c>
      <c r="K58" s="2345" t="s">
        <v>2266</v>
      </c>
      <c r="L58" s="1124">
        <f ca="1">IF(L49&lt;J52,"——",IF(L56="比较法",L50,IF(L56="基准地价",L51,L52)))</f>
        <v>25354295</v>
      </c>
      <c r="O58" s="1367" t="s">
        <v>957</v>
      </c>
      <c r="P58" s="1364" t="s">
        <v>2267</v>
      </c>
      <c r="Q58" s="1365" t="e">
        <f>L59</f>
        <v>#DIV/0!</v>
      </c>
      <c r="R58" s="1366" t="s">
        <v>2268</v>
      </c>
    </row>
    <row r="59" spans="1:18" s="791" customFormat="1" ht="29.25" thickBot="1">
      <c r="A59" s="332" t="s">
        <v>14</v>
      </c>
      <c r="B59" s="333" t="s">
        <v>2197</v>
      </c>
      <c r="C59" s="334">
        <f ca="1">ROUND(C60+C65+C66+C67,0)</f>
        <v>135516</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37881</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37881</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1744816</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90194</v>
      </c>
      <c r="D65" s="1888" t="s">
        <v>2207</v>
      </c>
      <c r="E65" s="319" t="s">
        <v>2151</v>
      </c>
      <c r="F65" s="350">
        <f t="shared" si="0"/>
        <v>0.02</v>
      </c>
      <c r="I65" s="2363" t="s">
        <v>2287</v>
      </c>
      <c r="J65" s="1870">
        <v>50</v>
      </c>
      <c r="K65" s="1870">
        <v>35</v>
      </c>
      <c r="L65" s="1870">
        <v>60</v>
      </c>
      <c r="M65" s="1869">
        <v>0</v>
      </c>
      <c r="O65" s="1367" t="s">
        <v>955</v>
      </c>
      <c r="P65" s="1364" t="s">
        <v>2261</v>
      </c>
      <c r="Q65" s="1369">
        <f ca="1">L52</f>
        <v>25354295</v>
      </c>
      <c r="R65" s="1370" t="s">
        <v>2288</v>
      </c>
    </row>
    <row r="66" spans="1:18" s="791" customFormat="1" ht="20.25" thickBot="1">
      <c r="A66" s="337" t="s">
        <v>20</v>
      </c>
      <c r="B66" s="319" t="s">
        <v>2166</v>
      </c>
      <c r="C66" s="14">
        <f ca="1">ROUND(C57*F66,0)</f>
        <v>7441</v>
      </c>
      <c r="D66" s="1888" t="s">
        <v>2167</v>
      </c>
      <c r="E66" s="319" t="s">
        <v>2168</v>
      </c>
      <c r="F66" s="351">
        <f t="shared" si="0"/>
        <v>2E-3</v>
      </c>
      <c r="I66" s="2363" t="s">
        <v>2289</v>
      </c>
      <c r="J66" s="1870">
        <v>40</v>
      </c>
      <c r="K66" s="1870">
        <v>30</v>
      </c>
      <c r="L66" s="1870">
        <v>50</v>
      </c>
      <c r="M66" s="1868">
        <v>0.02</v>
      </c>
      <c r="O66" s="1367" t="s">
        <v>956</v>
      </c>
      <c r="P66" s="1371" t="s">
        <v>2290</v>
      </c>
      <c r="Q66" s="1365">
        <f ca="1">ROUND(Q67-Q68*Q69,0)</f>
        <v>-358745</v>
      </c>
      <c r="R66" s="1366"/>
    </row>
    <row r="67" spans="1:18" s="791" customFormat="1" ht="15.75" thickBot="1">
      <c r="A67" s="337" t="s">
        <v>21</v>
      </c>
      <c r="B67" s="319" t="s">
        <v>2149</v>
      </c>
      <c r="C67" s="14">
        <f ca="1">ROUND(C49*F67,0)</f>
        <v>0</v>
      </c>
      <c r="D67" s="1888" t="s">
        <v>2172</v>
      </c>
      <c r="E67" s="319" t="s">
        <v>2168</v>
      </c>
      <c r="F67" s="329">
        <f t="shared" si="0"/>
        <v>1.4999999999999999E-2</v>
      </c>
      <c r="O67" s="1367" t="s">
        <v>961</v>
      </c>
      <c r="P67" s="1371" t="s">
        <v>2291</v>
      </c>
      <c r="Q67" s="1365">
        <f ca="1">C39</f>
        <v>-135516</v>
      </c>
      <c r="R67" s="1366" t="s">
        <v>2226</v>
      </c>
    </row>
    <row r="68" spans="1:18" ht="15.75" thickBot="1">
      <c r="A68" s="332" t="s">
        <v>22</v>
      </c>
      <c r="B68" s="89" t="s">
        <v>2176</v>
      </c>
      <c r="C68" s="334">
        <f ca="1">C49-C59</f>
        <v>-135516</v>
      </c>
      <c r="D68" s="1883" t="s">
        <v>2177</v>
      </c>
      <c r="E68" s="1887"/>
      <c r="F68" s="353"/>
      <c r="H68" s="791"/>
      <c r="I68" s="791"/>
      <c r="J68" s="791"/>
      <c r="K68" s="791"/>
      <c r="L68" s="791"/>
      <c r="M68" s="791"/>
      <c r="O68" s="1367" t="s">
        <v>962</v>
      </c>
      <c r="P68" s="1371" t="s">
        <v>2292</v>
      </c>
      <c r="Q68" s="1365">
        <f ca="1">C13</f>
        <v>3720489</v>
      </c>
      <c r="R68" s="1366" t="s">
        <v>2226</v>
      </c>
    </row>
    <row r="69" spans="1:18" ht="15.75" thickBot="1">
      <c r="A69" s="316" t="s">
        <v>23</v>
      </c>
      <c r="B69" s="317" t="s">
        <v>2214</v>
      </c>
      <c r="C69" s="318">
        <f ca="1">ROUND(C68*(1-((1+F71)/(1+F69))^F70)/(F69-F71),0)</f>
        <v>1744816</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-10</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2382</v>
      </c>
      <c r="D72" s="359" t="s">
        <v>2218</v>
      </c>
      <c r="E72" s="360" t="s">
        <v>2219</v>
      </c>
      <c r="F72" s="361">
        <f>F43</f>
        <v>732.42</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35" t="s">
        <v>1020</v>
      </c>
      <c r="B1" s="3136"/>
      <c r="C1" s="3137"/>
      <c r="D1" s="3138">
        <f>SUM(I10,I15,I20,I21,I23)</f>
        <v>0</v>
      </c>
      <c r="E1" s="3138"/>
      <c r="F1" s="3138"/>
      <c r="G1" s="3138"/>
      <c r="H1" s="3138"/>
      <c r="I1" s="3139"/>
    </row>
    <row r="2" spans="1:9">
      <c r="A2" s="3125" t="s">
        <v>1021</v>
      </c>
      <c r="B2" s="3126" t="s">
        <v>970</v>
      </c>
      <c r="C2" s="3126"/>
      <c r="D2" s="1385" t="s">
        <v>971</v>
      </c>
      <c r="E2" s="1385" t="s">
        <v>972</v>
      </c>
      <c r="F2" s="1385" t="s">
        <v>973</v>
      </c>
      <c r="G2" s="1385" t="s">
        <v>974</v>
      </c>
      <c r="H2" s="1385" t="s">
        <v>975</v>
      </c>
      <c r="I2" s="1386" t="s">
        <v>976</v>
      </c>
    </row>
    <row r="3" spans="1:9">
      <c r="A3" s="3125"/>
      <c r="B3" s="3126" t="s">
        <v>977</v>
      </c>
      <c r="C3" s="3126"/>
      <c r="D3" s="1387"/>
      <c r="E3" s="1385"/>
      <c r="F3" s="1388"/>
      <c r="G3" s="1388"/>
      <c r="H3" s="1389"/>
      <c r="I3" s="1390">
        <f>ROUND(D3*E3*F3*G3*H3/10000,0)</f>
        <v>0</v>
      </c>
    </row>
    <row r="4" spans="1:9">
      <c r="A4" s="3125"/>
      <c r="B4" s="3126" t="s">
        <v>978</v>
      </c>
      <c r="C4" s="3126"/>
      <c r="D4" s="1387"/>
      <c r="E4" s="1385"/>
      <c r="F4" s="1388"/>
      <c r="G4" s="1388"/>
      <c r="H4" s="1389"/>
      <c r="I4" s="1390">
        <f t="shared" ref="I4:I9" si="0">ROUND(D4*E4*F4*G4*H4/10000,0)</f>
        <v>0</v>
      </c>
    </row>
    <row r="5" spans="1:9">
      <c r="A5" s="3125"/>
      <c r="B5" s="3126" t="s">
        <v>979</v>
      </c>
      <c r="C5" s="3126"/>
      <c r="D5" s="1387"/>
      <c r="E5" s="1385"/>
      <c r="F5" s="1388"/>
      <c r="G5" s="1388"/>
      <c r="H5" s="1389"/>
      <c r="I5" s="1390">
        <f t="shared" si="0"/>
        <v>0</v>
      </c>
    </row>
    <row r="6" spans="1:9">
      <c r="A6" s="3125"/>
      <c r="B6" s="3126" t="s">
        <v>980</v>
      </c>
      <c r="C6" s="3126"/>
      <c r="D6" s="1387"/>
      <c r="E6" s="1385"/>
      <c r="F6" s="1388"/>
      <c r="G6" s="1388"/>
      <c r="H6" s="1389"/>
      <c r="I6" s="1390">
        <f t="shared" si="0"/>
        <v>0</v>
      </c>
    </row>
    <row r="7" spans="1:9">
      <c r="A7" s="3125"/>
      <c r="B7" s="3126" t="s">
        <v>981</v>
      </c>
      <c r="C7" s="3126"/>
      <c r="D7" s="1387"/>
      <c r="E7" s="1385"/>
      <c r="F7" s="1388"/>
      <c r="G7" s="1388"/>
      <c r="H7" s="1389"/>
      <c r="I7" s="1390">
        <f t="shared" si="0"/>
        <v>0</v>
      </c>
    </row>
    <row r="8" spans="1:9">
      <c r="A8" s="3125"/>
      <c r="B8" s="3126" t="s">
        <v>982</v>
      </c>
      <c r="C8" s="3126"/>
      <c r="D8" s="1387"/>
      <c r="E8" s="1385"/>
      <c r="F8" s="1388"/>
      <c r="G8" s="1388"/>
      <c r="H8" s="1389"/>
      <c r="I8" s="1390">
        <f t="shared" si="0"/>
        <v>0</v>
      </c>
    </row>
    <row r="9" spans="1:9">
      <c r="A9" s="3125"/>
      <c r="B9" s="3126" t="s">
        <v>983</v>
      </c>
      <c r="C9" s="3126"/>
      <c r="D9" s="1387"/>
      <c r="E9" s="1385"/>
      <c r="F9" s="1388"/>
      <c r="G9" s="1388"/>
      <c r="H9" s="1389"/>
      <c r="I9" s="1390">
        <f t="shared" si="0"/>
        <v>0</v>
      </c>
    </row>
    <row r="10" spans="1:9">
      <c r="A10" s="3125"/>
      <c r="B10" s="3127" t="s">
        <v>984</v>
      </c>
      <c r="C10" s="3127"/>
      <c r="D10" s="1391">
        <v>527</v>
      </c>
      <c r="E10" s="1391" t="e">
        <f>ROUND(D1*10000/D10/H9,0)</f>
        <v>#DIV/0!</v>
      </c>
      <c r="F10" s="1392"/>
      <c r="G10" s="1392"/>
      <c r="H10" s="1393"/>
      <c r="I10" s="1394">
        <f>SUM(I3:I9)</f>
        <v>0</v>
      </c>
    </row>
    <row r="11" spans="1:9" ht="14.25">
      <c r="A11" s="3125" t="s">
        <v>1022</v>
      </c>
      <c r="B11" s="3126" t="s">
        <v>985</v>
      </c>
      <c r="C11" s="3126"/>
      <c r="D11" s="1387" t="s">
        <v>986</v>
      </c>
      <c r="E11" s="1387" t="s">
        <v>987</v>
      </c>
      <c r="F11" s="1388" t="s">
        <v>988</v>
      </c>
      <c r="G11" s="1388" t="s">
        <v>975</v>
      </c>
      <c r="H11" s="1395" t="s">
        <v>989</v>
      </c>
      <c r="I11" s="1386" t="s">
        <v>976</v>
      </c>
    </row>
    <row r="12" spans="1:9">
      <c r="A12" s="3125"/>
      <c r="B12" s="3126" t="s">
        <v>990</v>
      </c>
      <c r="C12" s="3126"/>
      <c r="D12" s="1387"/>
      <c r="E12" s="1387"/>
      <c r="F12" s="1388"/>
      <c r="G12" s="1389"/>
      <c r="H12" s="1396"/>
      <c r="I12" s="1386">
        <f>ROUND(D12*E12*F12*G12/10000,0)</f>
        <v>0</v>
      </c>
    </row>
    <row r="13" spans="1:9">
      <c r="A13" s="3125"/>
      <c r="B13" s="3126" t="s">
        <v>991</v>
      </c>
      <c r="C13" s="3126"/>
      <c r="D13" s="1387"/>
      <c r="E13" s="1387"/>
      <c r="F13" s="1388"/>
      <c r="G13" s="1389"/>
      <c r="H13" s="1396"/>
      <c r="I13" s="1386">
        <f>ROUND(D13*E13*F13*G13/10000,0)</f>
        <v>0</v>
      </c>
    </row>
    <row r="14" spans="1:9">
      <c r="A14" s="3125"/>
      <c r="B14" s="3126" t="s">
        <v>992</v>
      </c>
      <c r="C14" s="3126"/>
      <c r="D14" s="1387"/>
      <c r="E14" s="1387"/>
      <c r="F14" s="1388"/>
      <c r="G14" s="1389"/>
      <c r="H14" s="1396"/>
      <c r="I14" s="1386">
        <f>ROUND(D14*E14*F14*G14/10000,0)</f>
        <v>0</v>
      </c>
    </row>
    <row r="15" spans="1:9">
      <c r="A15" s="3125"/>
      <c r="B15" s="3127" t="s">
        <v>984</v>
      </c>
      <c r="C15" s="3127"/>
      <c r="D15" s="1391"/>
      <c r="E15" s="1391">
        <f>SUM(E12:E14)</f>
        <v>0</v>
      </c>
      <c r="F15" s="1392"/>
      <c r="G15" s="1389"/>
      <c r="H15" s="1396"/>
      <c r="I15" s="1397">
        <f>SUM(I12:I14)</f>
        <v>0</v>
      </c>
    </row>
    <row r="16" spans="1:9" ht="24">
      <c r="A16" s="3125" t="s">
        <v>1023</v>
      </c>
      <c r="B16" s="3126" t="s">
        <v>993</v>
      </c>
      <c r="C16" s="3126"/>
      <c r="D16" s="1387" t="s">
        <v>971</v>
      </c>
      <c r="E16" s="1398" t="s">
        <v>994</v>
      </c>
      <c r="F16" s="1388" t="s">
        <v>995</v>
      </c>
      <c r="G16" s="1389" t="s">
        <v>975</v>
      </c>
      <c r="H16" s="1395" t="s">
        <v>989</v>
      </c>
      <c r="I16" s="1386" t="s">
        <v>976</v>
      </c>
    </row>
    <row r="17" spans="1:9" ht="14.25">
      <c r="A17" s="3125"/>
      <c r="B17" s="3126" t="s">
        <v>996</v>
      </c>
      <c r="C17" s="3126"/>
      <c r="D17" s="1387"/>
      <c r="E17" s="1387"/>
      <c r="F17" s="1388"/>
      <c r="G17" s="1389"/>
      <c r="H17" s="1399"/>
      <c r="I17" s="1400">
        <f>ROUND(D17*E17*F17*G17/10000,0)</f>
        <v>0</v>
      </c>
    </row>
    <row r="18" spans="1:9" ht="14.25">
      <c r="A18" s="3125"/>
      <c r="B18" s="3126" t="s">
        <v>997</v>
      </c>
      <c r="C18" s="3126"/>
      <c r="D18" s="1387"/>
      <c r="E18" s="1387"/>
      <c r="F18" s="1388"/>
      <c r="G18" s="1389"/>
      <c r="H18" s="1399"/>
      <c r="I18" s="1400">
        <f>ROUND(D18*E18*F18*G18/10000,0)</f>
        <v>0</v>
      </c>
    </row>
    <row r="19" spans="1:9" ht="14.25">
      <c r="A19" s="3125"/>
      <c r="B19" s="3126" t="s">
        <v>998</v>
      </c>
      <c r="C19" s="3126"/>
      <c r="D19" s="1387"/>
      <c r="E19" s="1387"/>
      <c r="F19" s="1388"/>
      <c r="G19" s="1389"/>
      <c r="H19" s="1399"/>
      <c r="I19" s="1400">
        <f>ROUND(D19*E19*F19*G19/10000,0)</f>
        <v>0</v>
      </c>
    </row>
    <row r="20" spans="1:9">
      <c r="A20" s="3125"/>
      <c r="B20" s="3127" t="s">
        <v>984</v>
      </c>
      <c r="C20" s="3127"/>
      <c r="D20" s="1391">
        <f>SUM(D17:D19)</f>
        <v>0</v>
      </c>
      <c r="E20" s="1391"/>
      <c r="F20" s="1392"/>
      <c r="G20" s="1389"/>
      <c r="H20" s="1396"/>
      <c r="I20" s="1397">
        <f>SUM(I17:I19)</f>
        <v>0</v>
      </c>
    </row>
    <row r="21" spans="1:9">
      <c r="A21" s="3125" t="s">
        <v>1024</v>
      </c>
      <c r="B21" s="3128"/>
      <c r="C21" s="3128"/>
      <c r="D21" s="3128"/>
      <c r="E21" s="3128"/>
      <c r="F21" s="3128"/>
      <c r="G21" s="3128"/>
      <c r="H21" s="1401">
        <v>0.1</v>
      </c>
      <c r="I21" s="1394">
        <f>ROUND(I10*H21,0)</f>
        <v>0</v>
      </c>
    </row>
    <row r="22" spans="1:9" ht="14.25">
      <c r="A22" s="3129" t="s">
        <v>1025</v>
      </c>
      <c r="B22" s="3130"/>
      <c r="C22" s="3131"/>
      <c r="D22" s="1402" t="s">
        <v>999</v>
      </c>
      <c r="E22" s="1402" t="s">
        <v>1000</v>
      </c>
      <c r="F22" s="1403" t="s">
        <v>975</v>
      </c>
      <c r="G22" s="1403" t="s">
        <v>1001</v>
      </c>
      <c r="H22" s="1395" t="s">
        <v>989</v>
      </c>
      <c r="I22" s="1386" t="s">
        <v>976</v>
      </c>
    </row>
    <row r="23" spans="1:9" ht="14.25" thickBot="1">
      <c r="A23" s="3132"/>
      <c r="B23" s="3133"/>
      <c r="C23" s="3134"/>
      <c r="D23" s="1404"/>
      <c r="E23" s="1404"/>
      <c r="F23" s="1404"/>
      <c r="G23" s="1405"/>
      <c r="H23" s="1406"/>
      <c r="I23" s="1407">
        <f>ROUND(E23*D23*F23*(1-G23)/10000,0)</f>
        <v>0</v>
      </c>
    </row>
    <row r="26" spans="1:9">
      <c r="A26" s="1408" t="s">
        <v>1002</v>
      </c>
      <c r="B26" s="1408"/>
      <c r="C26" s="1408"/>
      <c r="D26" s="1408"/>
      <c r="E26" s="3122">
        <f>C27-C30-C31-C32</f>
        <v>0</v>
      </c>
      <c r="F26" s="3122"/>
      <c r="G26" s="3122"/>
      <c r="H26" s="1825" t="s">
        <v>1213</v>
      </c>
    </row>
    <row r="27" spans="1:9">
      <c r="A27" s="1409">
        <v>1</v>
      </c>
      <c r="B27" s="1410" t="s">
        <v>1003</v>
      </c>
      <c r="C27" s="1410">
        <f>C28+C29</f>
        <v>0</v>
      </c>
      <c r="D27" s="1410"/>
      <c r="E27" s="3123"/>
      <c r="F27" s="3123"/>
      <c r="G27" s="3123"/>
    </row>
    <row r="28" spans="1:9">
      <c r="A28" s="1411" t="s">
        <v>1004</v>
      </c>
      <c r="B28" s="1410" t="s">
        <v>1005</v>
      </c>
      <c r="C28" s="1410"/>
      <c r="D28" s="1410"/>
      <c r="E28" s="3123"/>
      <c r="F28" s="3123"/>
      <c r="G28" s="312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24"/>
      <c r="F32" s="3124"/>
      <c r="G32" s="3124"/>
    </row>
    <row r="33" spans="1:7" hidden="1">
      <c r="A33" s="3119" t="s">
        <v>1014</v>
      </c>
      <c r="B33" s="3120"/>
      <c r="C33" s="3120"/>
      <c r="D33" s="3121"/>
      <c r="E33" s="3122"/>
      <c r="F33" s="3122"/>
      <c r="G33" s="3122"/>
    </row>
    <row r="34" spans="1:7" hidden="1">
      <c r="A34" s="1413">
        <v>1</v>
      </c>
      <c r="B34" s="1410" t="s">
        <v>1015</v>
      </c>
      <c r="C34" s="1410"/>
      <c r="D34" s="1410"/>
      <c r="E34" s="3123"/>
      <c r="F34" s="3123"/>
      <c r="G34" s="3123"/>
    </row>
    <row r="35" spans="1:7" hidden="1">
      <c r="A35" s="1413">
        <v>2</v>
      </c>
      <c r="B35" s="1410" t="s">
        <v>1016</v>
      </c>
      <c r="C35" s="1410"/>
      <c r="D35" s="1410"/>
      <c r="E35" s="3123"/>
      <c r="F35" s="3123"/>
      <c r="G35" s="3123"/>
    </row>
    <row r="36" spans="1:7" hidden="1">
      <c r="A36" s="1413">
        <v>3</v>
      </c>
      <c r="B36" s="1410" t="s">
        <v>1017</v>
      </c>
      <c r="C36" s="1410"/>
      <c r="D36" s="1410"/>
      <c r="E36" s="3123"/>
      <c r="F36" s="3123"/>
      <c r="G36" s="3123"/>
    </row>
    <row r="37" spans="1:7" hidden="1">
      <c r="A37" s="1413">
        <v>4</v>
      </c>
      <c r="B37" s="1410" t="s">
        <v>1018</v>
      </c>
      <c r="C37" s="1410"/>
      <c r="D37" s="1410"/>
      <c r="E37" s="3123"/>
      <c r="F37" s="3123"/>
      <c r="G37" s="3123"/>
    </row>
    <row r="38" spans="1:7" hidden="1">
      <c r="A38" s="3119" t="s">
        <v>1019</v>
      </c>
      <c r="B38" s="3120"/>
      <c r="C38" s="3120"/>
      <c r="D38" s="3121"/>
      <c r="E38" s="3122"/>
      <c r="F38" s="3122"/>
      <c r="G38" s="31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43" t="s">
        <v>2299</v>
      </c>
      <c r="D4" s="3144"/>
      <c r="E4" s="3144"/>
      <c r="F4" s="3144"/>
      <c r="G4" s="3144"/>
      <c r="H4" s="3144"/>
      <c r="I4" s="3144"/>
      <c r="J4" s="3144"/>
      <c r="K4" s="3144"/>
      <c r="L4" s="3144"/>
      <c r="M4" s="3144"/>
      <c r="N4" s="3144"/>
      <c r="O4" s="3144"/>
      <c r="P4" s="3144"/>
      <c r="Q4" s="3144"/>
      <c r="R4" s="3144"/>
      <c r="S4" s="3145"/>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40" t="s">
        <v>45</v>
      </c>
      <c r="D25" s="3141"/>
      <c r="E25" s="3141"/>
      <c r="F25" s="3141"/>
      <c r="G25" s="3141"/>
      <c r="H25" s="3141"/>
      <c r="I25" s="3141"/>
      <c r="J25" s="3141"/>
      <c r="K25" s="3141"/>
      <c r="L25" s="3141"/>
      <c r="M25" s="3141"/>
      <c r="N25" s="3141"/>
      <c r="O25" s="3141"/>
      <c r="P25" s="3141"/>
      <c r="Q25" s="31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732.42</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79" t="s">
        <v>2333</v>
      </c>
      <c r="D4" s="3180"/>
      <c r="E4" s="3181" t="s">
        <v>2334</v>
      </c>
      <c r="F4" s="3182"/>
      <c r="G4" s="3179" t="s">
        <v>2335</v>
      </c>
      <c r="H4" s="3180"/>
      <c r="I4" s="3179" t="s">
        <v>2336</v>
      </c>
      <c r="J4" s="3180"/>
      <c r="K4" s="2390"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76" t="s">
        <v>2335</v>
      </c>
      <c r="AC4" s="3176" t="s">
        <v>2336</v>
      </c>
    </row>
    <row r="5" spans="1:29" ht="15">
      <c r="A5" s="383"/>
      <c r="B5" s="384"/>
      <c r="C5" s="3164" t="s">
        <v>2339</v>
      </c>
      <c r="D5" s="3165"/>
      <c r="E5" s="3190" t="s">
        <v>2340</v>
      </c>
      <c r="F5" s="3191"/>
      <c r="G5" s="3164" t="s">
        <v>2341</v>
      </c>
      <c r="H5" s="3165"/>
      <c r="I5" s="3164" t="s">
        <v>2342</v>
      </c>
      <c r="J5" s="3165"/>
      <c r="K5" s="2391"/>
      <c r="L5" s="1239"/>
      <c r="M5" s="1240"/>
      <c r="N5" s="1240"/>
      <c r="O5" s="1240"/>
      <c r="P5" s="3185"/>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2391" t="s">
        <v>2344</v>
      </c>
      <c r="L6" s="1239"/>
      <c r="M6" s="1240"/>
      <c r="N6" s="1240"/>
      <c r="O6" s="1240"/>
      <c r="P6" s="3187"/>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66" t="s">
        <v>2346</v>
      </c>
      <c r="Q7" s="3174"/>
      <c r="R7" s="749" t="s">
        <v>34</v>
      </c>
      <c r="S7" s="750">
        <f t="shared" ref="S7:S15" si="0">F7</f>
        <v>0</v>
      </c>
      <c r="T7" s="749" t="s">
        <v>34</v>
      </c>
      <c r="U7" s="750">
        <f t="shared" ref="U7:U15" si="1">H7</f>
        <v>0</v>
      </c>
      <c r="V7" s="749" t="s">
        <v>34</v>
      </c>
      <c r="W7" s="750">
        <f t="shared" ref="W7:W15" si="2">J7</f>
        <v>0</v>
      </c>
      <c r="X7" s="751"/>
      <c r="Y7" s="3166" t="s">
        <v>2346</v>
      </c>
      <c r="Z7" s="3167"/>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66" t="s">
        <v>2349</v>
      </c>
      <c r="Q8" s="3167"/>
      <c r="R8" s="749" t="s">
        <v>34</v>
      </c>
      <c r="S8" s="750">
        <f t="shared" si="0"/>
        <v>0</v>
      </c>
      <c r="T8" s="749" t="s">
        <v>34</v>
      </c>
      <c r="U8" s="750">
        <f t="shared" si="1"/>
        <v>0</v>
      </c>
      <c r="V8" s="749" t="s">
        <v>34</v>
      </c>
      <c r="W8" s="750">
        <f t="shared" si="2"/>
        <v>0</v>
      </c>
      <c r="X8" s="751"/>
      <c r="Y8" s="3166" t="s">
        <v>2349</v>
      </c>
      <c r="Z8" s="3167"/>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75"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75"/>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75"/>
      <c r="Q11" s="1882" t="str">
        <f t="shared" si="6"/>
        <v>容积率</v>
      </c>
      <c r="R11" s="749" t="s">
        <v>28</v>
      </c>
      <c r="S11" s="750" t="e">
        <f t="shared" si="0"/>
        <v>#N/A</v>
      </c>
      <c r="T11" s="749" t="s">
        <v>28</v>
      </c>
      <c r="U11" s="750" t="e">
        <f t="shared" si="1"/>
        <v>#N/A</v>
      </c>
      <c r="V11" s="749" t="s">
        <v>28</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75"/>
      <c r="Q12" s="1882">
        <f t="shared" si="6"/>
        <v>111</v>
      </c>
      <c r="R12" s="749" t="s">
        <v>28</v>
      </c>
      <c r="S12" s="750">
        <f t="shared" si="0"/>
        <v>100</v>
      </c>
      <c r="T12" s="749" t="s">
        <v>28</v>
      </c>
      <c r="U12" s="750">
        <f t="shared" si="1"/>
        <v>100</v>
      </c>
      <c r="V12" s="749" t="s">
        <v>28</v>
      </c>
      <c r="W12" s="750">
        <f t="shared" si="2"/>
        <v>100</v>
      </c>
      <c r="X12" s="751"/>
      <c r="Y12" s="298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75"/>
      <c r="Q13" s="1882">
        <f t="shared" si="6"/>
        <v>111</v>
      </c>
      <c r="R13" s="749" t="s">
        <v>28</v>
      </c>
      <c r="S13" s="750">
        <f t="shared" si="0"/>
        <v>100</v>
      </c>
      <c r="T13" s="749" t="s">
        <v>28</v>
      </c>
      <c r="U13" s="750">
        <f t="shared" si="1"/>
        <v>100</v>
      </c>
      <c r="V13" s="749" t="s">
        <v>28</v>
      </c>
      <c r="W13" s="750">
        <f t="shared" si="2"/>
        <v>100</v>
      </c>
      <c r="X13" s="751"/>
      <c r="Y13" s="2981"/>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75"/>
      <c r="Q14" s="1882">
        <f t="shared" si="6"/>
        <v>111</v>
      </c>
      <c r="R14" s="749" t="s">
        <v>28</v>
      </c>
      <c r="S14" s="750">
        <f t="shared" si="0"/>
        <v>100</v>
      </c>
      <c r="T14" s="749" t="s">
        <v>28</v>
      </c>
      <c r="U14" s="750">
        <f t="shared" si="1"/>
        <v>100</v>
      </c>
      <c r="V14" s="749" t="s">
        <v>28</v>
      </c>
      <c r="W14" s="750">
        <f t="shared" si="2"/>
        <v>100</v>
      </c>
      <c r="X14" s="751"/>
      <c r="Y14" s="2981"/>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53" t="s">
        <v>2357</v>
      </c>
      <c r="Q15" s="1894" t="str">
        <f t="shared" si="6"/>
        <v>居住社区成熟度</v>
      </c>
      <c r="R15" s="753" t="s">
        <v>28</v>
      </c>
      <c r="S15" s="754">
        <f t="shared" si="0"/>
        <v>100</v>
      </c>
      <c r="T15" s="753" t="s">
        <v>28</v>
      </c>
      <c r="U15" s="754">
        <f t="shared" si="1"/>
        <v>100</v>
      </c>
      <c r="V15" s="753" t="s">
        <v>28</v>
      </c>
      <c r="W15" s="754">
        <f t="shared" si="2"/>
        <v>100</v>
      </c>
      <c r="X15" s="1895"/>
      <c r="Y15" s="3155"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54"/>
      <c r="Q16" s="1894"/>
      <c r="R16" s="753"/>
      <c r="S16" s="754"/>
      <c r="T16" s="753"/>
      <c r="U16" s="754"/>
      <c r="V16" s="753"/>
      <c r="W16" s="754"/>
      <c r="X16" s="1895"/>
      <c r="Y16" s="3156"/>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54"/>
      <c r="Q17" s="1894" t="str">
        <f>B17</f>
        <v>交通便捷度</v>
      </c>
      <c r="R17" s="753" t="s">
        <v>28</v>
      </c>
      <c r="S17" s="754">
        <f>F17</f>
        <v>100</v>
      </c>
      <c r="T17" s="753" t="s">
        <v>28</v>
      </c>
      <c r="U17" s="754">
        <f>H17</f>
        <v>100</v>
      </c>
      <c r="V17" s="753" t="s">
        <v>28</v>
      </c>
      <c r="W17" s="754">
        <f>J17</f>
        <v>100</v>
      </c>
      <c r="X17" s="1895"/>
      <c r="Y17" s="3156"/>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54"/>
      <c r="Q18" s="1894"/>
      <c r="R18" s="753"/>
      <c r="S18" s="754"/>
      <c r="T18" s="753"/>
      <c r="U18" s="754"/>
      <c r="V18" s="753"/>
      <c r="W18" s="754"/>
      <c r="X18" s="1895"/>
      <c r="Y18" s="3156"/>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54"/>
      <c r="Q19" s="1894" t="str">
        <f>B19</f>
        <v>公共配套设施</v>
      </c>
      <c r="R19" s="753" t="s">
        <v>28</v>
      </c>
      <c r="S19" s="754">
        <f>F19</f>
        <v>100</v>
      </c>
      <c r="T19" s="753" t="s">
        <v>28</v>
      </c>
      <c r="U19" s="754">
        <f>H19</f>
        <v>100</v>
      </c>
      <c r="V19" s="753" t="s">
        <v>28</v>
      </c>
      <c r="W19" s="754">
        <f>J19</f>
        <v>100</v>
      </c>
      <c r="X19" s="1895"/>
      <c r="Y19" s="3156"/>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54"/>
      <c r="Q20" s="1894"/>
      <c r="R20" s="753"/>
      <c r="S20" s="754"/>
      <c r="T20" s="753"/>
      <c r="U20" s="754"/>
      <c r="V20" s="753"/>
      <c r="W20" s="754"/>
      <c r="X20" s="1895"/>
      <c r="Y20" s="3156"/>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54"/>
      <c r="Q21" s="1894" t="str">
        <f>B21</f>
        <v>基础设施水平</v>
      </c>
      <c r="R21" s="753" t="s">
        <v>28</v>
      </c>
      <c r="S21" s="754">
        <f>F21</f>
        <v>100</v>
      </c>
      <c r="T21" s="753" t="s">
        <v>28</v>
      </c>
      <c r="U21" s="754">
        <f>H21</f>
        <v>100</v>
      </c>
      <c r="V21" s="753" t="s">
        <v>28</v>
      </c>
      <c r="W21" s="754">
        <f>J21</f>
        <v>100</v>
      </c>
      <c r="X21" s="1895"/>
      <c r="Y21" s="3156"/>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54"/>
      <c r="Q22" s="1894"/>
      <c r="R22" s="753"/>
      <c r="S22" s="754"/>
      <c r="T22" s="753"/>
      <c r="U22" s="754"/>
      <c r="V22" s="753"/>
      <c r="W22" s="754"/>
      <c r="X22" s="1895"/>
      <c r="Y22" s="3156"/>
      <c r="Z22" s="1897"/>
      <c r="AA22" s="1898">
        <v>1</v>
      </c>
      <c r="AB22" s="1898">
        <v>1</v>
      </c>
      <c r="AC22" s="1898">
        <v>1</v>
      </c>
    </row>
    <row r="23" spans="1:29" ht="114">
      <c r="A23" s="408"/>
      <c r="B23" s="431" t="s">
        <v>1748</v>
      </c>
      <c r="C23" s="2401"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54"/>
      <c r="Q23" s="1894" t="str">
        <f>B23</f>
        <v>自然及人文环境</v>
      </c>
      <c r="R23" s="753" t="s">
        <v>28</v>
      </c>
      <c r="S23" s="754">
        <f>F23</f>
        <v>100</v>
      </c>
      <c r="T23" s="753" t="s">
        <v>28</v>
      </c>
      <c r="U23" s="754">
        <f>H23</f>
        <v>100</v>
      </c>
      <c r="V23" s="753" t="s">
        <v>28</v>
      </c>
      <c r="W23" s="754">
        <f>J23</f>
        <v>100</v>
      </c>
      <c r="X23" s="1895"/>
      <c r="Y23" s="3156"/>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54"/>
      <c r="Q24" s="1894"/>
      <c r="R24" s="753"/>
      <c r="S24" s="754"/>
      <c r="T24" s="753"/>
      <c r="U24" s="754"/>
      <c r="V24" s="753"/>
      <c r="W24" s="754"/>
      <c r="X24" s="1895"/>
      <c r="Y24" s="3156"/>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54"/>
      <c r="Q25" s="1894" t="str">
        <f t="shared" ref="Q25:Q46" si="11">B25</f>
        <v>楼层-1</v>
      </c>
      <c r="R25" s="753" t="s">
        <v>28</v>
      </c>
      <c r="S25" s="754">
        <f>F25</f>
        <v>100</v>
      </c>
      <c r="T25" s="753" t="s">
        <v>28</v>
      </c>
      <c r="U25" s="754">
        <f>H25</f>
        <v>100</v>
      </c>
      <c r="V25" s="753" t="s">
        <v>28</v>
      </c>
      <c r="W25" s="754">
        <f>J25</f>
        <v>100</v>
      </c>
      <c r="X25" s="1895"/>
      <c r="Y25" s="3156"/>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54"/>
      <c r="Q26" s="1894" t="str">
        <f t="shared" si="11"/>
        <v>朝向</v>
      </c>
      <c r="R26" s="753" t="s">
        <v>28</v>
      </c>
      <c r="S26" s="754">
        <f>F26</f>
        <v>100</v>
      </c>
      <c r="T26" s="753" t="s">
        <v>28</v>
      </c>
      <c r="U26" s="754">
        <f>H26</f>
        <v>100</v>
      </c>
      <c r="V26" s="753" t="s">
        <v>28</v>
      </c>
      <c r="W26" s="754">
        <f>J26</f>
        <v>100</v>
      </c>
      <c r="X26" s="1895"/>
      <c r="Y26" s="3156"/>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54"/>
      <c r="Q27" s="1882" t="str">
        <f t="shared" si="11"/>
        <v>道路级别</v>
      </c>
      <c r="R27" s="749" t="s">
        <v>28</v>
      </c>
      <c r="S27" s="750">
        <f>F27</f>
        <v>100</v>
      </c>
      <c r="T27" s="749" t="s">
        <v>28</v>
      </c>
      <c r="U27" s="750">
        <f>H27</f>
        <v>100</v>
      </c>
      <c r="V27" s="749" t="s">
        <v>28</v>
      </c>
      <c r="W27" s="750">
        <f>J27</f>
        <v>100</v>
      </c>
      <c r="X27" s="751"/>
      <c r="Y27" s="3156"/>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54"/>
      <c r="Q28" s="1894">
        <f t="shared" si="11"/>
        <v>111</v>
      </c>
      <c r="R28" s="753" t="s">
        <v>28</v>
      </c>
      <c r="S28" s="754">
        <f t="shared" ref="S28:S46" si="12">F28</f>
        <v>100</v>
      </c>
      <c r="T28" s="753" t="s">
        <v>28</v>
      </c>
      <c r="U28" s="754">
        <f t="shared" ref="U28:U46" si="13">H28</f>
        <v>100</v>
      </c>
      <c r="V28" s="753" t="s">
        <v>28</v>
      </c>
      <c r="W28" s="754">
        <f t="shared" ref="W28:W46" si="14">J28</f>
        <v>100</v>
      </c>
      <c r="X28" s="1895"/>
      <c r="Y28" s="3156"/>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54"/>
      <c r="Q29" s="1894">
        <f t="shared" si="11"/>
        <v>111</v>
      </c>
      <c r="R29" s="753" t="s">
        <v>28</v>
      </c>
      <c r="S29" s="754">
        <f t="shared" si="12"/>
        <v>100</v>
      </c>
      <c r="T29" s="753" t="s">
        <v>28</v>
      </c>
      <c r="U29" s="754">
        <f t="shared" si="13"/>
        <v>100</v>
      </c>
      <c r="V29" s="753" t="s">
        <v>28</v>
      </c>
      <c r="W29" s="754">
        <f t="shared" si="14"/>
        <v>100</v>
      </c>
      <c r="X29" s="1895"/>
      <c r="Y29" s="3156"/>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54"/>
      <c r="Q30" s="1894">
        <f t="shared" si="11"/>
        <v>111</v>
      </c>
      <c r="R30" s="753" t="s">
        <v>28</v>
      </c>
      <c r="S30" s="754">
        <f t="shared" si="12"/>
        <v>100</v>
      </c>
      <c r="T30" s="753" t="s">
        <v>28</v>
      </c>
      <c r="U30" s="754">
        <f t="shared" si="13"/>
        <v>100</v>
      </c>
      <c r="V30" s="753" t="s">
        <v>28</v>
      </c>
      <c r="W30" s="754">
        <f t="shared" si="14"/>
        <v>100</v>
      </c>
      <c r="X30" s="1895"/>
      <c r="Y30" s="3156"/>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54"/>
      <c r="Q31" s="1894">
        <f t="shared" si="11"/>
        <v>111</v>
      </c>
      <c r="R31" s="753" t="s">
        <v>28</v>
      </c>
      <c r="S31" s="754">
        <f t="shared" si="12"/>
        <v>100</v>
      </c>
      <c r="T31" s="753" t="s">
        <v>28</v>
      </c>
      <c r="U31" s="754">
        <f t="shared" si="13"/>
        <v>100</v>
      </c>
      <c r="V31" s="753" t="s">
        <v>28</v>
      </c>
      <c r="W31" s="754">
        <f t="shared" si="14"/>
        <v>100</v>
      </c>
      <c r="X31" s="1895"/>
      <c r="Y31" s="3156"/>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57" t="s">
        <v>2363</v>
      </c>
      <c r="Q32" s="1894" t="str">
        <f t="shared" si="11"/>
        <v>建筑类型</v>
      </c>
      <c r="R32" s="753" t="s">
        <v>28</v>
      </c>
      <c r="S32" s="754">
        <f t="shared" si="12"/>
        <v>100</v>
      </c>
      <c r="T32" s="753" t="s">
        <v>28</v>
      </c>
      <c r="U32" s="754">
        <f t="shared" si="13"/>
        <v>100</v>
      </c>
      <c r="V32" s="753" t="s">
        <v>28</v>
      </c>
      <c r="W32" s="754">
        <f t="shared" si="14"/>
        <v>100</v>
      </c>
      <c r="X32" s="1895"/>
      <c r="Y32" s="3160"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58"/>
      <c r="Q33" s="755" t="str">
        <f t="shared" si="11"/>
        <v>项目建筑规模</v>
      </c>
      <c r="R33" s="756" t="s">
        <v>28</v>
      </c>
      <c r="S33" s="757" t="e">
        <f t="shared" si="12"/>
        <v>#N/A</v>
      </c>
      <c r="T33" s="756" t="s">
        <v>28</v>
      </c>
      <c r="U33" s="757" t="e">
        <f t="shared" si="13"/>
        <v>#N/A</v>
      </c>
      <c r="V33" s="756" t="s">
        <v>28</v>
      </c>
      <c r="W33" s="757" t="e">
        <f t="shared" si="14"/>
        <v>#N/A</v>
      </c>
      <c r="X33" s="758"/>
      <c r="Y33" s="3160"/>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58"/>
      <c r="Q34" s="1894" t="str">
        <f t="shared" si="11"/>
        <v>建筑结构</v>
      </c>
      <c r="R34" s="753" t="s">
        <v>28</v>
      </c>
      <c r="S34" s="754">
        <f t="shared" si="12"/>
        <v>100</v>
      </c>
      <c r="T34" s="753" t="s">
        <v>28</v>
      </c>
      <c r="U34" s="754">
        <f t="shared" si="13"/>
        <v>100</v>
      </c>
      <c r="V34" s="753" t="s">
        <v>28</v>
      </c>
      <c r="W34" s="754">
        <f t="shared" si="14"/>
        <v>100</v>
      </c>
      <c r="X34" s="1895"/>
      <c r="Y34" s="3160"/>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58"/>
      <c r="Q35" s="1894" t="str">
        <f t="shared" si="11"/>
        <v>建筑品质</v>
      </c>
      <c r="R35" s="753" t="s">
        <v>28</v>
      </c>
      <c r="S35" s="754">
        <f t="shared" si="12"/>
        <v>100</v>
      </c>
      <c r="T35" s="753" t="s">
        <v>28</v>
      </c>
      <c r="U35" s="754">
        <f t="shared" si="13"/>
        <v>100</v>
      </c>
      <c r="V35" s="753" t="s">
        <v>28</v>
      </c>
      <c r="W35" s="754">
        <f t="shared" si="14"/>
        <v>100</v>
      </c>
      <c r="X35" s="1895"/>
      <c r="Y35" s="3160"/>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58"/>
      <c r="Q36" s="1894" t="str">
        <f t="shared" si="11"/>
        <v>公共部分装修</v>
      </c>
      <c r="R36" s="753" t="s">
        <v>28</v>
      </c>
      <c r="S36" s="754">
        <f t="shared" si="12"/>
        <v>100</v>
      </c>
      <c r="T36" s="753" t="s">
        <v>28</v>
      </c>
      <c r="U36" s="754">
        <f t="shared" si="13"/>
        <v>100</v>
      </c>
      <c r="V36" s="753" t="s">
        <v>28</v>
      </c>
      <c r="W36" s="754">
        <f t="shared" si="14"/>
        <v>100</v>
      </c>
      <c r="X36" s="1895"/>
      <c r="Y36" s="3160"/>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58"/>
      <c r="Q37" s="1882" t="str">
        <f t="shared" si="11"/>
        <v>成新度</v>
      </c>
      <c r="R37" s="749" t="s">
        <v>28</v>
      </c>
      <c r="S37" s="750" t="e">
        <f t="shared" si="12"/>
        <v>#N/A</v>
      </c>
      <c r="T37" s="749" t="s">
        <v>28</v>
      </c>
      <c r="U37" s="750" t="e">
        <f t="shared" si="13"/>
        <v>#N/A</v>
      </c>
      <c r="V37" s="749" t="s">
        <v>28</v>
      </c>
      <c r="W37" s="750" t="e">
        <f t="shared" si="14"/>
        <v>#N/A</v>
      </c>
      <c r="X37" s="751"/>
      <c r="Y37" s="3160"/>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58" t="s">
        <v>2363</v>
      </c>
      <c r="Q38" s="1894" t="str">
        <f t="shared" si="11"/>
        <v>物业管理</v>
      </c>
      <c r="R38" s="753" t="s">
        <v>28</v>
      </c>
      <c r="S38" s="754">
        <f t="shared" si="12"/>
        <v>100</v>
      </c>
      <c r="T38" s="753" t="s">
        <v>28</v>
      </c>
      <c r="U38" s="754">
        <f t="shared" si="13"/>
        <v>100</v>
      </c>
      <c r="V38" s="753" t="s">
        <v>28</v>
      </c>
      <c r="W38" s="754">
        <f t="shared" si="14"/>
        <v>100</v>
      </c>
      <c r="X38" s="1895"/>
      <c r="Y38" s="3160"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58"/>
      <c r="Q39" s="1894" t="str">
        <f t="shared" si="11"/>
        <v>市政基础设施</v>
      </c>
      <c r="R39" s="753" t="s">
        <v>28</v>
      </c>
      <c r="S39" s="754">
        <f t="shared" si="12"/>
        <v>100</v>
      </c>
      <c r="T39" s="753" t="s">
        <v>28</v>
      </c>
      <c r="U39" s="754">
        <f t="shared" si="13"/>
        <v>100</v>
      </c>
      <c r="V39" s="753" t="s">
        <v>28</v>
      </c>
      <c r="W39" s="754">
        <f t="shared" si="14"/>
        <v>100</v>
      </c>
      <c r="X39" s="1895"/>
      <c r="Y39" s="3160"/>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58"/>
      <c r="Q40" s="1894" t="str">
        <f t="shared" si="11"/>
        <v>房型</v>
      </c>
      <c r="R40" s="753" t="s">
        <v>28</v>
      </c>
      <c r="S40" s="754">
        <f t="shared" si="12"/>
        <v>100</v>
      </c>
      <c r="T40" s="753" t="s">
        <v>28</v>
      </c>
      <c r="U40" s="754">
        <f t="shared" si="13"/>
        <v>100</v>
      </c>
      <c r="V40" s="753" t="s">
        <v>28</v>
      </c>
      <c r="W40" s="754">
        <f t="shared" si="14"/>
        <v>100</v>
      </c>
      <c r="X40" s="1895"/>
      <c r="Y40" s="3160"/>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58"/>
      <c r="Q41" s="755" t="str">
        <f t="shared" si="11"/>
        <v>单套/主力户型建筑面积</v>
      </c>
      <c r="R41" s="756" t="s">
        <v>28</v>
      </c>
      <c r="S41" s="757">
        <f t="shared" si="12"/>
        <v>100</v>
      </c>
      <c r="T41" s="756" t="s">
        <v>28</v>
      </c>
      <c r="U41" s="757">
        <f t="shared" si="13"/>
        <v>100</v>
      </c>
      <c r="V41" s="756" t="s">
        <v>28</v>
      </c>
      <c r="W41" s="757">
        <f t="shared" si="14"/>
        <v>100</v>
      </c>
      <c r="X41" s="758"/>
      <c r="Y41" s="3160"/>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58"/>
      <c r="Q42" s="1894" t="str">
        <f t="shared" si="11"/>
        <v>内部装修</v>
      </c>
      <c r="R42" s="753" t="s">
        <v>28</v>
      </c>
      <c r="S42" s="754">
        <f t="shared" si="12"/>
        <v>100</v>
      </c>
      <c r="T42" s="753" t="s">
        <v>28</v>
      </c>
      <c r="U42" s="754">
        <f t="shared" si="13"/>
        <v>100</v>
      </c>
      <c r="V42" s="753" t="s">
        <v>28</v>
      </c>
      <c r="W42" s="754">
        <f t="shared" si="14"/>
        <v>100</v>
      </c>
      <c r="X42" s="1895"/>
      <c r="Y42" s="3160"/>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58"/>
      <c r="Q43" s="1894" t="str">
        <f t="shared" si="11"/>
        <v>内部装修维护情况</v>
      </c>
      <c r="R43" s="753" t="s">
        <v>28</v>
      </c>
      <c r="S43" s="754">
        <f t="shared" si="12"/>
        <v>100</v>
      </c>
      <c r="T43" s="753" t="s">
        <v>28</v>
      </c>
      <c r="U43" s="754">
        <f t="shared" si="13"/>
        <v>100</v>
      </c>
      <c r="V43" s="753" t="s">
        <v>28</v>
      </c>
      <c r="W43" s="754">
        <f t="shared" si="14"/>
        <v>100</v>
      </c>
      <c r="X43" s="1895"/>
      <c r="Y43" s="3160"/>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58"/>
      <c r="Q44" s="1882">
        <f t="shared" si="11"/>
        <v>111</v>
      </c>
      <c r="R44" s="749" t="s">
        <v>28</v>
      </c>
      <c r="S44" s="750">
        <f t="shared" si="12"/>
        <v>100</v>
      </c>
      <c r="T44" s="749" t="s">
        <v>28</v>
      </c>
      <c r="U44" s="750">
        <f t="shared" si="13"/>
        <v>100</v>
      </c>
      <c r="V44" s="749" t="s">
        <v>28</v>
      </c>
      <c r="W44" s="750">
        <f t="shared" si="14"/>
        <v>100</v>
      </c>
      <c r="X44" s="751"/>
      <c r="Y44" s="316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58"/>
      <c r="Q45" s="1894">
        <f t="shared" si="11"/>
        <v>111</v>
      </c>
      <c r="R45" s="753" t="s">
        <v>28</v>
      </c>
      <c r="S45" s="754">
        <f t="shared" si="12"/>
        <v>100</v>
      </c>
      <c r="T45" s="753" t="s">
        <v>28</v>
      </c>
      <c r="U45" s="754">
        <f t="shared" si="13"/>
        <v>100</v>
      </c>
      <c r="V45" s="753" t="s">
        <v>28</v>
      </c>
      <c r="W45" s="754">
        <f t="shared" si="14"/>
        <v>100</v>
      </c>
      <c r="X45" s="1895"/>
      <c r="Y45" s="3160"/>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59"/>
      <c r="Q46" s="1894">
        <f t="shared" si="11"/>
        <v>111</v>
      </c>
      <c r="R46" s="753" t="s">
        <v>27</v>
      </c>
      <c r="S46" s="754">
        <f t="shared" si="12"/>
        <v>100</v>
      </c>
      <c r="T46" s="753" t="s">
        <v>27</v>
      </c>
      <c r="U46" s="754">
        <f t="shared" si="13"/>
        <v>100</v>
      </c>
      <c r="V46" s="753" t="s">
        <v>27</v>
      </c>
      <c r="W46" s="754">
        <f t="shared" si="14"/>
        <v>100</v>
      </c>
      <c r="X46" s="1895"/>
      <c r="Y46" s="3161"/>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52" t="str">
        <f>A47</f>
        <v>成交单价（元/平方米）</v>
      </c>
      <c r="Q47" s="3152"/>
      <c r="R47" s="3148">
        <f>E47</f>
        <v>0</v>
      </c>
      <c r="S47" s="3148"/>
      <c r="T47" s="3148">
        <f>G47</f>
        <v>0</v>
      </c>
      <c r="U47" s="3148"/>
      <c r="V47" s="3148">
        <f>I47</f>
        <v>0</v>
      </c>
      <c r="W47" s="3148"/>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52" t="str">
        <f>A48</f>
        <v>比较价值（元/平方米）</v>
      </c>
      <c r="Q48" s="3152"/>
      <c r="R48" s="3148" t="e">
        <f>IF(E1="售价",ROUND(PRODUCT(R47,AA7:AA46),0),ROUND(PRODUCT(R47,AA7:AA46),1))</f>
        <v>#DIV/0!</v>
      </c>
      <c r="S48" s="3148"/>
      <c r="T48" s="3146" t="e">
        <f>IF(E1="售价",ROUND(PRODUCT(T47,AB7:AB46),0),ROUND(PRODUCT(T47,AB7:AB46),1))</f>
        <v>#DIV/0!</v>
      </c>
      <c r="U48" s="3147"/>
      <c r="V48" s="3148" t="e">
        <f>IF(E1="售价",ROUND(PRODUCT(V47,AC7:AC46),0),ROUND(PRODUCT(V47,AC7:AC46),1))</f>
        <v>#DIV/0!</v>
      </c>
      <c r="W48" s="3148"/>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149" t="str">
        <f>A49</f>
        <v>估价对象XX用房的比较价值（楼面单价，元/平方米）</v>
      </c>
      <c r="Q49" s="3150"/>
      <c r="R49" s="3151" t="e">
        <f>IF(E1="售价",ROUND(AVERAGE(R48:V48),0),ROUND(AVERAGE(R48:V48),1))</f>
        <v>#DIV/0!</v>
      </c>
      <c r="S49" s="3151"/>
      <c r="T49" s="3151"/>
      <c r="U49" s="3151"/>
      <c r="V49" s="3151"/>
      <c r="W49" s="315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4" zoomScaleNormal="100" workbookViewId="0">
      <selection activeCell="L23" sqref="L2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41894</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57</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89" t="s">
        <v>2335</v>
      </c>
      <c r="AC4" s="3176" t="s">
        <v>2336</v>
      </c>
    </row>
    <row r="5" spans="1:29" ht="15.75" thickBot="1">
      <c r="A5" s="383"/>
      <c r="B5" s="384"/>
      <c r="C5" s="3195" t="s">
        <v>3151</v>
      </c>
      <c r="D5" s="3165"/>
      <c r="E5" s="3194" t="s">
        <v>3165</v>
      </c>
      <c r="F5" s="3191"/>
      <c r="G5" s="3195" t="s">
        <v>3144</v>
      </c>
      <c r="H5" s="3165"/>
      <c r="I5" s="3195" t="s">
        <v>3166</v>
      </c>
      <c r="J5" s="3165"/>
      <c r="K5" s="594"/>
      <c r="L5" s="1239"/>
      <c r="M5" s="1240"/>
      <c r="N5" s="1240"/>
      <c r="O5" s="1240"/>
      <c r="P5" s="3185"/>
      <c r="Q5" s="3186"/>
      <c r="R5" s="3170"/>
      <c r="S5" s="3171"/>
      <c r="T5" s="3170"/>
      <c r="U5" s="3171"/>
      <c r="V5" s="3189"/>
      <c r="W5" s="3189"/>
      <c r="X5" s="1895"/>
      <c r="Y5" s="3170"/>
      <c r="Z5" s="3171"/>
      <c r="AA5" s="3177"/>
      <c r="AB5" s="3189"/>
      <c r="AC5" s="3177"/>
    </row>
    <row r="6" spans="1:29" ht="15.75" hidden="1" thickBot="1">
      <c r="A6" s="385"/>
      <c r="B6" s="386"/>
      <c r="C6" s="3162" t="s">
        <v>2343</v>
      </c>
      <c r="D6" s="3163"/>
      <c r="E6" s="3192" t="s">
        <v>2343</v>
      </c>
      <c r="F6" s="3193"/>
      <c r="G6" s="3196" t="s">
        <v>2343</v>
      </c>
      <c r="H6" s="3197"/>
      <c r="I6" s="3162" t="s">
        <v>2343</v>
      </c>
      <c r="J6" s="3163"/>
      <c r="K6" s="594" t="s">
        <v>2344</v>
      </c>
      <c r="L6" s="1239"/>
      <c r="M6" s="1240"/>
      <c r="N6" s="1240"/>
      <c r="O6" s="1240"/>
      <c r="P6" s="3187"/>
      <c r="Q6" s="3188"/>
      <c r="R6" s="3170"/>
      <c r="S6" s="3171"/>
      <c r="T6" s="3172"/>
      <c r="U6" s="3173"/>
      <c r="V6" s="3189"/>
      <c r="W6" s="3189"/>
      <c r="X6" s="1895"/>
      <c r="Y6" s="3172"/>
      <c r="Z6" s="3173"/>
      <c r="AA6" s="3178"/>
      <c r="AB6" s="3189"/>
      <c r="AC6" s="3178"/>
    </row>
    <row r="7" spans="1:29" s="35" customFormat="1" ht="15.75" thickBot="1">
      <c r="A7" s="387" t="s">
        <v>2345</v>
      </c>
      <c r="B7" s="388"/>
      <c r="C7" s="389">
        <f>'数据-取费表'!B2</f>
        <v>44202</v>
      </c>
      <c r="D7" s="390">
        <v>100</v>
      </c>
      <c r="E7" s="391">
        <v>44200</v>
      </c>
      <c r="F7" s="392">
        <f>SUMIF(58:58,YEAR(E7)&amp;"-"&amp;MONTH(E7),59:59)</f>
        <v>100</v>
      </c>
      <c r="G7" s="391">
        <v>44135</v>
      </c>
      <c r="H7" s="390">
        <f>SUMIF(58:58,YEAR(G7)&amp;"-"&amp;MONTH(G7),59:59)</f>
        <v>100</v>
      </c>
      <c r="I7" s="391">
        <v>44202</v>
      </c>
      <c r="J7" s="390">
        <f>SUMIF(58:58,YEAR(I7)&amp;"-"&amp;MONTH(I7),59:59)</f>
        <v>100</v>
      </c>
      <c r="K7" s="595"/>
      <c r="L7" s="1241"/>
      <c r="M7" s="1242"/>
      <c r="N7" s="1242"/>
      <c r="O7" s="1242"/>
      <c r="P7" s="3166" t="s">
        <v>2346</v>
      </c>
      <c r="Q7" s="3174"/>
      <c r="R7" s="749" t="s">
        <v>25</v>
      </c>
      <c r="S7" s="750">
        <f t="shared" ref="S7:S15" si="0">F7</f>
        <v>100</v>
      </c>
      <c r="T7" s="749" t="s">
        <v>25</v>
      </c>
      <c r="U7" s="750">
        <f t="shared" ref="U7:U15" si="1">H7</f>
        <v>100</v>
      </c>
      <c r="V7" s="749" t="s">
        <v>25</v>
      </c>
      <c r="W7" s="750">
        <f t="shared" ref="W7:W15" si="2">J7</f>
        <v>100</v>
      </c>
      <c r="X7" s="751"/>
      <c r="Y7" s="3166" t="s">
        <v>2346</v>
      </c>
      <c r="Z7" s="3167"/>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66" t="s">
        <v>2349</v>
      </c>
      <c r="Q8" s="3167"/>
      <c r="R8" s="749" t="s">
        <v>25</v>
      </c>
      <c r="S8" s="750">
        <f t="shared" si="0"/>
        <v>100</v>
      </c>
      <c r="T8" s="749" t="s">
        <v>25</v>
      </c>
      <c r="U8" s="750">
        <f t="shared" si="1"/>
        <v>100</v>
      </c>
      <c r="V8" s="749" t="s">
        <v>25</v>
      </c>
      <c r="W8" s="750">
        <f t="shared" si="2"/>
        <v>100</v>
      </c>
      <c r="X8" s="751"/>
      <c r="Y8" s="3166" t="s">
        <v>2349</v>
      </c>
      <c r="Z8" s="3167"/>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75"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75"/>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75"/>
      <c r="Q11" s="1882" t="str">
        <f t="shared" si="6"/>
        <v>容积率</v>
      </c>
      <c r="R11" s="749" t="s">
        <v>25</v>
      </c>
      <c r="S11" s="750">
        <f t="shared" si="0"/>
        <v>100</v>
      </c>
      <c r="T11" s="749" t="s">
        <v>25</v>
      </c>
      <c r="U11" s="750">
        <f t="shared" si="1"/>
        <v>100</v>
      </c>
      <c r="V11" s="749" t="s">
        <v>25</v>
      </c>
      <c r="W11" s="750">
        <f t="shared" si="2"/>
        <v>100</v>
      </c>
      <c r="X11" s="751"/>
      <c r="Y11" s="2981"/>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75"/>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75"/>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75"/>
      <c r="Q14" s="1882">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53" t="s">
        <v>2357</v>
      </c>
      <c r="Q15" s="1894" t="str">
        <f t="shared" si="6"/>
        <v>商业繁华度</v>
      </c>
      <c r="R15" s="753" t="s">
        <v>25</v>
      </c>
      <c r="S15" s="754">
        <f t="shared" si="0"/>
        <v>100</v>
      </c>
      <c r="T15" s="753" t="s">
        <v>25</v>
      </c>
      <c r="U15" s="754">
        <f t="shared" si="1"/>
        <v>100</v>
      </c>
      <c r="V15" s="753" t="s">
        <v>25</v>
      </c>
      <c r="W15" s="754">
        <f t="shared" si="2"/>
        <v>100</v>
      </c>
      <c r="X15" s="1895"/>
      <c r="Y15" s="3155"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54"/>
      <c r="Q16" s="1894"/>
      <c r="R16" s="753"/>
      <c r="S16" s="754"/>
      <c r="T16" s="753"/>
      <c r="U16" s="754"/>
      <c r="V16" s="753"/>
      <c r="W16" s="754"/>
      <c r="X16" s="1895"/>
      <c r="Y16" s="3156"/>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54"/>
      <c r="Q17" s="1894" t="str">
        <f>B17</f>
        <v>交通便捷度</v>
      </c>
      <c r="R17" s="753" t="s">
        <v>25</v>
      </c>
      <c r="S17" s="754">
        <f>F17</f>
        <v>100</v>
      </c>
      <c r="T17" s="753" t="s">
        <v>25</v>
      </c>
      <c r="U17" s="754">
        <f>H17</f>
        <v>100</v>
      </c>
      <c r="V17" s="753" t="s">
        <v>25</v>
      </c>
      <c r="W17" s="754">
        <f>J17</f>
        <v>100</v>
      </c>
      <c r="X17" s="1895"/>
      <c r="Y17" s="3156"/>
      <c r="Z17" s="1897" t="str">
        <f>Q17</f>
        <v>交通便捷度</v>
      </c>
      <c r="AA17" s="1898">
        <f t="shared" si="3"/>
        <v>1</v>
      </c>
      <c r="AB17" s="1898">
        <f t="shared" si="4"/>
        <v>1</v>
      </c>
      <c r="AC17" s="1898">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54"/>
      <c r="Q18" s="1894"/>
      <c r="R18" s="753"/>
      <c r="S18" s="754"/>
      <c r="T18" s="753"/>
      <c r="U18" s="754"/>
      <c r="V18" s="753"/>
      <c r="W18" s="754"/>
      <c r="X18" s="1895"/>
      <c r="Y18" s="3156"/>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54"/>
      <c r="Q19" s="1894" t="str">
        <f>B19</f>
        <v>公共配套设施</v>
      </c>
      <c r="R19" s="753" t="s">
        <v>25</v>
      </c>
      <c r="S19" s="754">
        <f>F19</f>
        <v>100</v>
      </c>
      <c r="T19" s="753" t="s">
        <v>25</v>
      </c>
      <c r="U19" s="754">
        <f>H19</f>
        <v>100</v>
      </c>
      <c r="V19" s="753" t="s">
        <v>25</v>
      </c>
      <c r="W19" s="754">
        <f>J19</f>
        <v>100</v>
      </c>
      <c r="X19" s="1895"/>
      <c r="Y19" s="3156"/>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54"/>
      <c r="Q20" s="1894"/>
      <c r="R20" s="753"/>
      <c r="S20" s="754"/>
      <c r="T20" s="753"/>
      <c r="U20" s="754"/>
      <c r="V20" s="753"/>
      <c r="W20" s="754"/>
      <c r="X20" s="1895"/>
      <c r="Y20" s="3156"/>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54"/>
      <c r="Q21" s="1894" t="str">
        <f>B21</f>
        <v>基础设施水平</v>
      </c>
      <c r="R21" s="753" t="s">
        <v>25</v>
      </c>
      <c r="S21" s="754">
        <f>F21</f>
        <v>100</v>
      </c>
      <c r="T21" s="753" t="s">
        <v>25</v>
      </c>
      <c r="U21" s="754">
        <f>H21</f>
        <v>100</v>
      </c>
      <c r="V21" s="753" t="s">
        <v>25</v>
      </c>
      <c r="W21" s="754">
        <f>J21</f>
        <v>100</v>
      </c>
      <c r="X21" s="1895"/>
      <c r="Y21" s="3156"/>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54"/>
      <c r="Q22" s="1894"/>
      <c r="R22" s="753"/>
      <c r="S22" s="754"/>
      <c r="T22" s="753"/>
      <c r="U22" s="754"/>
      <c r="V22" s="753"/>
      <c r="W22" s="754"/>
      <c r="X22" s="1895"/>
      <c r="Y22" s="3156"/>
      <c r="Z22" s="1897"/>
      <c r="AA22" s="1898">
        <v>1</v>
      </c>
      <c r="AB22" s="1898">
        <v>1</v>
      </c>
      <c r="AC22" s="1898">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54"/>
      <c r="Q23" s="1894" t="str">
        <f>B23</f>
        <v>自然及人文环境</v>
      </c>
      <c r="R23" s="753" t="s">
        <v>25</v>
      </c>
      <c r="S23" s="754">
        <f>F23</f>
        <v>100</v>
      </c>
      <c r="T23" s="753" t="s">
        <v>25</v>
      </c>
      <c r="U23" s="754">
        <f>H23</f>
        <v>100</v>
      </c>
      <c r="V23" s="753" t="s">
        <v>25</v>
      </c>
      <c r="W23" s="754">
        <f>J23</f>
        <v>100</v>
      </c>
      <c r="X23" s="1895"/>
      <c r="Y23" s="3156"/>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54"/>
      <c r="Q24" s="1894"/>
      <c r="R24" s="753"/>
      <c r="S24" s="754"/>
      <c r="T24" s="753"/>
      <c r="U24" s="754"/>
      <c r="V24" s="753"/>
      <c r="W24" s="754"/>
      <c r="X24" s="1895"/>
      <c r="Y24" s="3156"/>
      <c r="Z24" s="1897"/>
      <c r="AA24" s="1898">
        <v>1</v>
      </c>
      <c r="AB24" s="1898">
        <v>1</v>
      </c>
      <c r="AC24" s="1898">
        <v>1</v>
      </c>
    </row>
    <row r="25" spans="1:29" ht="15.75" thickBot="1">
      <c r="A25" s="408"/>
      <c r="B25" s="402"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54"/>
      <c r="Q25" s="1894" t="str">
        <f t="shared" ref="Q25:Q46" si="11">B25</f>
        <v>临街状况</v>
      </c>
      <c r="R25" s="753" t="s">
        <v>25</v>
      </c>
      <c r="S25" s="754">
        <f>F25</f>
        <v>100</v>
      </c>
      <c r="T25" s="753" t="s">
        <v>25</v>
      </c>
      <c r="U25" s="754">
        <f>H25</f>
        <v>100</v>
      </c>
      <c r="V25" s="753" t="s">
        <v>25</v>
      </c>
      <c r="W25" s="754">
        <f>J25</f>
        <v>100</v>
      </c>
      <c r="X25" s="1895"/>
      <c r="Y25" s="3156"/>
      <c r="Z25" s="1897" t="str">
        <f>Q25</f>
        <v>临街状况</v>
      </c>
      <c r="AA25" s="1898">
        <f t="shared" si="3"/>
        <v>1</v>
      </c>
      <c r="AB25" s="1898">
        <f t="shared" si="4"/>
        <v>1</v>
      </c>
      <c r="AC25" s="1898">
        <f t="shared" si="5"/>
        <v>1</v>
      </c>
    </row>
    <row r="26" spans="1:29" ht="28.5" thickTop="1">
      <c r="A26" s="408"/>
      <c r="B26" s="2845" t="s">
        <v>3109</v>
      </c>
      <c r="C26" s="2843" t="s">
        <v>3146</v>
      </c>
      <c r="D26" s="415">
        <v>100</v>
      </c>
      <c r="E26" s="2843" t="s">
        <v>3167</v>
      </c>
      <c r="F26" s="442">
        <f>SUMIF(88:88,E26,89:89)-SUMIF(88:88,C26,89:89)+100</f>
        <v>100</v>
      </c>
      <c r="G26" s="537" t="s">
        <v>3147</v>
      </c>
      <c r="H26" s="415">
        <f>SUMIF(88:88,G26,89:89)-SUMIF(88:88,C26,89:89)+100</f>
        <v>100</v>
      </c>
      <c r="I26" s="2882" t="s">
        <v>3168</v>
      </c>
      <c r="J26" s="415">
        <f>SUMIF(88:88,I26,89:89)-SUMIF(88:88,C26,89:89)+100</f>
        <v>95</v>
      </c>
      <c r="K26" s="597"/>
      <c r="L26" s="1249"/>
      <c r="M26" s="1240"/>
      <c r="N26" s="1240"/>
      <c r="O26" s="1240"/>
      <c r="P26" s="3154"/>
      <c r="Q26" s="1894" t="str">
        <f t="shared" si="11"/>
        <v>道路级别</v>
      </c>
      <c r="R26" s="753" t="s">
        <v>25</v>
      </c>
      <c r="S26" s="754">
        <f>F26</f>
        <v>100</v>
      </c>
      <c r="T26" s="753" t="s">
        <v>25</v>
      </c>
      <c r="U26" s="754">
        <f>H26</f>
        <v>100</v>
      </c>
      <c r="V26" s="753" t="s">
        <v>25</v>
      </c>
      <c r="W26" s="754">
        <f>J26</f>
        <v>95</v>
      </c>
      <c r="X26" s="1895"/>
      <c r="Y26" s="3156"/>
      <c r="Z26" s="1897" t="str">
        <f>Q26</f>
        <v>道路级别</v>
      </c>
      <c r="AA26" s="1898">
        <f t="shared" si="3"/>
        <v>1</v>
      </c>
      <c r="AB26" s="1898">
        <f t="shared" si="4"/>
        <v>1</v>
      </c>
      <c r="AC26" s="1898">
        <f t="shared" si="5"/>
        <v>1.0526315789473684</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54"/>
      <c r="Q27" s="1882" t="str">
        <f t="shared" si="11"/>
        <v>人流量</v>
      </c>
      <c r="R27" s="749" t="s">
        <v>25</v>
      </c>
      <c r="S27" s="750">
        <f>F27</f>
        <v>100</v>
      </c>
      <c r="T27" s="749" t="s">
        <v>25</v>
      </c>
      <c r="U27" s="750">
        <f>H27</f>
        <v>100</v>
      </c>
      <c r="V27" s="749" t="s">
        <v>25</v>
      </c>
      <c r="W27" s="750">
        <f>J27</f>
        <v>100</v>
      </c>
      <c r="X27" s="751"/>
      <c r="Y27" s="3156"/>
      <c r="Z27" s="23" t="str">
        <f>Q27</f>
        <v>人流量</v>
      </c>
      <c r="AA27" s="1898">
        <f>D27/F27</f>
        <v>1</v>
      </c>
      <c r="AB27" s="1898">
        <f>D27/H27</f>
        <v>1</v>
      </c>
      <c r="AC27" s="1898">
        <f>D27/J27</f>
        <v>1</v>
      </c>
    </row>
    <row r="28" spans="1:29" ht="15" hidden="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54"/>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56"/>
      <c r="Z28" s="1897" t="str">
        <f t="shared" ref="Z28:Z46" si="15">Q28</f>
        <v>楼层</v>
      </c>
      <c r="AA28" s="1898">
        <f t="shared" si="3"/>
        <v>1</v>
      </c>
      <c r="AB28" s="1898">
        <f t="shared" si="4"/>
        <v>1</v>
      </c>
      <c r="AC28" s="1898">
        <f t="shared" si="5"/>
        <v>1</v>
      </c>
    </row>
    <row r="29" spans="1:29" ht="16.5" thickTop="1" thickBot="1">
      <c r="A29" s="408"/>
      <c r="B29" s="2845" t="s">
        <v>3066</v>
      </c>
      <c r="C29" s="414" t="s">
        <v>3110</v>
      </c>
      <c r="D29" s="415">
        <v>100</v>
      </c>
      <c r="E29" s="537" t="s">
        <v>3058</v>
      </c>
      <c r="F29" s="442">
        <f>SUMIF(94:94,E29,95:95)-SUMIF(94:94,C29,95:95)+100</f>
        <v>110</v>
      </c>
      <c r="G29" s="537" t="s">
        <v>3148</v>
      </c>
      <c r="H29" s="415">
        <f>SUMIF(94:94,G29,95:95)-SUMIF(94:94,C29,95:95)+100</f>
        <v>95</v>
      </c>
      <c r="I29" s="537" t="s">
        <v>3149</v>
      </c>
      <c r="J29" s="415">
        <f>SUMIF(94:94,I29,95:95)-SUMIF(94:94,C29,95:95)+100</f>
        <v>110</v>
      </c>
      <c r="K29" s="597"/>
      <c r="L29" s="1249"/>
      <c r="M29" s="1240"/>
      <c r="N29" s="1240"/>
      <c r="O29" s="1240"/>
      <c r="P29" s="3154"/>
      <c r="Q29" s="1894" t="str">
        <f t="shared" si="11"/>
        <v>所在楼层</v>
      </c>
      <c r="R29" s="753" t="s">
        <v>25</v>
      </c>
      <c r="S29" s="754">
        <f t="shared" si="12"/>
        <v>110</v>
      </c>
      <c r="T29" s="753" t="s">
        <v>25</v>
      </c>
      <c r="U29" s="754">
        <f t="shared" si="13"/>
        <v>95</v>
      </c>
      <c r="V29" s="753" t="s">
        <v>25</v>
      </c>
      <c r="W29" s="754">
        <f t="shared" si="14"/>
        <v>110</v>
      </c>
      <c r="X29" s="1895"/>
      <c r="Y29" s="3156"/>
      <c r="Z29" s="1897" t="str">
        <f t="shared" si="15"/>
        <v>所在楼层</v>
      </c>
      <c r="AA29" s="1898">
        <f t="shared" si="3"/>
        <v>0.90909090909090906</v>
      </c>
      <c r="AB29" s="1898">
        <f t="shared" si="4"/>
        <v>1.0526315789473684</v>
      </c>
      <c r="AC29" s="1898">
        <f t="shared" si="5"/>
        <v>0.90909090909090906</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54"/>
      <c r="Q30" s="1894">
        <f t="shared" si="11"/>
        <v>111</v>
      </c>
      <c r="R30" s="753" t="s">
        <v>25</v>
      </c>
      <c r="S30" s="754">
        <f t="shared" si="12"/>
        <v>100</v>
      </c>
      <c r="T30" s="753" t="s">
        <v>25</v>
      </c>
      <c r="U30" s="754">
        <f t="shared" si="13"/>
        <v>100</v>
      </c>
      <c r="V30" s="753" t="s">
        <v>25</v>
      </c>
      <c r="W30" s="754">
        <f t="shared" si="14"/>
        <v>100</v>
      </c>
      <c r="X30" s="1895"/>
      <c r="Y30" s="3156"/>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54"/>
      <c r="Q31" s="1894">
        <f t="shared" si="11"/>
        <v>111</v>
      </c>
      <c r="R31" s="753" t="s">
        <v>25</v>
      </c>
      <c r="S31" s="754">
        <f t="shared" si="12"/>
        <v>100</v>
      </c>
      <c r="T31" s="753" t="s">
        <v>25</v>
      </c>
      <c r="U31" s="754">
        <f t="shared" si="13"/>
        <v>100</v>
      </c>
      <c r="V31" s="753" t="s">
        <v>25</v>
      </c>
      <c r="W31" s="754">
        <f t="shared" si="14"/>
        <v>100</v>
      </c>
      <c r="X31" s="1895"/>
      <c r="Y31" s="3156"/>
      <c r="Z31" s="1897">
        <f t="shared" si="15"/>
        <v>111</v>
      </c>
      <c r="AA31" s="1898">
        <f t="shared" si="3"/>
        <v>1</v>
      </c>
      <c r="AB31" s="1898">
        <f t="shared" si="4"/>
        <v>1</v>
      </c>
      <c r="AC31" s="1898">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3059</v>
      </c>
      <c r="J32" s="448">
        <f>SUMIF(100:100,I32,101:101)-SUMIF(100:100,C32,101:101)+100</f>
        <v>100</v>
      </c>
      <c r="K32" s="596">
        <v>3</v>
      </c>
      <c r="L32" s="1249"/>
      <c r="M32" s="1240"/>
      <c r="N32" s="1240"/>
      <c r="O32" s="1240"/>
      <c r="P32" s="3157" t="s">
        <v>2363</v>
      </c>
      <c r="Q32" s="1894" t="str">
        <f t="shared" si="11"/>
        <v>商业类型</v>
      </c>
      <c r="R32" s="753" t="s">
        <v>25</v>
      </c>
      <c r="S32" s="754">
        <f t="shared" si="12"/>
        <v>100</v>
      </c>
      <c r="T32" s="753" t="s">
        <v>25</v>
      </c>
      <c r="U32" s="754">
        <f t="shared" si="13"/>
        <v>100</v>
      </c>
      <c r="V32" s="753" t="s">
        <v>25</v>
      </c>
      <c r="W32" s="754">
        <f t="shared" si="14"/>
        <v>100</v>
      </c>
      <c r="X32" s="1895"/>
      <c r="Y32" s="3160" t="s">
        <v>2363</v>
      </c>
      <c r="Z32" s="1897" t="str">
        <f t="shared" si="15"/>
        <v>商业类型</v>
      </c>
      <c r="AA32" s="1898">
        <f t="shared" si="3"/>
        <v>1</v>
      </c>
      <c r="AB32" s="1898">
        <f t="shared" si="4"/>
        <v>1</v>
      </c>
      <c r="AC32" s="1898">
        <f t="shared" si="5"/>
        <v>1</v>
      </c>
    </row>
    <row r="33" spans="1:29" s="452" customFormat="1" ht="15">
      <c r="A33" s="449"/>
      <c r="B33" s="402" t="s">
        <v>2364</v>
      </c>
      <c r="C33" s="450">
        <v>410.61</v>
      </c>
      <c r="D33" s="52">
        <v>100</v>
      </c>
      <c r="E33" s="410">
        <f>50*0.56</f>
        <v>28.000000000000004</v>
      </c>
      <c r="F33" s="405">
        <f>LOOKUP(E33,103:103,104:104)-LOOKUP(C33,103:103,104:104)+100</f>
        <v>103</v>
      </c>
      <c r="G33" s="409">
        <f>600*0.56</f>
        <v>336.00000000000006</v>
      </c>
      <c r="H33" s="52">
        <f>LOOKUP(G33,103:103,104:104)-LOOKUP(C33,103:103,104:104)+100</f>
        <v>100</v>
      </c>
      <c r="I33" s="409">
        <f>40*0.56</f>
        <v>22.400000000000002</v>
      </c>
      <c r="J33" s="52">
        <f>LOOKUP(I33,103:103,104:104)-LOOKUP(C33,103:103,104:104)+100</f>
        <v>103</v>
      </c>
      <c r="K33" s="597"/>
      <c r="L33" s="1247"/>
      <c r="M33" s="1250"/>
      <c r="N33" s="1250"/>
      <c r="O33" s="1250"/>
      <c r="P33" s="3158"/>
      <c r="Q33" s="755" t="str">
        <f t="shared" si="11"/>
        <v>项目建筑规模</v>
      </c>
      <c r="R33" s="756" t="s">
        <v>25</v>
      </c>
      <c r="S33" s="757">
        <f t="shared" si="12"/>
        <v>103</v>
      </c>
      <c r="T33" s="756" t="s">
        <v>25</v>
      </c>
      <c r="U33" s="757">
        <f t="shared" si="13"/>
        <v>100</v>
      </c>
      <c r="V33" s="756" t="s">
        <v>25</v>
      </c>
      <c r="W33" s="757">
        <f t="shared" si="14"/>
        <v>103</v>
      </c>
      <c r="X33" s="758"/>
      <c r="Y33" s="3160"/>
      <c r="Z33" s="759" t="str">
        <f t="shared" si="15"/>
        <v>项目建筑规模</v>
      </c>
      <c r="AA33" s="1898">
        <f t="shared" si="3"/>
        <v>0.970873786407767</v>
      </c>
      <c r="AB33" s="1898">
        <f t="shared" si="4"/>
        <v>1</v>
      </c>
      <c r="AC33" s="1898">
        <f t="shared" si="5"/>
        <v>0.970873786407767</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58"/>
      <c r="Q34" s="1894" t="str">
        <f t="shared" si="11"/>
        <v>建筑结构</v>
      </c>
      <c r="R34" s="753" t="s">
        <v>25</v>
      </c>
      <c r="S34" s="754">
        <f t="shared" si="12"/>
        <v>100</v>
      </c>
      <c r="T34" s="753" t="s">
        <v>25</v>
      </c>
      <c r="U34" s="754">
        <f t="shared" si="13"/>
        <v>100</v>
      </c>
      <c r="V34" s="753" t="s">
        <v>25</v>
      </c>
      <c r="W34" s="754">
        <f t="shared" si="14"/>
        <v>100</v>
      </c>
      <c r="X34" s="1895"/>
      <c r="Y34" s="3160"/>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58"/>
      <c r="Q35" s="1894" t="str">
        <f t="shared" si="11"/>
        <v>公共部分装修</v>
      </c>
      <c r="R35" s="753" t="s">
        <v>25</v>
      </c>
      <c r="S35" s="754">
        <f t="shared" si="12"/>
        <v>100</v>
      </c>
      <c r="T35" s="753" t="s">
        <v>25</v>
      </c>
      <c r="U35" s="754">
        <f t="shared" si="13"/>
        <v>100</v>
      </c>
      <c r="V35" s="753" t="s">
        <v>25</v>
      </c>
      <c r="W35" s="754">
        <f t="shared" si="14"/>
        <v>100</v>
      </c>
      <c r="X35" s="1895"/>
      <c r="Y35" s="3160"/>
      <c r="Z35" s="1897" t="str">
        <f t="shared" si="15"/>
        <v>公共部分装修</v>
      </c>
      <c r="AA35" s="1898">
        <f t="shared" si="3"/>
        <v>1</v>
      </c>
      <c r="AB35" s="1898">
        <f t="shared" si="4"/>
        <v>1</v>
      </c>
      <c r="AC35" s="1898">
        <f t="shared" si="5"/>
        <v>1</v>
      </c>
    </row>
    <row r="36" spans="1:29" ht="15" hidden="1">
      <c r="A36" s="453"/>
      <c r="B36" s="402" t="s">
        <v>2450</v>
      </c>
      <c r="C36" s="455">
        <f>'数据-取费表'!E20</f>
        <v>0.82499999999999996</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58"/>
      <c r="Q36" s="1894" t="str">
        <f t="shared" si="11"/>
        <v>成新度</v>
      </c>
      <c r="R36" s="753" t="s">
        <v>25</v>
      </c>
      <c r="S36" s="754">
        <f t="shared" si="12"/>
        <v>100</v>
      </c>
      <c r="T36" s="753" t="s">
        <v>25</v>
      </c>
      <c r="U36" s="754">
        <f t="shared" si="13"/>
        <v>100</v>
      </c>
      <c r="V36" s="753" t="s">
        <v>25</v>
      </c>
      <c r="W36" s="754">
        <f t="shared" si="14"/>
        <v>100</v>
      </c>
      <c r="X36" s="1895"/>
      <c r="Y36" s="3160"/>
      <c r="Z36" s="1897" t="str">
        <f t="shared" si="15"/>
        <v>成新度</v>
      </c>
      <c r="AA36" s="1898">
        <f t="shared" si="3"/>
        <v>1</v>
      </c>
      <c r="AB36" s="1898">
        <f t="shared" si="4"/>
        <v>1</v>
      </c>
      <c r="AC36" s="1898">
        <f t="shared" si="5"/>
        <v>1</v>
      </c>
    </row>
    <row r="37" spans="1:29" s="35" customFormat="1" ht="15">
      <c r="A37" s="454"/>
      <c r="B37" s="402"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58"/>
      <c r="Q37" s="1882" t="str">
        <f t="shared" si="11"/>
        <v>市政基础设施</v>
      </c>
      <c r="R37" s="749" t="s">
        <v>25</v>
      </c>
      <c r="S37" s="750">
        <f t="shared" si="12"/>
        <v>100</v>
      </c>
      <c r="T37" s="749" t="s">
        <v>25</v>
      </c>
      <c r="U37" s="750">
        <f t="shared" si="13"/>
        <v>100</v>
      </c>
      <c r="V37" s="749" t="s">
        <v>25</v>
      </c>
      <c r="W37" s="750">
        <f t="shared" si="14"/>
        <v>100</v>
      </c>
      <c r="X37" s="751"/>
      <c r="Y37" s="3160"/>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58" t="s">
        <v>2363</v>
      </c>
      <c r="Q38" s="1894" t="str">
        <f t="shared" si="11"/>
        <v>业态</v>
      </c>
      <c r="R38" s="753" t="s">
        <v>25</v>
      </c>
      <c r="S38" s="754">
        <f t="shared" si="12"/>
        <v>100</v>
      </c>
      <c r="T38" s="753" t="s">
        <v>25</v>
      </c>
      <c r="U38" s="754">
        <f t="shared" si="13"/>
        <v>100</v>
      </c>
      <c r="V38" s="753" t="s">
        <v>25</v>
      </c>
      <c r="W38" s="754">
        <f t="shared" si="14"/>
        <v>100</v>
      </c>
      <c r="X38" s="1895"/>
      <c r="Y38" s="3160"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58"/>
      <c r="Q39" s="1894" t="str">
        <f t="shared" si="11"/>
        <v>层高</v>
      </c>
      <c r="R39" s="753" t="s">
        <v>25</v>
      </c>
      <c r="S39" s="754">
        <f t="shared" si="12"/>
        <v>100</v>
      </c>
      <c r="T39" s="753" t="s">
        <v>25</v>
      </c>
      <c r="U39" s="754">
        <f t="shared" si="13"/>
        <v>100</v>
      </c>
      <c r="V39" s="753" t="s">
        <v>25</v>
      </c>
      <c r="W39" s="754">
        <f t="shared" si="14"/>
        <v>100</v>
      </c>
      <c r="X39" s="1895"/>
      <c r="Y39" s="3160"/>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8"/>
      <c r="Q40" s="1894" t="str">
        <f t="shared" si="11"/>
        <v>单套建筑面积</v>
      </c>
      <c r="R40" s="753" t="s">
        <v>25</v>
      </c>
      <c r="S40" s="754">
        <f t="shared" si="12"/>
        <v>100</v>
      </c>
      <c r="T40" s="753" t="s">
        <v>25</v>
      </c>
      <c r="U40" s="754">
        <f t="shared" si="13"/>
        <v>100</v>
      </c>
      <c r="V40" s="753" t="s">
        <v>25</v>
      </c>
      <c r="W40" s="754">
        <f t="shared" si="14"/>
        <v>100</v>
      </c>
      <c r="X40" s="1895"/>
      <c r="Y40" s="3160"/>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8"/>
      <c r="Q41" s="755" t="str">
        <f t="shared" si="11"/>
        <v>进深比</v>
      </c>
      <c r="R41" s="756" t="s">
        <v>25</v>
      </c>
      <c r="S41" s="757">
        <f t="shared" si="12"/>
        <v>100</v>
      </c>
      <c r="T41" s="756" t="s">
        <v>25</v>
      </c>
      <c r="U41" s="757">
        <f t="shared" si="13"/>
        <v>100</v>
      </c>
      <c r="V41" s="756" t="s">
        <v>25</v>
      </c>
      <c r="W41" s="757">
        <f t="shared" si="14"/>
        <v>100</v>
      </c>
      <c r="X41" s="758"/>
      <c r="Y41" s="3160"/>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2851</v>
      </c>
      <c r="H42" s="415">
        <f>SUMIF(122:122,G42,123:123)-SUMIF(122:122,C42,123:123)+100</f>
        <v>100</v>
      </c>
      <c r="I42" s="2406" t="s">
        <v>2851</v>
      </c>
      <c r="J42" s="415">
        <f>SUMIF(122:122,I42,123:123)-SUMIF(122:122,C42,123:123)+100</f>
        <v>100</v>
      </c>
      <c r="K42" s="2883">
        <v>5</v>
      </c>
      <c r="L42" s="1249"/>
      <c r="M42" s="1240"/>
      <c r="N42" s="1240"/>
      <c r="O42" s="1240"/>
      <c r="P42" s="3158"/>
      <c r="Q42" s="1894" t="str">
        <f t="shared" si="11"/>
        <v>内部装修</v>
      </c>
      <c r="R42" s="753" t="s">
        <v>25</v>
      </c>
      <c r="S42" s="754">
        <f t="shared" si="12"/>
        <v>95</v>
      </c>
      <c r="T42" s="753" t="s">
        <v>25</v>
      </c>
      <c r="U42" s="754">
        <f t="shared" si="13"/>
        <v>100</v>
      </c>
      <c r="V42" s="753" t="s">
        <v>25</v>
      </c>
      <c r="W42" s="754">
        <f t="shared" si="14"/>
        <v>100</v>
      </c>
      <c r="X42" s="1895"/>
      <c r="Y42" s="3160"/>
      <c r="Z42" s="1897" t="str">
        <f t="shared" si="15"/>
        <v>内部装修</v>
      </c>
      <c r="AA42" s="1898">
        <f t="shared" si="3"/>
        <v>1.0526315789473684</v>
      </c>
      <c r="AB42" s="1898">
        <f t="shared" si="4"/>
        <v>1</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58"/>
      <c r="Q43" s="1894" t="str">
        <f t="shared" si="11"/>
        <v>内部装修维护情况</v>
      </c>
      <c r="R43" s="753" t="s">
        <v>25</v>
      </c>
      <c r="S43" s="754">
        <f t="shared" si="12"/>
        <v>100</v>
      </c>
      <c r="T43" s="753" t="s">
        <v>25</v>
      </c>
      <c r="U43" s="754">
        <f t="shared" si="13"/>
        <v>100</v>
      </c>
      <c r="V43" s="753" t="s">
        <v>25</v>
      </c>
      <c r="W43" s="754">
        <f t="shared" si="14"/>
        <v>100</v>
      </c>
      <c r="X43" s="1895"/>
      <c r="Y43" s="3160"/>
      <c r="Z43" s="1897" t="str">
        <f t="shared" si="15"/>
        <v>内部装修维护情况</v>
      </c>
      <c r="AA43" s="1898">
        <f t="shared" si="3"/>
        <v>1</v>
      </c>
      <c r="AB43" s="1898">
        <f t="shared" si="4"/>
        <v>1</v>
      </c>
      <c r="AC43" s="1898">
        <f t="shared" si="5"/>
        <v>1</v>
      </c>
    </row>
    <row r="44" spans="1:29" s="35" customFormat="1" ht="15">
      <c r="A44" s="454"/>
      <c r="B44" s="2845" t="s">
        <v>3067</v>
      </c>
      <c r="C44" s="2846" t="s">
        <v>3116</v>
      </c>
      <c r="D44" s="52">
        <v>100</v>
      </c>
      <c r="E44" s="2877" t="s">
        <v>3117</v>
      </c>
      <c r="F44" s="405">
        <f>SUMIF(126:126,E44,127:127)-SUMIF(126:126,C44,127:127)+100</f>
        <v>101</v>
      </c>
      <c r="G44" s="2877" t="s">
        <v>3117</v>
      </c>
      <c r="H44" s="52">
        <f>SUMIF(126:126,G44,127:127)-SUMIF(126:126,C44,127:127)+100</f>
        <v>101</v>
      </c>
      <c r="I44" s="2877" t="s">
        <v>3150</v>
      </c>
      <c r="J44" s="52">
        <f>SUMIF(126:126,I44,127:127)-SUMIF(126:126,C44,127:127)+100</f>
        <v>101</v>
      </c>
      <c r="K44" s="597"/>
      <c r="L44" s="1241"/>
      <c r="M44" s="1242"/>
      <c r="N44" s="1242"/>
      <c r="O44" s="1242"/>
      <c r="P44" s="3158"/>
      <c r="Q44" s="1882" t="str">
        <f t="shared" si="11"/>
        <v>是否可做餐饮</v>
      </c>
      <c r="R44" s="749" t="s">
        <v>25</v>
      </c>
      <c r="S44" s="750">
        <f t="shared" si="12"/>
        <v>101</v>
      </c>
      <c r="T44" s="749" t="s">
        <v>25</v>
      </c>
      <c r="U44" s="750">
        <f t="shared" si="13"/>
        <v>101</v>
      </c>
      <c r="V44" s="749" t="s">
        <v>25</v>
      </c>
      <c r="W44" s="750">
        <f t="shared" si="14"/>
        <v>101</v>
      </c>
      <c r="X44" s="751"/>
      <c r="Y44" s="3160"/>
      <c r="Z44" s="23" t="str">
        <f t="shared" si="15"/>
        <v>是否可做餐饮</v>
      </c>
      <c r="AA44" s="752">
        <f t="shared" si="3"/>
        <v>0.99009900990099009</v>
      </c>
      <c r="AB44" s="752">
        <f t="shared" si="4"/>
        <v>0.99009900990099009</v>
      </c>
      <c r="AC44" s="752">
        <f t="shared" si="5"/>
        <v>0.99009900990099009</v>
      </c>
    </row>
    <row r="45" spans="1:29" ht="15.75" thickBot="1">
      <c r="A45" s="453"/>
      <c r="B45" s="2845" t="s">
        <v>3115</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58"/>
      <c r="Q45" s="1894" t="str">
        <f t="shared" si="11"/>
        <v>建成年代</v>
      </c>
      <c r="R45" s="753" t="s">
        <v>25</v>
      </c>
      <c r="S45" s="754">
        <f t="shared" si="12"/>
        <v>100</v>
      </c>
      <c r="T45" s="753" t="s">
        <v>25</v>
      </c>
      <c r="U45" s="754">
        <f t="shared" si="13"/>
        <v>100</v>
      </c>
      <c r="V45" s="753" t="s">
        <v>25</v>
      </c>
      <c r="W45" s="754">
        <f t="shared" si="14"/>
        <v>100</v>
      </c>
      <c r="X45" s="1895"/>
      <c r="Y45" s="3160"/>
      <c r="Z45" s="1897" t="str">
        <f t="shared" si="15"/>
        <v>建成年代</v>
      </c>
      <c r="AA45" s="1898">
        <f t="shared" si="3"/>
        <v>1</v>
      </c>
      <c r="AB45" s="1898">
        <f t="shared" si="4"/>
        <v>1</v>
      </c>
      <c r="AC45" s="1898">
        <f t="shared" si="5"/>
        <v>1</v>
      </c>
    </row>
    <row r="46" spans="1:29" ht="16.5" thickTop="1" thickBot="1">
      <c r="A46" s="459"/>
      <c r="B46" s="2878" t="s">
        <v>3118</v>
      </c>
      <c r="C46" s="2843" t="s">
        <v>3119</v>
      </c>
      <c r="D46" s="417">
        <v>100</v>
      </c>
      <c r="E46" s="537" t="s">
        <v>3120</v>
      </c>
      <c r="F46" s="418">
        <f>SUMIF(130:130,E46,131:131)-SUMIF(130:130,C46,131:131)+100</f>
        <v>90</v>
      </c>
      <c r="G46" s="2843" t="s">
        <v>3119</v>
      </c>
      <c r="H46" s="417">
        <f>SUMIF(130:130,G46,131:131)-SUMIF(130:130,C46,131:131)+100</f>
        <v>100</v>
      </c>
      <c r="I46" s="537" t="s">
        <v>3120</v>
      </c>
      <c r="J46" s="417">
        <f>SUMIF(130:130,I46,131:131)-SUMIF(130:130,C46,131:131)+100</f>
        <v>90</v>
      </c>
      <c r="K46" s="597"/>
      <c r="L46" s="1249"/>
      <c r="M46" s="1240"/>
      <c r="N46" s="1240"/>
      <c r="O46" s="1240"/>
      <c r="P46" s="3159"/>
      <c r="Q46" s="1894" t="str">
        <f t="shared" si="11"/>
        <v>展示面宽</v>
      </c>
      <c r="R46" s="753" t="s">
        <v>25</v>
      </c>
      <c r="S46" s="754">
        <f t="shared" si="12"/>
        <v>90</v>
      </c>
      <c r="T46" s="753" t="s">
        <v>25</v>
      </c>
      <c r="U46" s="754">
        <f t="shared" si="13"/>
        <v>100</v>
      </c>
      <c r="V46" s="753" t="s">
        <v>25</v>
      </c>
      <c r="W46" s="754">
        <f t="shared" si="14"/>
        <v>90</v>
      </c>
      <c r="X46" s="1895"/>
      <c r="Y46" s="3161"/>
      <c r="Z46" s="1897" t="str">
        <f t="shared" si="15"/>
        <v>展示面宽</v>
      </c>
      <c r="AA46" s="1898">
        <f t="shared" si="3"/>
        <v>1.1111111111111112</v>
      </c>
      <c r="AB46" s="1898">
        <f t="shared" si="4"/>
        <v>1</v>
      </c>
      <c r="AC46" s="1898">
        <f t="shared" si="5"/>
        <v>1.1111111111111112</v>
      </c>
    </row>
    <row r="47" spans="1:29" ht="15">
      <c r="A47" s="460" t="s">
        <v>2375</v>
      </c>
      <c r="B47" s="461"/>
      <c r="C47" s="1498" t="s">
        <v>1</v>
      </c>
      <c r="D47" s="1499"/>
      <c r="E47" s="1500">
        <v>53.6</v>
      </c>
      <c r="F47" s="1501"/>
      <c r="G47" s="1502">
        <v>53.6</v>
      </c>
      <c r="H47" s="1503"/>
      <c r="I47" s="1500">
        <v>59.5</v>
      </c>
      <c r="J47" s="1503"/>
      <c r="K47" s="762"/>
      <c r="L47" s="1252"/>
      <c r="M47" s="1253"/>
      <c r="N47" s="1240"/>
      <c r="O47" s="1253"/>
      <c r="P47" s="3152" t="str">
        <f>A47</f>
        <v>成交单价（元/平方米）</v>
      </c>
      <c r="Q47" s="3152"/>
      <c r="R47" s="3148">
        <f>E47</f>
        <v>53.6</v>
      </c>
      <c r="S47" s="3148"/>
      <c r="T47" s="3148">
        <f>G47</f>
        <v>53.6</v>
      </c>
      <c r="U47" s="3148"/>
      <c r="V47" s="3148">
        <f>I47</f>
        <v>59.5</v>
      </c>
      <c r="W47" s="3148"/>
      <c r="X47" s="738"/>
      <c r="Y47" s="760"/>
      <c r="Z47" s="738"/>
      <c r="AA47" s="738"/>
      <c r="AB47" s="738"/>
      <c r="AC47" s="738"/>
    </row>
    <row r="48" spans="1:29" ht="15.75" thickBot="1">
      <c r="A48" s="467" t="s">
        <v>2457</v>
      </c>
      <c r="B48" s="468"/>
      <c r="C48" s="1504">
        <f>R49</f>
        <v>57.2</v>
      </c>
      <c r="D48" s="1505"/>
      <c r="E48" s="1506">
        <f>R48</f>
        <v>54.8</v>
      </c>
      <c r="F48" s="1506"/>
      <c r="G48" s="1504">
        <f>T48</f>
        <v>55.9</v>
      </c>
      <c r="H48" s="1505"/>
      <c r="I48" s="1506">
        <f>V48</f>
        <v>60.8</v>
      </c>
      <c r="J48" s="1505"/>
      <c r="K48" s="763"/>
      <c r="L48" s="1252"/>
      <c r="M48" s="1253"/>
      <c r="N48" s="1240"/>
      <c r="O48" s="1253"/>
      <c r="P48" s="3152" t="str">
        <f>A48</f>
        <v>比较价值（元/平方米）</v>
      </c>
      <c r="Q48" s="3152"/>
      <c r="R48" s="3148">
        <f>IF(E1="售价",ROUND(PRODUCT(R47,AA7:AA46),0),ROUND(PRODUCT(R47,AA7:AA46),1))</f>
        <v>54.8</v>
      </c>
      <c r="S48" s="3148"/>
      <c r="T48" s="3148">
        <f>IF(E1="售价",ROUND(PRODUCT(T47,AB7:AB46),0),ROUND(PRODUCT(T47,AB7:AB46),1))</f>
        <v>55.9</v>
      </c>
      <c r="U48" s="3148"/>
      <c r="V48" s="3148">
        <f>IF(E1="售价",ROUND(PRODUCT(V47,AC7:AC46),0),ROUND(PRODUCT(V47,AC7:AC46),1))</f>
        <v>60.8</v>
      </c>
      <c r="W48" s="3148"/>
      <c r="X48" s="738"/>
      <c r="Y48" s="738"/>
      <c r="Z48" s="738"/>
      <c r="AA48" s="738"/>
      <c r="AB48" s="738"/>
      <c r="AC48" s="738"/>
    </row>
    <row r="49" spans="1:29" ht="15.75" thickBot="1">
      <c r="A49" s="473" t="s">
        <v>3088</v>
      </c>
      <c r="B49" s="474"/>
      <c r="C49" s="1508">
        <f>R49</f>
        <v>57.2</v>
      </c>
      <c r="D49" s="1508"/>
      <c r="E49" s="1508"/>
      <c r="F49" s="1508"/>
      <c r="G49" s="1508"/>
      <c r="H49" s="1508"/>
      <c r="I49" s="1508"/>
      <c r="J49" s="1508"/>
      <c r="K49" s="764"/>
      <c r="L49" s="1252"/>
      <c r="M49" s="1253"/>
      <c r="N49" s="1240"/>
      <c r="O49" s="1253"/>
      <c r="P49" s="3149" t="str">
        <f>A49</f>
        <v>估价对象商业用房的比较价值（楼面单价，元/平方米）</v>
      </c>
      <c r="Q49" s="3150"/>
      <c r="R49" s="3151">
        <f>IF(E1="售价",ROUND(AVERAGE(R48:V48),0),ROUND(AVERAGE(R48:V48),1))</f>
        <v>57.2</v>
      </c>
      <c r="S49" s="3151"/>
      <c r="T49" s="3151"/>
      <c r="U49" s="3151"/>
      <c r="V49" s="3151"/>
      <c r="W49" s="315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2.2388059701492491E-2</v>
      </c>
      <c r="F52" s="481" t="str">
        <f>IF(OR(E52&gt;=0.3,E52&lt;=-0.3),"超过30%","")</f>
        <v/>
      </c>
      <c r="G52" s="480">
        <f>IF(G47&lt;G48,G48/G47-1,G47/G48-1)</f>
        <v>4.2910447761193904E-2</v>
      </c>
      <c r="H52" s="481" t="str">
        <f>IF(OR(G52&gt;=0.3,G52&lt;=-0.3),"超过30%","")</f>
        <v/>
      </c>
      <c r="I52" s="480">
        <f>IF(I47&lt;I48,I48/I47-1,I47/I48-1)</f>
        <v>2.1848739495798242E-2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2.007299270072993E-2</v>
      </c>
      <c r="F53" s="481" t="str">
        <f>IF(OR(E53&gt;=0.2,E53&lt;=-0.2),"超过20%","")</f>
        <v/>
      </c>
      <c r="G53" s="480">
        <f>IF(G48&lt;I48,I48/G48-1,G48/I48-1)</f>
        <v>8.7656529516994652E-2</v>
      </c>
      <c r="H53" s="481" t="str">
        <f>IF(OR(G53&gt;=0.2,G53&lt;=-0.2),"超过20%","")</f>
        <v/>
      </c>
      <c r="I53" s="480">
        <f>IF(I48&lt;E48,E48/I48-1,I48/E48-1)</f>
        <v>0.10948905109489049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0</v>
      </c>
      <c r="F54" s="481" t="str">
        <f>IF(OR(E54&gt;=0.3,E54&lt;=-0.3),"超过30%","")</f>
        <v/>
      </c>
      <c r="G54" s="480">
        <f>IF(G47&lt;I47,I47/G47-1,G47/I47-1)</f>
        <v>0.1100746268656716</v>
      </c>
      <c r="H54" s="481" t="str">
        <f>IF(OR(G54&gt;=0.3,G54&lt;=-0.3),"超过30%","")</f>
        <v/>
      </c>
      <c r="I54" s="480">
        <f>IF(I47&lt;E47,E47/I47-1,I47/E47-1)</f>
        <v>0.1100746268656716</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8.5" thickTop="1">
      <c r="A88" s="563"/>
      <c r="B88" s="521" t="str">
        <f>B26</f>
        <v>道路级别</v>
      </c>
      <c r="C88" s="2843" t="s">
        <v>3146</v>
      </c>
      <c r="D88" s="537" t="s">
        <v>3147</v>
      </c>
      <c r="E88" s="2843" t="s">
        <v>3167</v>
      </c>
      <c r="F88" s="2882" t="s">
        <v>3168</v>
      </c>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v>95</v>
      </c>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3111</v>
      </c>
      <c r="D94" s="537"/>
      <c r="E94" s="537" t="s">
        <v>3148</v>
      </c>
      <c r="F94" s="537" t="s">
        <v>3149</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3161</v>
      </c>
      <c r="E100" s="2844" t="s">
        <v>3160</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v>900</v>
      </c>
      <c r="G103" s="579"/>
      <c r="H103" s="579"/>
      <c r="I103" s="579"/>
      <c r="J103" s="580"/>
      <c r="K103" s="580"/>
      <c r="L103" s="581"/>
      <c r="M103" s="582"/>
      <c r="N103" s="1265"/>
      <c r="O103" s="1265"/>
      <c r="P103" s="2422"/>
      <c r="Q103" s="543"/>
    </row>
    <row r="104" spans="1:17" s="452" customFormat="1" ht="15.75" thickBot="1">
      <c r="A104" s="536"/>
      <c r="B104" s="526"/>
      <c r="C104" s="544">
        <v>100</v>
      </c>
      <c r="D104" s="518">
        <v>97</v>
      </c>
      <c r="E104" s="518">
        <v>94</v>
      </c>
      <c r="F104" s="518">
        <v>91</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3113</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3114</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3116</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537" t="s">
        <v>3120</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732.42</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202" t="s">
        <v>2338</v>
      </c>
      <c r="Q4" s="3184"/>
      <c r="R4" s="3168" t="s">
        <v>2334</v>
      </c>
      <c r="S4" s="3169"/>
      <c r="T4" s="3168" t="s">
        <v>2335</v>
      </c>
      <c r="U4" s="3169"/>
      <c r="V4" s="3189" t="s">
        <v>2336</v>
      </c>
      <c r="W4" s="3189"/>
      <c r="X4" s="1895"/>
      <c r="Y4" s="3168" t="s">
        <v>2338</v>
      </c>
      <c r="Z4" s="3169"/>
      <c r="AA4" s="3176" t="s">
        <v>2334</v>
      </c>
      <c r="AB4" s="3176" t="s">
        <v>2335</v>
      </c>
      <c r="AC4" s="3176" t="s">
        <v>2336</v>
      </c>
    </row>
    <row r="5" spans="1:29" ht="15">
      <c r="A5" s="383"/>
      <c r="B5" s="384"/>
      <c r="C5" s="3164" t="s">
        <v>2339</v>
      </c>
      <c r="D5" s="3165"/>
      <c r="E5" s="3190" t="s">
        <v>2340</v>
      </c>
      <c r="F5" s="3191"/>
      <c r="G5" s="3164" t="s">
        <v>2341</v>
      </c>
      <c r="H5" s="3165"/>
      <c r="I5" s="3164" t="s">
        <v>2342</v>
      </c>
      <c r="J5" s="3165"/>
      <c r="K5" s="594"/>
      <c r="L5" s="1239"/>
      <c r="M5" s="1240"/>
      <c r="N5" s="1240"/>
      <c r="O5" s="1240"/>
      <c r="P5" s="3203"/>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594" t="s">
        <v>2344</v>
      </c>
      <c r="L6" s="1239"/>
      <c r="M6" s="1240"/>
      <c r="N6" s="1240"/>
      <c r="O6" s="1240"/>
      <c r="P6" s="3204"/>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74" t="s">
        <v>2346</v>
      </c>
      <c r="Q7" s="3174"/>
      <c r="R7" s="749" t="s">
        <v>25</v>
      </c>
      <c r="S7" s="750">
        <f t="shared" ref="S7:S15" si="0">F7</f>
        <v>0</v>
      </c>
      <c r="T7" s="749" t="s">
        <v>25</v>
      </c>
      <c r="U7" s="750">
        <f t="shared" ref="U7:U15" si="1">H7</f>
        <v>0</v>
      </c>
      <c r="V7" s="749" t="s">
        <v>25</v>
      </c>
      <c r="W7" s="750">
        <f t="shared" ref="W7:W15" si="2">J7</f>
        <v>0</v>
      </c>
      <c r="X7" s="751"/>
      <c r="Y7" s="3166" t="s">
        <v>2346</v>
      </c>
      <c r="Z7" s="3167"/>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74" t="s">
        <v>2349</v>
      </c>
      <c r="Q8" s="3167"/>
      <c r="R8" s="749" t="s">
        <v>25</v>
      </c>
      <c r="S8" s="750">
        <f t="shared" si="0"/>
        <v>0</v>
      </c>
      <c r="T8" s="749" t="s">
        <v>25</v>
      </c>
      <c r="U8" s="750">
        <f t="shared" si="1"/>
        <v>0</v>
      </c>
      <c r="V8" s="749" t="s">
        <v>25</v>
      </c>
      <c r="W8" s="750">
        <f t="shared" si="2"/>
        <v>0</v>
      </c>
      <c r="X8" s="751"/>
      <c r="Y8" s="3166" t="s">
        <v>2349</v>
      </c>
      <c r="Z8" s="3167"/>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50"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50"/>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50"/>
      <c r="Q11" s="1882"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50"/>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50"/>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50"/>
      <c r="Q14" s="1882">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84" t="s">
        <v>2357</v>
      </c>
      <c r="Q15" s="1894" t="str">
        <f t="shared" si="6"/>
        <v>办公集聚程度</v>
      </c>
      <c r="R15" s="753" t="s">
        <v>25</v>
      </c>
      <c r="S15" s="754">
        <f t="shared" si="0"/>
        <v>100</v>
      </c>
      <c r="T15" s="753" t="s">
        <v>25</v>
      </c>
      <c r="U15" s="754">
        <f t="shared" si="1"/>
        <v>100</v>
      </c>
      <c r="V15" s="753" t="s">
        <v>25</v>
      </c>
      <c r="W15" s="754">
        <f t="shared" si="2"/>
        <v>100</v>
      </c>
      <c r="X15" s="1895"/>
      <c r="Y15" s="3155"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86"/>
      <c r="Q16" s="1894"/>
      <c r="R16" s="753"/>
      <c r="S16" s="754"/>
      <c r="T16" s="753"/>
      <c r="U16" s="754"/>
      <c r="V16" s="753"/>
      <c r="W16" s="754"/>
      <c r="X16" s="1895"/>
      <c r="Y16" s="3156"/>
      <c r="Z16" s="1897"/>
      <c r="AA16" s="1898">
        <v>1</v>
      </c>
      <c r="AB16" s="1898">
        <v>1</v>
      </c>
      <c r="AC16" s="1898">
        <v>1</v>
      </c>
    </row>
    <row r="17" spans="1:29" ht="128.25">
      <c r="A17" s="408"/>
      <c r="B17" s="615" t="s">
        <v>1743</v>
      </c>
      <c r="C17" s="2463" t="str">
        <f>估价对象房地状况!C6</f>
        <v>估价对象周边公共交通包括：54路、58路、382路等公交线路，1公里以内有地铁1号线和14号线换乘站大望路地铁站。综合评价交通便捷度好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86"/>
      <c r="Q17" s="1894" t="str">
        <f>B17</f>
        <v>交通便捷度</v>
      </c>
      <c r="R17" s="753" t="s">
        <v>25</v>
      </c>
      <c r="S17" s="754">
        <f>F17</f>
        <v>100</v>
      </c>
      <c r="T17" s="753" t="s">
        <v>25</v>
      </c>
      <c r="U17" s="754">
        <f>H17</f>
        <v>100</v>
      </c>
      <c r="V17" s="753" t="s">
        <v>25</v>
      </c>
      <c r="W17" s="754">
        <f>J17</f>
        <v>100</v>
      </c>
      <c r="X17" s="1895"/>
      <c r="Y17" s="3156"/>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86"/>
      <c r="Q18" s="1894"/>
      <c r="R18" s="753"/>
      <c r="S18" s="754"/>
      <c r="T18" s="753"/>
      <c r="U18" s="754"/>
      <c r="V18" s="753"/>
      <c r="W18" s="754"/>
      <c r="X18" s="1895"/>
      <c r="Y18" s="3156"/>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86"/>
      <c r="Q19" s="1894" t="str">
        <f>B19</f>
        <v>公共配套设施</v>
      </c>
      <c r="R19" s="753" t="s">
        <v>25</v>
      </c>
      <c r="S19" s="754">
        <f>F19</f>
        <v>100</v>
      </c>
      <c r="T19" s="753" t="s">
        <v>25</v>
      </c>
      <c r="U19" s="754">
        <f>H19</f>
        <v>100</v>
      </c>
      <c r="V19" s="753" t="s">
        <v>25</v>
      </c>
      <c r="W19" s="754">
        <f>J19</f>
        <v>100</v>
      </c>
      <c r="X19" s="1895"/>
      <c r="Y19" s="3156"/>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86"/>
      <c r="Q20" s="1894"/>
      <c r="R20" s="753"/>
      <c r="S20" s="754"/>
      <c r="T20" s="753"/>
      <c r="U20" s="754"/>
      <c r="V20" s="753"/>
      <c r="W20" s="754"/>
      <c r="X20" s="1895"/>
      <c r="Y20" s="3156"/>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86"/>
      <c r="Q21" s="1894" t="str">
        <f>B21</f>
        <v>基础设施水平</v>
      </c>
      <c r="R21" s="753" t="s">
        <v>25</v>
      </c>
      <c r="S21" s="754">
        <f>F21</f>
        <v>100</v>
      </c>
      <c r="T21" s="753" t="s">
        <v>25</v>
      </c>
      <c r="U21" s="754">
        <f>H21</f>
        <v>100</v>
      </c>
      <c r="V21" s="753" t="s">
        <v>25</v>
      </c>
      <c r="W21" s="754">
        <f>J21</f>
        <v>100</v>
      </c>
      <c r="X21" s="1895"/>
      <c r="Y21" s="3156"/>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86"/>
      <c r="Q22" s="1894"/>
      <c r="R22" s="753"/>
      <c r="S22" s="754"/>
      <c r="T22" s="753"/>
      <c r="U22" s="754"/>
      <c r="V22" s="753"/>
      <c r="W22" s="754"/>
      <c r="X22" s="1895"/>
      <c r="Y22" s="3156"/>
      <c r="Z22" s="1897"/>
      <c r="AA22" s="1898">
        <v>1</v>
      </c>
      <c r="AB22" s="1898">
        <v>1</v>
      </c>
      <c r="AC22" s="1898">
        <v>1</v>
      </c>
    </row>
    <row r="23" spans="1:29" ht="114">
      <c r="A23" s="408"/>
      <c r="B23" s="615" t="s">
        <v>2472</v>
      </c>
      <c r="C23" s="2463" t="str">
        <f>估价对象房地状况!C9</f>
        <v>区域自然环境：庆丰公园、惠水湾森林公园；人文环境：首都经济贸易大学（红庙校区）、中央电视台；综合评价环境状况好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86"/>
      <c r="Q23" s="1894" t="str">
        <f>B23</f>
        <v>环境质量</v>
      </c>
      <c r="R23" s="753" t="s">
        <v>25</v>
      </c>
      <c r="S23" s="754">
        <f>F23</f>
        <v>100</v>
      </c>
      <c r="T23" s="753" t="s">
        <v>25</v>
      </c>
      <c r="U23" s="754">
        <f>H23</f>
        <v>100</v>
      </c>
      <c r="V23" s="753" t="s">
        <v>25</v>
      </c>
      <c r="W23" s="754">
        <f>J23</f>
        <v>100</v>
      </c>
      <c r="X23" s="1895"/>
      <c r="Y23" s="3156"/>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86"/>
      <c r="Q24" s="1894"/>
      <c r="R24" s="753"/>
      <c r="S24" s="754"/>
      <c r="T24" s="753"/>
      <c r="U24" s="754"/>
      <c r="V24" s="753"/>
      <c r="W24" s="754"/>
      <c r="X24" s="1895"/>
      <c r="Y24" s="3156"/>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86"/>
      <c r="Q25" s="1894" t="str">
        <f>B25</f>
        <v>毗邻道路的类型与等级</v>
      </c>
      <c r="R25" s="753" t="s">
        <v>25</v>
      </c>
      <c r="S25" s="754">
        <f>F25</f>
        <v>100</v>
      </c>
      <c r="T25" s="753" t="s">
        <v>25</v>
      </c>
      <c r="U25" s="754">
        <f>H25</f>
        <v>100</v>
      </c>
      <c r="V25" s="753" t="s">
        <v>25</v>
      </c>
      <c r="W25" s="754">
        <f>J25</f>
        <v>100</v>
      </c>
      <c r="X25" s="1895"/>
      <c r="Y25" s="315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86"/>
      <c r="Q26" s="1894"/>
      <c r="R26" s="753"/>
      <c r="S26" s="754"/>
      <c r="T26" s="753"/>
      <c r="U26" s="754"/>
      <c r="V26" s="753"/>
      <c r="W26" s="754"/>
      <c r="X26" s="1895"/>
      <c r="Y26" s="3156"/>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86"/>
      <c r="Q27" s="1894" t="str">
        <f t="shared" ref="Q27:Q47" si="11">B27</f>
        <v>楼层</v>
      </c>
      <c r="R27" s="753" t="s">
        <v>25</v>
      </c>
      <c r="S27" s="754">
        <f>F27</f>
        <v>100</v>
      </c>
      <c r="T27" s="753" t="s">
        <v>25</v>
      </c>
      <c r="U27" s="754">
        <f>H27</f>
        <v>100</v>
      </c>
      <c r="V27" s="753" t="s">
        <v>25</v>
      </c>
      <c r="W27" s="754">
        <f>J27</f>
        <v>100</v>
      </c>
      <c r="X27" s="1895"/>
      <c r="Y27" s="3156"/>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86"/>
      <c r="Q28" s="1882" t="str">
        <f t="shared" si="11"/>
        <v>朝向</v>
      </c>
      <c r="R28" s="749" t="s">
        <v>25</v>
      </c>
      <c r="S28" s="750">
        <f>F28</f>
        <v>100</v>
      </c>
      <c r="T28" s="749" t="s">
        <v>25</v>
      </c>
      <c r="U28" s="750">
        <f>H28</f>
        <v>100</v>
      </c>
      <c r="V28" s="749" t="s">
        <v>25</v>
      </c>
      <c r="W28" s="750">
        <f>J28</f>
        <v>100</v>
      </c>
      <c r="X28" s="751"/>
      <c r="Y28" s="3156"/>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86"/>
      <c r="Q29" s="1894">
        <f t="shared" si="11"/>
        <v>111</v>
      </c>
      <c r="R29" s="753" t="s">
        <v>25</v>
      </c>
      <c r="S29" s="754">
        <f t="shared" ref="S29:S47" si="12">F29</f>
        <v>100</v>
      </c>
      <c r="T29" s="753" t="s">
        <v>25</v>
      </c>
      <c r="U29" s="754">
        <f t="shared" ref="U29:U47" si="13">H29</f>
        <v>100</v>
      </c>
      <c r="V29" s="753" t="s">
        <v>25</v>
      </c>
      <c r="W29" s="754">
        <f t="shared" ref="W29:W47" si="14">J29</f>
        <v>100</v>
      </c>
      <c r="X29" s="1895"/>
      <c r="Y29" s="3156"/>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86"/>
      <c r="Q30" s="1894">
        <f t="shared" si="11"/>
        <v>111</v>
      </c>
      <c r="R30" s="753" t="s">
        <v>25</v>
      </c>
      <c r="S30" s="754">
        <f t="shared" si="12"/>
        <v>100</v>
      </c>
      <c r="T30" s="753" t="s">
        <v>25</v>
      </c>
      <c r="U30" s="754">
        <f t="shared" si="13"/>
        <v>100</v>
      </c>
      <c r="V30" s="753" t="s">
        <v>25</v>
      </c>
      <c r="W30" s="754">
        <f t="shared" si="14"/>
        <v>100</v>
      </c>
      <c r="X30" s="1895"/>
      <c r="Y30" s="3156"/>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86"/>
      <c r="Q31" s="1894">
        <f t="shared" si="11"/>
        <v>111</v>
      </c>
      <c r="R31" s="753" t="s">
        <v>25</v>
      </c>
      <c r="S31" s="754">
        <f t="shared" si="12"/>
        <v>100</v>
      </c>
      <c r="T31" s="753" t="s">
        <v>25</v>
      </c>
      <c r="U31" s="754">
        <f t="shared" si="13"/>
        <v>100</v>
      </c>
      <c r="V31" s="753" t="s">
        <v>25</v>
      </c>
      <c r="W31" s="754">
        <f t="shared" si="14"/>
        <v>100</v>
      </c>
      <c r="X31" s="1895"/>
      <c r="Y31" s="315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86"/>
      <c r="Q32" s="1894">
        <f t="shared" si="11"/>
        <v>111</v>
      </c>
      <c r="R32" s="753" t="s">
        <v>25</v>
      </c>
      <c r="S32" s="754">
        <f t="shared" si="12"/>
        <v>100</v>
      </c>
      <c r="T32" s="753" t="s">
        <v>25</v>
      </c>
      <c r="U32" s="754">
        <f t="shared" si="13"/>
        <v>100</v>
      </c>
      <c r="V32" s="753" t="s">
        <v>25</v>
      </c>
      <c r="W32" s="754">
        <f t="shared" si="14"/>
        <v>100</v>
      </c>
      <c r="X32" s="1895"/>
      <c r="Y32" s="3156"/>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199" t="s">
        <v>2363</v>
      </c>
      <c r="Q33" s="1894" t="str">
        <f t="shared" si="11"/>
        <v>建筑类型</v>
      </c>
      <c r="R33" s="753" t="s">
        <v>25</v>
      </c>
      <c r="S33" s="754">
        <f t="shared" si="12"/>
        <v>100</v>
      </c>
      <c r="T33" s="753" t="s">
        <v>25</v>
      </c>
      <c r="U33" s="754">
        <f t="shared" si="13"/>
        <v>100</v>
      </c>
      <c r="V33" s="753" t="s">
        <v>25</v>
      </c>
      <c r="W33" s="754">
        <f t="shared" si="14"/>
        <v>100</v>
      </c>
      <c r="X33" s="1895"/>
      <c r="Y33" s="3160"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200"/>
      <c r="Q34" s="755" t="str">
        <f t="shared" si="11"/>
        <v>项目建筑规模</v>
      </c>
      <c r="R34" s="756" t="s">
        <v>25</v>
      </c>
      <c r="S34" s="757" t="e">
        <f t="shared" si="12"/>
        <v>#N/A</v>
      </c>
      <c r="T34" s="756" t="s">
        <v>25</v>
      </c>
      <c r="U34" s="757" t="e">
        <f t="shared" si="13"/>
        <v>#N/A</v>
      </c>
      <c r="V34" s="756" t="s">
        <v>25</v>
      </c>
      <c r="W34" s="757" t="e">
        <f t="shared" si="14"/>
        <v>#N/A</v>
      </c>
      <c r="X34" s="758"/>
      <c r="Y34" s="3160"/>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200"/>
      <c r="Q35" s="1894" t="str">
        <f t="shared" si="11"/>
        <v>建筑结构</v>
      </c>
      <c r="R35" s="753" t="s">
        <v>25</v>
      </c>
      <c r="S35" s="754">
        <f t="shared" si="12"/>
        <v>100</v>
      </c>
      <c r="T35" s="753" t="s">
        <v>25</v>
      </c>
      <c r="U35" s="754">
        <f t="shared" si="13"/>
        <v>100</v>
      </c>
      <c r="V35" s="753" t="s">
        <v>25</v>
      </c>
      <c r="W35" s="754">
        <f t="shared" si="14"/>
        <v>100</v>
      </c>
      <c r="X35" s="1895"/>
      <c r="Y35" s="3160"/>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200"/>
      <c r="Q36" s="1894" t="str">
        <f t="shared" si="11"/>
        <v>公共部分装修</v>
      </c>
      <c r="R36" s="753" t="s">
        <v>25</v>
      </c>
      <c r="S36" s="754">
        <f t="shared" si="12"/>
        <v>100</v>
      </c>
      <c r="T36" s="753" t="s">
        <v>25</v>
      </c>
      <c r="U36" s="754">
        <f t="shared" si="13"/>
        <v>100</v>
      </c>
      <c r="V36" s="753" t="s">
        <v>25</v>
      </c>
      <c r="W36" s="754">
        <f t="shared" si="14"/>
        <v>100</v>
      </c>
      <c r="X36" s="1895"/>
      <c r="Y36" s="3160"/>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200"/>
      <c r="Q37" s="1894" t="str">
        <f t="shared" si="11"/>
        <v>成新度</v>
      </c>
      <c r="R37" s="753" t="s">
        <v>25</v>
      </c>
      <c r="S37" s="754" t="e">
        <f t="shared" si="12"/>
        <v>#N/A</v>
      </c>
      <c r="T37" s="753" t="s">
        <v>25</v>
      </c>
      <c r="U37" s="754" t="e">
        <f t="shared" si="13"/>
        <v>#N/A</v>
      </c>
      <c r="V37" s="753" t="s">
        <v>25</v>
      </c>
      <c r="W37" s="754" t="e">
        <f t="shared" si="14"/>
        <v>#N/A</v>
      </c>
      <c r="X37" s="1895"/>
      <c r="Y37" s="3160"/>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200"/>
      <c r="Q38" s="1882" t="str">
        <f t="shared" si="11"/>
        <v>写字楼等级</v>
      </c>
      <c r="R38" s="749" t="s">
        <v>25</v>
      </c>
      <c r="S38" s="750">
        <f t="shared" si="12"/>
        <v>100</v>
      </c>
      <c r="T38" s="749" t="s">
        <v>25</v>
      </c>
      <c r="U38" s="750">
        <f t="shared" si="13"/>
        <v>100</v>
      </c>
      <c r="V38" s="749" t="s">
        <v>25</v>
      </c>
      <c r="W38" s="750">
        <f t="shared" si="14"/>
        <v>100</v>
      </c>
      <c r="X38" s="751"/>
      <c r="Y38" s="3160"/>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200" t="s">
        <v>2363</v>
      </c>
      <c r="Q39" s="1894" t="str">
        <f t="shared" si="11"/>
        <v>物业管理</v>
      </c>
      <c r="R39" s="753" t="s">
        <v>25</v>
      </c>
      <c r="S39" s="754">
        <f t="shared" si="12"/>
        <v>100</v>
      </c>
      <c r="T39" s="753" t="s">
        <v>25</v>
      </c>
      <c r="U39" s="754">
        <f t="shared" si="13"/>
        <v>100</v>
      </c>
      <c r="V39" s="753" t="s">
        <v>25</v>
      </c>
      <c r="W39" s="754">
        <f t="shared" si="14"/>
        <v>100</v>
      </c>
      <c r="X39" s="1895"/>
      <c r="Y39" s="3160"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200"/>
      <c r="Q40" s="1894" t="str">
        <f t="shared" si="11"/>
        <v>市政基础设施</v>
      </c>
      <c r="R40" s="753" t="s">
        <v>25</v>
      </c>
      <c r="S40" s="754">
        <f t="shared" si="12"/>
        <v>100</v>
      </c>
      <c r="T40" s="753" t="s">
        <v>25</v>
      </c>
      <c r="U40" s="754">
        <f t="shared" si="13"/>
        <v>100</v>
      </c>
      <c r="V40" s="753" t="s">
        <v>25</v>
      </c>
      <c r="W40" s="754">
        <f t="shared" si="14"/>
        <v>100</v>
      </c>
      <c r="X40" s="1895"/>
      <c r="Y40" s="3160"/>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200"/>
      <c r="Q41" s="1894" t="str">
        <f t="shared" si="11"/>
        <v>层高</v>
      </c>
      <c r="R41" s="753" t="s">
        <v>25</v>
      </c>
      <c r="S41" s="754">
        <f t="shared" si="12"/>
        <v>100</v>
      </c>
      <c r="T41" s="753" t="s">
        <v>25</v>
      </c>
      <c r="U41" s="754">
        <f t="shared" si="13"/>
        <v>100</v>
      </c>
      <c r="V41" s="753" t="s">
        <v>25</v>
      </c>
      <c r="W41" s="754">
        <f t="shared" si="14"/>
        <v>100</v>
      </c>
      <c r="X41" s="1895"/>
      <c r="Y41" s="3160"/>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200"/>
      <c r="Q42" s="755" t="str">
        <f t="shared" si="11"/>
        <v>单套建筑面积</v>
      </c>
      <c r="R42" s="756" t="s">
        <v>25</v>
      </c>
      <c r="S42" s="757">
        <f t="shared" si="12"/>
        <v>100</v>
      </c>
      <c r="T42" s="756" t="s">
        <v>25</v>
      </c>
      <c r="U42" s="757">
        <f t="shared" si="13"/>
        <v>100</v>
      </c>
      <c r="V42" s="756" t="s">
        <v>25</v>
      </c>
      <c r="W42" s="757">
        <f t="shared" si="14"/>
        <v>100</v>
      </c>
      <c r="X42" s="758"/>
      <c r="Y42" s="3160"/>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200"/>
      <c r="Q43" s="1894" t="str">
        <f t="shared" si="11"/>
        <v>内部装修</v>
      </c>
      <c r="R43" s="753" t="s">
        <v>25</v>
      </c>
      <c r="S43" s="754">
        <f t="shared" si="12"/>
        <v>100</v>
      </c>
      <c r="T43" s="753" t="s">
        <v>25</v>
      </c>
      <c r="U43" s="754">
        <f t="shared" si="13"/>
        <v>100</v>
      </c>
      <c r="V43" s="753" t="s">
        <v>25</v>
      </c>
      <c r="W43" s="754">
        <f t="shared" si="14"/>
        <v>100</v>
      </c>
      <c r="X43" s="1895"/>
      <c r="Y43" s="3160"/>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200"/>
      <c r="Q44" s="1894" t="str">
        <f t="shared" si="11"/>
        <v>内部装修维护情况</v>
      </c>
      <c r="R44" s="753" t="s">
        <v>25</v>
      </c>
      <c r="S44" s="754">
        <f t="shared" si="12"/>
        <v>100</v>
      </c>
      <c r="T44" s="753" t="s">
        <v>25</v>
      </c>
      <c r="U44" s="754">
        <f t="shared" si="13"/>
        <v>100</v>
      </c>
      <c r="V44" s="753" t="s">
        <v>25</v>
      </c>
      <c r="W44" s="754">
        <f t="shared" si="14"/>
        <v>100</v>
      </c>
      <c r="X44" s="1895"/>
      <c r="Y44" s="3160"/>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200"/>
      <c r="Q45" s="1882">
        <f t="shared" si="11"/>
        <v>111</v>
      </c>
      <c r="R45" s="749" t="s">
        <v>25</v>
      </c>
      <c r="S45" s="750">
        <f t="shared" si="12"/>
        <v>100</v>
      </c>
      <c r="T45" s="749" t="s">
        <v>25</v>
      </c>
      <c r="U45" s="750">
        <f t="shared" si="13"/>
        <v>100</v>
      </c>
      <c r="V45" s="749" t="s">
        <v>25</v>
      </c>
      <c r="W45" s="750">
        <f t="shared" si="14"/>
        <v>100</v>
      </c>
      <c r="X45" s="751"/>
      <c r="Y45" s="3160"/>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200"/>
      <c r="Q46" s="1894">
        <f t="shared" si="11"/>
        <v>111</v>
      </c>
      <c r="R46" s="753" t="s">
        <v>25</v>
      </c>
      <c r="S46" s="754">
        <f t="shared" si="12"/>
        <v>100</v>
      </c>
      <c r="T46" s="753" t="s">
        <v>25</v>
      </c>
      <c r="U46" s="754">
        <f t="shared" si="13"/>
        <v>100</v>
      </c>
      <c r="V46" s="753" t="s">
        <v>25</v>
      </c>
      <c r="W46" s="754">
        <f t="shared" si="14"/>
        <v>100</v>
      </c>
      <c r="X46" s="1895"/>
      <c r="Y46" s="3160"/>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201"/>
      <c r="Q47" s="1894">
        <f t="shared" si="11"/>
        <v>111</v>
      </c>
      <c r="R47" s="753" t="s">
        <v>25</v>
      </c>
      <c r="S47" s="754">
        <f t="shared" si="12"/>
        <v>100</v>
      </c>
      <c r="T47" s="753" t="s">
        <v>25</v>
      </c>
      <c r="U47" s="754">
        <f t="shared" si="13"/>
        <v>100</v>
      </c>
      <c r="V47" s="753" t="s">
        <v>25</v>
      </c>
      <c r="W47" s="754">
        <f t="shared" si="14"/>
        <v>100</v>
      </c>
      <c r="X47" s="1895"/>
      <c r="Y47" s="3161"/>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50" t="str">
        <f>A48</f>
        <v>成交单价（元/平方米）</v>
      </c>
      <c r="Q48" s="3152"/>
      <c r="R48" s="3148">
        <f>E48</f>
        <v>0</v>
      </c>
      <c r="S48" s="3148"/>
      <c r="T48" s="3148">
        <f>G48</f>
        <v>0</v>
      </c>
      <c r="U48" s="3148"/>
      <c r="V48" s="3148">
        <f>I48</f>
        <v>0</v>
      </c>
      <c r="W48" s="3148"/>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150" t="str">
        <f>A49</f>
        <v>比较价值（元/平方米）</v>
      </c>
      <c r="Q49" s="3152"/>
      <c r="R49" s="3148" t="e">
        <f>IF(E1="售价",ROUND(PRODUCT(R48,AA7:AA47),0),ROUND(PRODUCT(R48,AA7:AA47),1))</f>
        <v>#DIV/0!</v>
      </c>
      <c r="S49" s="3148"/>
      <c r="T49" s="3148" t="e">
        <f>IF(E1="售价",ROUND(PRODUCT(T48,AB7:AB47),0),ROUND(PRODUCT(T48,AB7:AB47),1))</f>
        <v>#DIV/0!</v>
      </c>
      <c r="U49" s="3148"/>
      <c r="V49" s="3148" t="e">
        <f>IF(E1="售价",ROUND(PRODUCT(V48,AC7:AC47),0),ROUND(PRODUCT(V48,AC7:AC47),1))</f>
        <v>#DIV/0!</v>
      </c>
      <c r="W49" s="3148"/>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198" t="str">
        <f>A50</f>
        <v>估价对象XX用房的比较价值（楼面单价，元/平方米）</v>
      </c>
      <c r="Q50" s="3150"/>
      <c r="R50" s="3151" t="e">
        <f>IF(E1="售价",ROUND(AVERAGE(R49:V49),0),ROUND(AVERAGE(R49:V49),1))</f>
        <v>#DIV/0!</v>
      </c>
      <c r="S50" s="3151"/>
      <c r="T50" s="3151"/>
      <c r="U50" s="3151"/>
      <c r="V50" s="3151"/>
      <c r="W50" s="3151"/>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2021-1</v>
      </c>
      <c r="D59" s="1675">
        <f>EDATE(C59,-1)</f>
        <v>44166</v>
      </c>
      <c r="E59" s="1675">
        <f t="shared" ref="E59:O59" si="16">EDATE(D59,-1)</f>
        <v>44136</v>
      </c>
      <c r="F59" s="1675">
        <f t="shared" si="16"/>
        <v>44105</v>
      </c>
      <c r="G59" s="1675">
        <f t="shared" si="16"/>
        <v>44075</v>
      </c>
      <c r="H59" s="1675">
        <f t="shared" si="16"/>
        <v>44044</v>
      </c>
      <c r="I59" s="1675">
        <f t="shared" si="16"/>
        <v>44013</v>
      </c>
      <c r="J59" s="1675">
        <f t="shared" si="16"/>
        <v>43983</v>
      </c>
      <c r="K59" s="1675">
        <f t="shared" si="16"/>
        <v>43952</v>
      </c>
      <c r="L59" s="1675">
        <f t="shared" si="16"/>
        <v>43922</v>
      </c>
      <c r="M59" s="1675">
        <f t="shared" si="16"/>
        <v>43891</v>
      </c>
      <c r="N59" s="1675">
        <f t="shared" si="16"/>
        <v>43862</v>
      </c>
      <c r="O59" s="1675">
        <f t="shared" si="16"/>
        <v>43831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77" t="s">
        <v>2335</v>
      </c>
      <c r="AC4" s="3176" t="s">
        <v>2336</v>
      </c>
    </row>
    <row r="5" spans="1:29" ht="15">
      <c r="A5" s="383"/>
      <c r="B5" s="384"/>
      <c r="C5" s="3164" t="s">
        <v>2339</v>
      </c>
      <c r="D5" s="3165"/>
      <c r="E5" s="3190" t="s">
        <v>2340</v>
      </c>
      <c r="F5" s="3191"/>
      <c r="G5" s="3164" t="s">
        <v>2341</v>
      </c>
      <c r="H5" s="3165"/>
      <c r="I5" s="3164" t="s">
        <v>2342</v>
      </c>
      <c r="J5" s="3165"/>
      <c r="K5" s="594"/>
      <c r="L5" s="1239"/>
      <c r="M5" s="1240"/>
      <c r="N5" s="1240"/>
      <c r="O5" s="1240"/>
      <c r="P5" s="3185"/>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594" t="s">
        <v>2344</v>
      </c>
      <c r="L6" s="1239"/>
      <c r="M6" s="1240"/>
      <c r="N6" s="1240"/>
      <c r="O6" s="1240"/>
      <c r="P6" s="3187"/>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66" t="s">
        <v>2346</v>
      </c>
      <c r="Q7" s="3174"/>
      <c r="R7" s="749" t="s">
        <v>25</v>
      </c>
      <c r="S7" s="750">
        <f t="shared" ref="S7:S15" si="0">F7</f>
        <v>0</v>
      </c>
      <c r="T7" s="749" t="s">
        <v>25</v>
      </c>
      <c r="U7" s="750">
        <f t="shared" ref="U7:U15" si="1">H7</f>
        <v>0</v>
      </c>
      <c r="V7" s="749" t="s">
        <v>25</v>
      </c>
      <c r="W7" s="750">
        <f t="shared" ref="W7:W15" si="2">J7</f>
        <v>0</v>
      </c>
      <c r="X7" s="751"/>
      <c r="Y7" s="3166" t="s">
        <v>2346</v>
      </c>
      <c r="Z7" s="3167"/>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66" t="s">
        <v>2349</v>
      </c>
      <c r="Q8" s="3167"/>
      <c r="R8" s="749" t="s">
        <v>25</v>
      </c>
      <c r="S8" s="750">
        <f t="shared" si="0"/>
        <v>100</v>
      </c>
      <c r="T8" s="749" t="s">
        <v>25</v>
      </c>
      <c r="U8" s="750">
        <f t="shared" si="1"/>
        <v>100</v>
      </c>
      <c r="V8" s="749" t="s">
        <v>25</v>
      </c>
      <c r="W8" s="750">
        <f t="shared" si="2"/>
        <v>100</v>
      </c>
      <c r="X8" s="751"/>
      <c r="Y8" s="3166" t="s">
        <v>2349</v>
      </c>
      <c r="Z8" s="3167"/>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52"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52"/>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52"/>
      <c r="Q11" s="1882"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52"/>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52"/>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52"/>
      <c r="Q14" s="1882">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55" t="s">
        <v>2357</v>
      </c>
      <c r="Q15" s="1894" t="str">
        <f t="shared" si="6"/>
        <v>产业集聚程度</v>
      </c>
      <c r="R15" s="753" t="s">
        <v>25</v>
      </c>
      <c r="S15" s="754">
        <f t="shared" si="0"/>
        <v>100</v>
      </c>
      <c r="T15" s="753" t="s">
        <v>25</v>
      </c>
      <c r="U15" s="754">
        <f t="shared" si="1"/>
        <v>100</v>
      </c>
      <c r="V15" s="753" t="s">
        <v>25</v>
      </c>
      <c r="W15" s="754">
        <f t="shared" si="2"/>
        <v>100</v>
      </c>
      <c r="X15" s="1895"/>
      <c r="Y15" s="3155"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56"/>
      <c r="Q16" s="1894"/>
      <c r="R16" s="753"/>
      <c r="S16" s="754"/>
      <c r="T16" s="753"/>
      <c r="U16" s="754"/>
      <c r="V16" s="753"/>
      <c r="W16" s="754"/>
      <c r="X16" s="1895"/>
      <c r="Y16" s="3156"/>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56"/>
      <c r="Q17" s="1894" t="str">
        <f>B17</f>
        <v>交通便捷度</v>
      </c>
      <c r="R17" s="753" t="s">
        <v>25</v>
      </c>
      <c r="S17" s="754">
        <f>F17</f>
        <v>100</v>
      </c>
      <c r="T17" s="753" t="s">
        <v>25</v>
      </c>
      <c r="U17" s="754">
        <f>H17</f>
        <v>100</v>
      </c>
      <c r="V17" s="753" t="s">
        <v>25</v>
      </c>
      <c r="W17" s="754">
        <f>J17</f>
        <v>100</v>
      </c>
      <c r="X17" s="1895"/>
      <c r="Y17" s="3156"/>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56"/>
      <c r="Q18" s="1894"/>
      <c r="R18" s="753"/>
      <c r="S18" s="754"/>
      <c r="T18" s="753"/>
      <c r="U18" s="754"/>
      <c r="V18" s="753"/>
      <c r="W18" s="754"/>
      <c r="X18" s="1895"/>
      <c r="Y18" s="3156"/>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56"/>
      <c r="Q19" s="1894" t="str">
        <f>B19</f>
        <v>公共配套设施</v>
      </c>
      <c r="R19" s="753" t="s">
        <v>25</v>
      </c>
      <c r="S19" s="754">
        <f>F19</f>
        <v>100</v>
      </c>
      <c r="T19" s="753" t="s">
        <v>25</v>
      </c>
      <c r="U19" s="754">
        <f>H19</f>
        <v>100</v>
      </c>
      <c r="V19" s="753" t="s">
        <v>25</v>
      </c>
      <c r="W19" s="754">
        <f>J19</f>
        <v>100</v>
      </c>
      <c r="X19" s="1895"/>
      <c r="Y19" s="3156"/>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56"/>
      <c r="Q20" s="1894"/>
      <c r="R20" s="753"/>
      <c r="S20" s="754"/>
      <c r="T20" s="753"/>
      <c r="U20" s="754"/>
      <c r="V20" s="753"/>
      <c r="W20" s="754"/>
      <c r="X20" s="1895"/>
      <c r="Y20" s="3156"/>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56"/>
      <c r="Q21" s="1894" t="str">
        <f>B21</f>
        <v>基础设施水平</v>
      </c>
      <c r="R21" s="753" t="s">
        <v>25</v>
      </c>
      <c r="S21" s="754">
        <f>F21</f>
        <v>100</v>
      </c>
      <c r="T21" s="753" t="s">
        <v>25</v>
      </c>
      <c r="U21" s="754">
        <f>H21</f>
        <v>100</v>
      </c>
      <c r="V21" s="753" t="s">
        <v>25</v>
      </c>
      <c r="W21" s="754">
        <f>J21</f>
        <v>100</v>
      </c>
      <c r="X21" s="1895"/>
      <c r="Y21" s="3156"/>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56"/>
      <c r="Q22" s="1894"/>
      <c r="R22" s="753"/>
      <c r="S22" s="754"/>
      <c r="T22" s="753"/>
      <c r="U22" s="754"/>
      <c r="V22" s="753"/>
      <c r="W22" s="754"/>
      <c r="X22" s="1895"/>
      <c r="Y22" s="3156"/>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56"/>
      <c r="Q23" s="1894" t="str">
        <f>B23</f>
        <v>环境质量</v>
      </c>
      <c r="R23" s="753" t="s">
        <v>25</v>
      </c>
      <c r="S23" s="754">
        <f>F23</f>
        <v>100</v>
      </c>
      <c r="T23" s="753" t="s">
        <v>25</v>
      </c>
      <c r="U23" s="754">
        <f>H23</f>
        <v>100</v>
      </c>
      <c r="V23" s="753" t="s">
        <v>25</v>
      </c>
      <c r="W23" s="754">
        <f>J23</f>
        <v>100</v>
      </c>
      <c r="X23" s="1895"/>
      <c r="Y23" s="3156"/>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56"/>
      <c r="Q24" s="1894"/>
      <c r="R24" s="753"/>
      <c r="S24" s="754"/>
      <c r="T24" s="753"/>
      <c r="U24" s="754"/>
      <c r="V24" s="753"/>
      <c r="W24" s="754"/>
      <c r="X24" s="1895"/>
      <c r="Y24" s="3156"/>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56"/>
      <c r="Q25" s="1894">
        <f>B25</f>
        <v>111</v>
      </c>
      <c r="R25" s="753" t="s">
        <v>25</v>
      </c>
      <c r="S25" s="754">
        <f>F25</f>
        <v>100</v>
      </c>
      <c r="T25" s="753" t="s">
        <v>25</v>
      </c>
      <c r="U25" s="754">
        <f>H25</f>
        <v>100</v>
      </c>
      <c r="V25" s="753" t="s">
        <v>25</v>
      </c>
      <c r="W25" s="754">
        <f>J25</f>
        <v>100</v>
      </c>
      <c r="X25" s="1895"/>
      <c r="Y25" s="3156"/>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56"/>
      <c r="Q26" s="1894">
        <f t="shared" ref="Q26:Q40" si="11">B26</f>
        <v>111</v>
      </c>
      <c r="R26" s="753" t="s">
        <v>25</v>
      </c>
      <c r="S26" s="754">
        <f>F26</f>
        <v>100</v>
      </c>
      <c r="T26" s="753" t="s">
        <v>25</v>
      </c>
      <c r="U26" s="754">
        <f>H26</f>
        <v>100</v>
      </c>
      <c r="V26" s="753" t="s">
        <v>25</v>
      </c>
      <c r="W26" s="754">
        <f>J26</f>
        <v>100</v>
      </c>
      <c r="X26" s="1895"/>
      <c r="Y26" s="3156"/>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56"/>
      <c r="Q27" s="1882">
        <f t="shared" si="11"/>
        <v>111</v>
      </c>
      <c r="R27" s="749" t="s">
        <v>25</v>
      </c>
      <c r="S27" s="750">
        <f>F27</f>
        <v>100</v>
      </c>
      <c r="T27" s="749" t="s">
        <v>25</v>
      </c>
      <c r="U27" s="750">
        <f>H27</f>
        <v>100</v>
      </c>
      <c r="V27" s="749" t="s">
        <v>25</v>
      </c>
      <c r="W27" s="750">
        <f>J27</f>
        <v>100</v>
      </c>
      <c r="X27" s="751"/>
      <c r="Y27" s="3156"/>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56"/>
      <c r="Q28" s="1894">
        <f t="shared" si="11"/>
        <v>111</v>
      </c>
      <c r="R28" s="753" t="s">
        <v>25</v>
      </c>
      <c r="S28" s="754">
        <f t="shared" ref="S28:S40" si="12">F28</f>
        <v>100</v>
      </c>
      <c r="T28" s="753" t="s">
        <v>25</v>
      </c>
      <c r="U28" s="754">
        <f t="shared" ref="U28:U40" si="13">H28</f>
        <v>100</v>
      </c>
      <c r="V28" s="753" t="s">
        <v>25</v>
      </c>
      <c r="W28" s="754">
        <f t="shared" ref="W28:W40" si="14">J28</f>
        <v>100</v>
      </c>
      <c r="X28" s="1895"/>
      <c r="Y28" s="3156"/>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05" t="s">
        <v>2363</v>
      </c>
      <c r="Q29" s="1894" t="str">
        <f t="shared" si="11"/>
        <v>建筑类型</v>
      </c>
      <c r="R29" s="753" t="s">
        <v>25</v>
      </c>
      <c r="S29" s="754">
        <f t="shared" si="12"/>
        <v>100</v>
      </c>
      <c r="T29" s="753" t="s">
        <v>25</v>
      </c>
      <c r="U29" s="754">
        <f t="shared" si="13"/>
        <v>100</v>
      </c>
      <c r="V29" s="753" t="s">
        <v>25</v>
      </c>
      <c r="W29" s="754">
        <f t="shared" si="14"/>
        <v>100</v>
      </c>
      <c r="X29" s="1895"/>
      <c r="Y29" s="3160"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60"/>
      <c r="Q30" s="755" t="str">
        <f t="shared" si="11"/>
        <v>项目建筑规模</v>
      </c>
      <c r="R30" s="756" t="s">
        <v>25</v>
      </c>
      <c r="S30" s="757" t="e">
        <f t="shared" si="12"/>
        <v>#N/A</v>
      </c>
      <c r="T30" s="756" t="s">
        <v>25</v>
      </c>
      <c r="U30" s="757" t="e">
        <f t="shared" si="13"/>
        <v>#N/A</v>
      </c>
      <c r="V30" s="756" t="s">
        <v>25</v>
      </c>
      <c r="W30" s="757" t="e">
        <f t="shared" si="14"/>
        <v>#N/A</v>
      </c>
      <c r="X30" s="758"/>
      <c r="Y30" s="3160"/>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60"/>
      <c r="Q31" s="1894" t="str">
        <f t="shared" si="11"/>
        <v>建筑结构</v>
      </c>
      <c r="R31" s="753" t="s">
        <v>25</v>
      </c>
      <c r="S31" s="754">
        <f t="shared" si="12"/>
        <v>100</v>
      </c>
      <c r="T31" s="753" t="s">
        <v>25</v>
      </c>
      <c r="U31" s="754">
        <f t="shared" si="13"/>
        <v>100</v>
      </c>
      <c r="V31" s="753" t="s">
        <v>25</v>
      </c>
      <c r="W31" s="754">
        <f t="shared" si="14"/>
        <v>100</v>
      </c>
      <c r="X31" s="1895"/>
      <c r="Y31" s="3160"/>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60"/>
      <c r="Q32" s="1894" t="str">
        <f t="shared" si="11"/>
        <v>公共部分装修</v>
      </c>
      <c r="R32" s="753" t="s">
        <v>25</v>
      </c>
      <c r="S32" s="754">
        <f t="shared" si="12"/>
        <v>100</v>
      </c>
      <c r="T32" s="753" t="s">
        <v>25</v>
      </c>
      <c r="U32" s="754">
        <f t="shared" si="13"/>
        <v>100</v>
      </c>
      <c r="V32" s="753" t="s">
        <v>25</v>
      </c>
      <c r="W32" s="754">
        <f t="shared" si="14"/>
        <v>100</v>
      </c>
      <c r="X32" s="1895"/>
      <c r="Y32" s="3160"/>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60"/>
      <c r="Q33" s="1894" t="str">
        <f t="shared" si="11"/>
        <v>成新度</v>
      </c>
      <c r="R33" s="753" t="s">
        <v>25</v>
      </c>
      <c r="S33" s="754" t="e">
        <f t="shared" si="12"/>
        <v>#N/A</v>
      </c>
      <c r="T33" s="753" t="s">
        <v>25</v>
      </c>
      <c r="U33" s="754" t="e">
        <f t="shared" si="13"/>
        <v>#N/A</v>
      </c>
      <c r="V33" s="753" t="s">
        <v>25</v>
      </c>
      <c r="W33" s="754" t="e">
        <f t="shared" si="14"/>
        <v>#N/A</v>
      </c>
      <c r="X33" s="1895"/>
      <c r="Y33" s="3160"/>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60"/>
      <c r="Q34" s="1882" t="str">
        <f t="shared" si="11"/>
        <v>物业管理</v>
      </c>
      <c r="R34" s="749" t="s">
        <v>25</v>
      </c>
      <c r="S34" s="750">
        <f t="shared" si="12"/>
        <v>100</v>
      </c>
      <c r="T34" s="749" t="s">
        <v>25</v>
      </c>
      <c r="U34" s="750">
        <f t="shared" si="13"/>
        <v>100</v>
      </c>
      <c r="V34" s="749" t="s">
        <v>25</v>
      </c>
      <c r="W34" s="750">
        <f t="shared" si="14"/>
        <v>100</v>
      </c>
      <c r="X34" s="751"/>
      <c r="Y34" s="3160"/>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60" t="s">
        <v>2363</v>
      </c>
      <c r="Q35" s="1894" t="str">
        <f t="shared" si="11"/>
        <v>市政基础设施</v>
      </c>
      <c r="R35" s="753" t="s">
        <v>25</v>
      </c>
      <c r="S35" s="754">
        <f t="shared" si="12"/>
        <v>100</v>
      </c>
      <c r="T35" s="753" t="s">
        <v>25</v>
      </c>
      <c r="U35" s="754">
        <f t="shared" si="13"/>
        <v>100</v>
      </c>
      <c r="V35" s="753" t="s">
        <v>25</v>
      </c>
      <c r="W35" s="754">
        <f t="shared" si="14"/>
        <v>100</v>
      </c>
      <c r="X35" s="1895"/>
      <c r="Y35" s="3160"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60"/>
      <c r="Q36" s="1894" t="str">
        <f t="shared" si="11"/>
        <v>内部装修</v>
      </c>
      <c r="R36" s="753" t="s">
        <v>25</v>
      </c>
      <c r="S36" s="754">
        <f t="shared" si="12"/>
        <v>100</v>
      </c>
      <c r="T36" s="753" t="s">
        <v>25</v>
      </c>
      <c r="U36" s="754">
        <f t="shared" si="13"/>
        <v>100</v>
      </c>
      <c r="V36" s="753" t="s">
        <v>25</v>
      </c>
      <c r="W36" s="754">
        <f t="shared" si="14"/>
        <v>100</v>
      </c>
      <c r="X36" s="1895"/>
      <c r="Y36" s="3160"/>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60"/>
      <c r="Q37" s="1894" t="str">
        <f t="shared" si="11"/>
        <v>内部装修状况</v>
      </c>
      <c r="R37" s="753" t="s">
        <v>25</v>
      </c>
      <c r="S37" s="754">
        <f t="shared" si="12"/>
        <v>0</v>
      </c>
      <c r="T37" s="753" t="s">
        <v>25</v>
      </c>
      <c r="U37" s="754">
        <f t="shared" si="13"/>
        <v>0</v>
      </c>
      <c r="V37" s="753" t="s">
        <v>25</v>
      </c>
      <c r="W37" s="754">
        <f t="shared" si="14"/>
        <v>0</v>
      </c>
      <c r="X37" s="1895"/>
      <c r="Y37" s="3160"/>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60"/>
      <c r="Q38" s="755">
        <f t="shared" si="11"/>
        <v>111</v>
      </c>
      <c r="R38" s="756" t="s">
        <v>25</v>
      </c>
      <c r="S38" s="757">
        <f t="shared" si="12"/>
        <v>100</v>
      </c>
      <c r="T38" s="756" t="s">
        <v>25</v>
      </c>
      <c r="U38" s="757">
        <f t="shared" si="13"/>
        <v>100</v>
      </c>
      <c r="V38" s="756" t="s">
        <v>25</v>
      </c>
      <c r="W38" s="757">
        <f t="shared" si="14"/>
        <v>100</v>
      </c>
      <c r="X38" s="758"/>
      <c r="Y38" s="3160"/>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60"/>
      <c r="Q39" s="1894">
        <f t="shared" si="11"/>
        <v>111</v>
      </c>
      <c r="R39" s="753" t="s">
        <v>25</v>
      </c>
      <c r="S39" s="754">
        <f t="shared" si="12"/>
        <v>100</v>
      </c>
      <c r="T39" s="753" t="s">
        <v>25</v>
      </c>
      <c r="U39" s="754">
        <f t="shared" si="13"/>
        <v>100</v>
      </c>
      <c r="V39" s="753" t="s">
        <v>25</v>
      </c>
      <c r="W39" s="754">
        <f t="shared" si="14"/>
        <v>100</v>
      </c>
      <c r="X39" s="1895"/>
      <c r="Y39" s="3160"/>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61"/>
      <c r="Q40" s="1894">
        <f t="shared" si="11"/>
        <v>111</v>
      </c>
      <c r="R40" s="753" t="s">
        <v>25</v>
      </c>
      <c r="S40" s="754">
        <f t="shared" si="12"/>
        <v>100</v>
      </c>
      <c r="T40" s="753" t="s">
        <v>25</v>
      </c>
      <c r="U40" s="754">
        <f t="shared" si="13"/>
        <v>100</v>
      </c>
      <c r="V40" s="753" t="s">
        <v>25</v>
      </c>
      <c r="W40" s="754">
        <f t="shared" si="14"/>
        <v>100</v>
      </c>
      <c r="X40" s="1895"/>
      <c r="Y40" s="3161"/>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52" t="str">
        <f>A41</f>
        <v>成交单价（元/平方米）</v>
      </c>
      <c r="Q41" s="3152"/>
      <c r="R41" s="3148">
        <f>E41</f>
        <v>0</v>
      </c>
      <c r="S41" s="3148"/>
      <c r="T41" s="3148">
        <f>G41</f>
        <v>0</v>
      </c>
      <c r="U41" s="3148"/>
      <c r="V41" s="3148">
        <f>I41</f>
        <v>0</v>
      </c>
      <c r="W41" s="3148"/>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52" t="str">
        <f>A42</f>
        <v>比较价值（元/平方米）</v>
      </c>
      <c r="Q42" s="3152"/>
      <c r="R42" s="3148" t="e">
        <f>IF(E1="售价",ROUND(PRODUCT(R41,AA7:AA40),0),ROUND(PRODUCT(R41,AA7:AA40),1))</f>
        <v>#DIV/0!</v>
      </c>
      <c r="S42" s="3148"/>
      <c r="T42" s="3148" t="e">
        <f>IF(E1="售价",ROUND(PRODUCT(T41,AB7:AB40),0),ROUND(PRODUCT(T41,AB7:AB40),1))</f>
        <v>#DIV/0!</v>
      </c>
      <c r="U42" s="3148"/>
      <c r="V42" s="3148" t="e">
        <f>IF(E1="售价",ROUND(PRODUCT(V41,AC7:AC40),0),ROUND(PRODUCT(V41,AC7:AC40),1))</f>
        <v>#DIV/0!</v>
      </c>
      <c r="W42" s="3148"/>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149" t="str">
        <f>A43</f>
        <v>估价对象XX用房的比较价值（楼面单价，元/平方米）</v>
      </c>
      <c r="Q43" s="3150"/>
      <c r="R43" s="3151" t="e">
        <f>IF(E1="售价",ROUND(AVERAGE(R42:V42),0),ROUND(AVERAGE(R42:V42),1))</f>
        <v>#DIV/0!</v>
      </c>
      <c r="S43" s="3151"/>
      <c r="T43" s="3151"/>
      <c r="U43" s="3151"/>
      <c r="V43" s="3151"/>
      <c r="W43" s="3151"/>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2021-1</v>
      </c>
      <c r="D52" s="1675">
        <f>EDATE(C52,-1)</f>
        <v>44166</v>
      </c>
      <c r="E52" s="1676">
        <f t="shared" ref="E52:O52" si="16">EDATE(D52,-1)</f>
        <v>44136</v>
      </c>
      <c r="F52" s="1676">
        <f t="shared" si="16"/>
        <v>44105</v>
      </c>
      <c r="G52" s="1676">
        <f t="shared" si="16"/>
        <v>44075</v>
      </c>
      <c r="H52" s="1676">
        <f t="shared" si="16"/>
        <v>44044</v>
      </c>
      <c r="I52" s="1676">
        <f t="shared" si="16"/>
        <v>44013</v>
      </c>
      <c r="J52" s="1676">
        <f t="shared" si="16"/>
        <v>43983</v>
      </c>
      <c r="K52" s="1676">
        <f t="shared" si="16"/>
        <v>43952</v>
      </c>
      <c r="L52" s="1676">
        <f t="shared" si="16"/>
        <v>43922</v>
      </c>
      <c r="M52" s="1676">
        <f t="shared" si="16"/>
        <v>43891</v>
      </c>
      <c r="N52" s="1676">
        <f t="shared" si="16"/>
        <v>43862</v>
      </c>
      <c r="O52" s="1676">
        <f t="shared" si="16"/>
        <v>43831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732.42</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79" t="s">
        <v>2333</v>
      </c>
      <c r="D4" s="3180"/>
      <c r="E4" s="3181" t="s">
        <v>2334</v>
      </c>
      <c r="F4" s="3182"/>
      <c r="G4" s="3179" t="s">
        <v>2335</v>
      </c>
      <c r="H4" s="3180"/>
      <c r="I4" s="3179" t="s">
        <v>2336</v>
      </c>
      <c r="J4" s="3180"/>
      <c r="K4" s="594" t="s">
        <v>2337</v>
      </c>
      <c r="L4" s="1510"/>
      <c r="M4" s="425"/>
      <c r="N4" s="425"/>
      <c r="O4" s="425"/>
      <c r="P4" s="3183" t="s">
        <v>2338</v>
      </c>
      <c r="Q4" s="3184"/>
      <c r="R4" s="3168" t="s">
        <v>2334</v>
      </c>
      <c r="S4" s="3169"/>
      <c r="T4" s="3168" t="s">
        <v>2335</v>
      </c>
      <c r="U4" s="3169"/>
      <c r="V4" s="3189" t="s">
        <v>2336</v>
      </c>
      <c r="W4" s="3189"/>
      <c r="X4" s="1895"/>
      <c r="Y4" s="3168" t="s">
        <v>2338</v>
      </c>
      <c r="Z4" s="3169"/>
      <c r="AA4" s="3176" t="s">
        <v>2334</v>
      </c>
      <c r="AB4" s="3177" t="s">
        <v>2335</v>
      </c>
      <c r="AC4" s="3176" t="s">
        <v>2336</v>
      </c>
    </row>
    <row r="5" spans="1:29" ht="15">
      <c r="A5" s="383"/>
      <c r="B5" s="384"/>
      <c r="C5" s="3164" t="s">
        <v>2339</v>
      </c>
      <c r="D5" s="3165"/>
      <c r="E5" s="3190" t="s">
        <v>2340</v>
      </c>
      <c r="F5" s="3191"/>
      <c r="G5" s="3164" t="s">
        <v>2341</v>
      </c>
      <c r="H5" s="3165"/>
      <c r="I5" s="3164" t="s">
        <v>2342</v>
      </c>
      <c r="J5" s="3165"/>
      <c r="K5" s="594"/>
      <c r="L5" s="1510"/>
      <c r="M5" s="425"/>
      <c r="N5" s="425"/>
      <c r="O5" s="425"/>
      <c r="P5" s="3185"/>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594" t="s">
        <v>2344</v>
      </c>
      <c r="L6" s="1510"/>
      <c r="M6" s="425"/>
      <c r="N6" s="425"/>
      <c r="O6" s="425"/>
      <c r="P6" s="3187"/>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66" t="s">
        <v>2346</v>
      </c>
      <c r="Q7" s="3174"/>
      <c r="R7" s="749" t="s">
        <v>25</v>
      </c>
      <c r="S7" s="750">
        <f t="shared" ref="S7:S14" si="0">F7</f>
        <v>0</v>
      </c>
      <c r="T7" s="749" t="s">
        <v>25</v>
      </c>
      <c r="U7" s="750">
        <f t="shared" ref="U7:U14" si="1">H7</f>
        <v>0</v>
      </c>
      <c r="V7" s="749" t="s">
        <v>25</v>
      </c>
      <c r="W7" s="750">
        <f t="shared" ref="W7:W14" si="2">J7</f>
        <v>0</v>
      </c>
      <c r="X7" s="751"/>
      <c r="Y7" s="3166" t="s">
        <v>2346</v>
      </c>
      <c r="Z7" s="3167"/>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66" t="s">
        <v>2349</v>
      </c>
      <c r="Q8" s="3167"/>
      <c r="R8" s="749" t="s">
        <v>25</v>
      </c>
      <c r="S8" s="750">
        <f t="shared" si="0"/>
        <v>0</v>
      </c>
      <c r="T8" s="749" t="s">
        <v>25</v>
      </c>
      <c r="U8" s="750">
        <f t="shared" si="1"/>
        <v>0</v>
      </c>
      <c r="V8" s="749" t="s">
        <v>25</v>
      </c>
      <c r="W8" s="750">
        <f t="shared" si="2"/>
        <v>0</v>
      </c>
      <c r="X8" s="751"/>
      <c r="Y8" s="3166" t="s">
        <v>2349</v>
      </c>
      <c r="Z8" s="3167"/>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52" t="s">
        <v>2352</v>
      </c>
      <c r="Q9" s="1882" t="str">
        <f t="shared" ref="Q9:Q14" si="6">B9</f>
        <v>用途</v>
      </c>
      <c r="R9" s="749" t="s">
        <v>25</v>
      </c>
      <c r="S9" s="750">
        <f t="shared" si="0"/>
        <v>100</v>
      </c>
      <c r="T9" s="749" t="s">
        <v>25</v>
      </c>
      <c r="U9" s="750">
        <f t="shared" si="1"/>
        <v>100</v>
      </c>
      <c r="V9" s="749" t="s">
        <v>25</v>
      </c>
      <c r="W9" s="750">
        <f t="shared" si="2"/>
        <v>100</v>
      </c>
      <c r="X9" s="751"/>
      <c r="Y9" s="2981"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52"/>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52"/>
      <c r="Q11" s="1882">
        <f t="shared" si="6"/>
        <v>111</v>
      </c>
      <c r="R11" s="749" t="s">
        <v>25</v>
      </c>
      <c r="S11" s="750">
        <f t="shared" si="0"/>
        <v>100</v>
      </c>
      <c r="T11" s="749" t="s">
        <v>25</v>
      </c>
      <c r="U11" s="750">
        <f t="shared" si="1"/>
        <v>100</v>
      </c>
      <c r="V11" s="749" t="s">
        <v>25</v>
      </c>
      <c r="W11" s="750">
        <f t="shared" si="2"/>
        <v>100</v>
      </c>
      <c r="X11" s="751"/>
      <c r="Y11" s="298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52"/>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52"/>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28.25">
      <c r="A14" s="380" t="s">
        <v>2356</v>
      </c>
      <c r="B14" s="613" t="s">
        <v>2498</v>
      </c>
      <c r="C14" s="1476" t="str">
        <f>IF(B1="工业",估价对象房地状况!G4,估价对象房地状况!C6)</f>
        <v>估价对象周边公共交通包括：54路、58路、382路等公交线路，1公里以内有地铁1号线和14号线换乘站大望路地铁站。综合评价交通便捷度好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55" t="s">
        <v>2357</v>
      </c>
      <c r="Q14" s="1894" t="str">
        <f t="shared" si="6"/>
        <v>交通便捷度</v>
      </c>
      <c r="R14" s="753" t="s">
        <v>25</v>
      </c>
      <c r="S14" s="754">
        <f t="shared" si="0"/>
        <v>100</v>
      </c>
      <c r="T14" s="753" t="s">
        <v>25</v>
      </c>
      <c r="U14" s="754">
        <f t="shared" si="1"/>
        <v>100</v>
      </c>
      <c r="V14" s="753" t="s">
        <v>25</v>
      </c>
      <c r="W14" s="754">
        <f t="shared" si="2"/>
        <v>100</v>
      </c>
      <c r="X14" s="1895"/>
      <c r="Y14" s="3155"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56"/>
      <c r="Q15" s="1894"/>
      <c r="R15" s="753"/>
      <c r="S15" s="754"/>
      <c r="T15" s="753"/>
      <c r="U15" s="754"/>
      <c r="V15" s="753"/>
      <c r="W15" s="754"/>
      <c r="X15" s="1895"/>
      <c r="Y15" s="3156"/>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56"/>
      <c r="Q16" s="1894" t="str">
        <f>B16</f>
        <v>公共配套设施</v>
      </c>
      <c r="R16" s="753" t="s">
        <v>25</v>
      </c>
      <c r="S16" s="754">
        <f>F16</f>
        <v>100</v>
      </c>
      <c r="T16" s="753" t="s">
        <v>25</v>
      </c>
      <c r="U16" s="754">
        <f>H16</f>
        <v>100</v>
      </c>
      <c r="V16" s="753" t="s">
        <v>25</v>
      </c>
      <c r="W16" s="754">
        <f>J16</f>
        <v>100</v>
      </c>
      <c r="X16" s="1895"/>
      <c r="Y16" s="315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56"/>
      <c r="Q17" s="1894"/>
      <c r="R17" s="753"/>
      <c r="S17" s="754"/>
      <c r="T17" s="753"/>
      <c r="U17" s="754"/>
      <c r="V17" s="753"/>
      <c r="W17" s="754"/>
      <c r="X17" s="1895"/>
      <c r="Y17" s="3156"/>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56"/>
      <c r="Q18" s="1894" t="str">
        <f>B18</f>
        <v>基础设施水平</v>
      </c>
      <c r="R18" s="753" t="s">
        <v>25</v>
      </c>
      <c r="S18" s="754">
        <f>F18</f>
        <v>100</v>
      </c>
      <c r="T18" s="753" t="s">
        <v>25</v>
      </c>
      <c r="U18" s="754">
        <f>H18</f>
        <v>100</v>
      </c>
      <c r="V18" s="753" t="s">
        <v>25</v>
      </c>
      <c r="W18" s="754">
        <f>J18</f>
        <v>100</v>
      </c>
      <c r="X18" s="1895"/>
      <c r="Y18" s="315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56"/>
      <c r="Q19" s="1894"/>
      <c r="R19" s="753"/>
      <c r="S19" s="754"/>
      <c r="T19" s="753"/>
      <c r="U19" s="754"/>
      <c r="V19" s="753"/>
      <c r="W19" s="754"/>
      <c r="X19" s="1895"/>
      <c r="Y19" s="3156"/>
      <c r="Z19" s="1897"/>
      <c r="AA19" s="1898">
        <v>1</v>
      </c>
      <c r="AB19" s="1898">
        <v>1</v>
      </c>
      <c r="AC19" s="1898">
        <v>1</v>
      </c>
    </row>
    <row r="20" spans="1:29" ht="114">
      <c r="A20" s="383"/>
      <c r="B20" s="615" t="s">
        <v>2499</v>
      </c>
      <c r="C20" s="1478" t="str">
        <f>IF(B1="工业",估价对象房地状况!G7,估价对象房地状况!C9)</f>
        <v>区域自然环境：庆丰公园、惠水湾森林公园；人文环境：首都经济贸易大学（红庙校区）、中央电视台；综合评价环境状况好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56"/>
      <c r="Q20" s="1894" t="str">
        <f>B20</f>
        <v>自然及人文环境</v>
      </c>
      <c r="R20" s="753" t="s">
        <v>25</v>
      </c>
      <c r="S20" s="754">
        <f>F20</f>
        <v>100</v>
      </c>
      <c r="T20" s="753" t="s">
        <v>25</v>
      </c>
      <c r="U20" s="754">
        <f>H20</f>
        <v>100</v>
      </c>
      <c r="V20" s="753" t="s">
        <v>25</v>
      </c>
      <c r="W20" s="754">
        <f>J20</f>
        <v>100</v>
      </c>
      <c r="X20" s="1895"/>
      <c r="Y20" s="315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56"/>
      <c r="Q21" s="1894"/>
      <c r="R21" s="753"/>
      <c r="S21" s="754"/>
      <c r="T21" s="753"/>
      <c r="U21" s="754"/>
      <c r="V21" s="753"/>
      <c r="W21" s="754"/>
      <c r="X21" s="1895"/>
      <c r="Y21" s="3156"/>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56"/>
      <c r="Q22" s="1894" t="str">
        <f>B22</f>
        <v>楼层</v>
      </c>
      <c r="R22" s="753" t="s">
        <v>25</v>
      </c>
      <c r="S22" s="754">
        <f>F22</f>
        <v>100</v>
      </c>
      <c r="T22" s="753" t="s">
        <v>25</v>
      </c>
      <c r="U22" s="754">
        <f>H22</f>
        <v>100</v>
      </c>
      <c r="V22" s="753" t="s">
        <v>25</v>
      </c>
      <c r="W22" s="754">
        <f>J22</f>
        <v>100</v>
      </c>
      <c r="X22" s="1895"/>
      <c r="Y22" s="315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56"/>
      <c r="Q23" s="1894">
        <f>B23</f>
        <v>111</v>
      </c>
      <c r="R23" s="753" t="s">
        <v>25</v>
      </c>
      <c r="S23" s="754">
        <f>F23</f>
        <v>100</v>
      </c>
      <c r="T23" s="753" t="s">
        <v>25</v>
      </c>
      <c r="U23" s="754">
        <f>H23</f>
        <v>100</v>
      </c>
      <c r="V23" s="753" t="s">
        <v>25</v>
      </c>
      <c r="W23" s="754">
        <f>J23</f>
        <v>100</v>
      </c>
      <c r="X23" s="1895"/>
      <c r="Y23" s="315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56"/>
      <c r="Q24" s="1894">
        <f t="shared" ref="Q24:Q36" si="11">B24</f>
        <v>111</v>
      </c>
      <c r="R24" s="753" t="s">
        <v>25</v>
      </c>
      <c r="S24" s="754">
        <f>F24</f>
        <v>100</v>
      </c>
      <c r="T24" s="753" t="s">
        <v>25</v>
      </c>
      <c r="U24" s="754">
        <f>H24</f>
        <v>100</v>
      </c>
      <c r="V24" s="753" t="s">
        <v>25</v>
      </c>
      <c r="W24" s="754">
        <f>J24</f>
        <v>100</v>
      </c>
      <c r="X24" s="1895"/>
      <c r="Y24" s="315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56"/>
      <c r="Q25" s="1882">
        <f t="shared" si="11"/>
        <v>111</v>
      </c>
      <c r="R25" s="749" t="s">
        <v>25</v>
      </c>
      <c r="S25" s="750">
        <f>F25</f>
        <v>100</v>
      </c>
      <c r="T25" s="749" t="s">
        <v>25</v>
      </c>
      <c r="U25" s="750">
        <f>H25</f>
        <v>100</v>
      </c>
      <c r="V25" s="749" t="s">
        <v>25</v>
      </c>
      <c r="W25" s="750">
        <f>J25</f>
        <v>100</v>
      </c>
      <c r="X25" s="751"/>
      <c r="Y25" s="3156"/>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05"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60"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60"/>
      <c r="Q27" s="755" t="str">
        <f t="shared" si="11"/>
        <v>项目停车位配比</v>
      </c>
      <c r="R27" s="756" t="s">
        <v>25</v>
      </c>
      <c r="S27" s="757">
        <f t="shared" si="12"/>
        <v>100</v>
      </c>
      <c r="T27" s="756" t="s">
        <v>25</v>
      </c>
      <c r="U27" s="757">
        <f t="shared" si="13"/>
        <v>100</v>
      </c>
      <c r="V27" s="756" t="s">
        <v>25</v>
      </c>
      <c r="W27" s="757">
        <f t="shared" si="14"/>
        <v>100</v>
      </c>
      <c r="X27" s="758"/>
      <c r="Y27" s="3160"/>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60"/>
      <c r="Q28" s="1894" t="str">
        <f t="shared" si="11"/>
        <v>公共部分装修</v>
      </c>
      <c r="R28" s="753" t="s">
        <v>25</v>
      </c>
      <c r="S28" s="754">
        <f t="shared" si="12"/>
        <v>100</v>
      </c>
      <c r="T28" s="753" t="s">
        <v>25</v>
      </c>
      <c r="U28" s="754">
        <f t="shared" si="13"/>
        <v>100</v>
      </c>
      <c r="V28" s="753" t="s">
        <v>25</v>
      </c>
      <c r="W28" s="754">
        <f t="shared" si="14"/>
        <v>100</v>
      </c>
      <c r="X28" s="1895"/>
      <c r="Y28" s="3160"/>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60"/>
      <c r="Q29" s="1894" t="str">
        <f t="shared" si="11"/>
        <v>成新率</v>
      </c>
      <c r="R29" s="753" t="s">
        <v>25</v>
      </c>
      <c r="S29" s="754" t="e">
        <f t="shared" si="12"/>
        <v>#N/A</v>
      </c>
      <c r="T29" s="753" t="s">
        <v>25</v>
      </c>
      <c r="U29" s="754" t="e">
        <f t="shared" si="13"/>
        <v>#N/A</v>
      </c>
      <c r="V29" s="753" t="s">
        <v>25</v>
      </c>
      <c r="W29" s="754" t="e">
        <f t="shared" si="14"/>
        <v>#N/A</v>
      </c>
      <c r="X29" s="1895"/>
      <c r="Y29" s="3160"/>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60"/>
      <c r="Q30" s="1894" t="str">
        <f t="shared" si="11"/>
        <v>物业等级</v>
      </c>
      <c r="R30" s="753" t="s">
        <v>25</v>
      </c>
      <c r="S30" s="754">
        <f t="shared" si="12"/>
        <v>100</v>
      </c>
      <c r="T30" s="753" t="s">
        <v>25</v>
      </c>
      <c r="U30" s="754">
        <f t="shared" si="13"/>
        <v>100</v>
      </c>
      <c r="V30" s="753" t="s">
        <v>25</v>
      </c>
      <c r="W30" s="754">
        <f t="shared" si="14"/>
        <v>100</v>
      </c>
      <c r="X30" s="1895"/>
      <c r="Y30" s="3160"/>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60"/>
      <c r="Q31" s="1882" t="str">
        <f t="shared" si="11"/>
        <v>停车位面积</v>
      </c>
      <c r="R31" s="749" t="s">
        <v>25</v>
      </c>
      <c r="S31" s="750" t="e">
        <f t="shared" si="12"/>
        <v>#N/A</v>
      </c>
      <c r="T31" s="749" t="s">
        <v>25</v>
      </c>
      <c r="U31" s="750" t="e">
        <f t="shared" si="13"/>
        <v>#N/A</v>
      </c>
      <c r="V31" s="749" t="s">
        <v>25</v>
      </c>
      <c r="W31" s="750" t="e">
        <f t="shared" si="14"/>
        <v>#N/A</v>
      </c>
      <c r="X31" s="751"/>
      <c r="Y31" s="3160"/>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60" t="s">
        <v>2363</v>
      </c>
      <c r="Q32" s="1894" t="str">
        <f t="shared" si="11"/>
        <v>车位类型</v>
      </c>
      <c r="R32" s="753" t="s">
        <v>25</v>
      </c>
      <c r="S32" s="754">
        <f t="shared" si="12"/>
        <v>100</v>
      </c>
      <c r="T32" s="753" t="s">
        <v>25</v>
      </c>
      <c r="U32" s="754">
        <f t="shared" si="13"/>
        <v>100</v>
      </c>
      <c r="V32" s="753" t="s">
        <v>25</v>
      </c>
      <c r="W32" s="754">
        <f t="shared" si="14"/>
        <v>100</v>
      </c>
      <c r="X32" s="1895"/>
      <c r="Y32" s="3160"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60"/>
      <c r="Q33" s="1894" t="str">
        <f t="shared" si="11"/>
        <v>是否直接入户</v>
      </c>
      <c r="R33" s="753" t="s">
        <v>25</v>
      </c>
      <c r="S33" s="754">
        <f t="shared" si="12"/>
        <v>100</v>
      </c>
      <c r="T33" s="753" t="s">
        <v>25</v>
      </c>
      <c r="U33" s="754">
        <f t="shared" si="13"/>
        <v>100</v>
      </c>
      <c r="V33" s="753" t="s">
        <v>25</v>
      </c>
      <c r="W33" s="754">
        <f t="shared" si="14"/>
        <v>100</v>
      </c>
      <c r="X33" s="1895"/>
      <c r="Y33" s="3160"/>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60"/>
      <c r="Q34" s="1894">
        <f t="shared" si="11"/>
        <v>111</v>
      </c>
      <c r="R34" s="753" t="s">
        <v>25</v>
      </c>
      <c r="S34" s="754">
        <f t="shared" si="12"/>
        <v>100</v>
      </c>
      <c r="T34" s="753" t="s">
        <v>25</v>
      </c>
      <c r="U34" s="754">
        <f t="shared" si="13"/>
        <v>100</v>
      </c>
      <c r="V34" s="753" t="s">
        <v>25</v>
      </c>
      <c r="W34" s="754">
        <f t="shared" si="14"/>
        <v>100</v>
      </c>
      <c r="X34" s="1895"/>
      <c r="Y34" s="3160"/>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60"/>
      <c r="Q35" s="755">
        <f t="shared" si="11"/>
        <v>111</v>
      </c>
      <c r="R35" s="756" t="s">
        <v>25</v>
      </c>
      <c r="S35" s="757">
        <f t="shared" si="12"/>
        <v>100</v>
      </c>
      <c r="T35" s="756" t="s">
        <v>25</v>
      </c>
      <c r="U35" s="757">
        <f t="shared" si="13"/>
        <v>100</v>
      </c>
      <c r="V35" s="756" t="s">
        <v>25</v>
      </c>
      <c r="W35" s="757">
        <f t="shared" si="14"/>
        <v>100</v>
      </c>
      <c r="X35" s="758"/>
      <c r="Y35" s="3160"/>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60"/>
      <c r="Q36" s="1894">
        <f t="shared" si="11"/>
        <v>111</v>
      </c>
      <c r="R36" s="753" t="s">
        <v>25</v>
      </c>
      <c r="S36" s="754">
        <f t="shared" si="12"/>
        <v>100</v>
      </c>
      <c r="T36" s="753" t="s">
        <v>25</v>
      </c>
      <c r="U36" s="754">
        <f t="shared" si="13"/>
        <v>100</v>
      </c>
      <c r="V36" s="753" t="s">
        <v>25</v>
      </c>
      <c r="W36" s="754">
        <f t="shared" si="14"/>
        <v>100</v>
      </c>
      <c r="X36" s="1895"/>
      <c r="Y36" s="3160"/>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52" t="str">
        <f>A37</f>
        <v>成交单价</v>
      </c>
      <c r="Q37" s="3152"/>
      <c r="R37" s="3148">
        <f>E37</f>
        <v>0</v>
      </c>
      <c r="S37" s="3148"/>
      <c r="T37" s="3148">
        <f>G37</f>
        <v>0</v>
      </c>
      <c r="U37" s="3148"/>
      <c r="V37" s="3148">
        <f>I37</f>
        <v>0</v>
      </c>
      <c r="W37" s="3148"/>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52" t="str">
        <f>A38</f>
        <v>比较价值</v>
      </c>
      <c r="Q38" s="3152"/>
      <c r="R38" s="3148" t="e">
        <f>IF(E1="售价",ROUND(PRODUCT(R37,AA7:AA36),0),ROUND(PRODUCT(R37,AA7:AA36),1))</f>
        <v>#DIV/0!</v>
      </c>
      <c r="S38" s="3148"/>
      <c r="T38" s="3148" t="e">
        <f>IF(E1="售价",ROUND(PRODUCT(T37,AB7:AB36),0),ROUND(PRODUCT(T37,AB7:AB36),1))</f>
        <v>#DIV/0!</v>
      </c>
      <c r="U38" s="3148"/>
      <c r="V38" s="3148" t="e">
        <f>IF(E1="售价",ROUND(PRODUCT(V37,AC7:AC36),0),ROUND(PRODUCT(V37,AC7:AC36),1))</f>
        <v>#DIV/0!</v>
      </c>
      <c r="W38" s="3148"/>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149" t="str">
        <f>A39</f>
        <v>估价对象XX用房的比较价值（楼面单价，元/平方米）</v>
      </c>
      <c r="Q39" s="3150"/>
      <c r="R39" s="3151" t="e">
        <f>IF(E1="售价",ROUND(AVERAGE(R38:V38),0),ROUND(AVERAGE(R38:V38),1))</f>
        <v>#DIV/0!</v>
      </c>
      <c r="S39" s="3151"/>
      <c r="T39" s="3151"/>
      <c r="U39" s="3151"/>
      <c r="V39" s="3151"/>
      <c r="W39" s="3151"/>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2021-1</v>
      </c>
      <c r="D48" s="1675">
        <f>EDATE(C48,-1)</f>
        <v>44166</v>
      </c>
      <c r="E48" s="1675">
        <f t="shared" ref="E48:O48" si="16">EDATE(D48,-1)</f>
        <v>44136</v>
      </c>
      <c r="F48" s="1675">
        <f t="shared" si="16"/>
        <v>44105</v>
      </c>
      <c r="G48" s="1675">
        <f t="shared" si="16"/>
        <v>44075</v>
      </c>
      <c r="H48" s="1675">
        <f t="shared" si="16"/>
        <v>44044</v>
      </c>
      <c r="I48" s="1675">
        <f t="shared" si="16"/>
        <v>44013</v>
      </c>
      <c r="J48" s="1675">
        <f t="shared" si="16"/>
        <v>43983</v>
      </c>
      <c r="K48" s="1675">
        <f t="shared" si="16"/>
        <v>43952</v>
      </c>
      <c r="L48" s="1675">
        <f t="shared" si="16"/>
        <v>43922</v>
      </c>
      <c r="M48" s="1675">
        <f t="shared" si="16"/>
        <v>43891</v>
      </c>
      <c r="N48" s="1675">
        <f t="shared" si="16"/>
        <v>43862</v>
      </c>
      <c r="O48" s="1675">
        <f t="shared" si="16"/>
        <v>43831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77" t="s">
        <v>2335</v>
      </c>
      <c r="AC4" s="3176" t="s">
        <v>2336</v>
      </c>
    </row>
    <row r="5" spans="1:29" ht="15">
      <c r="A5" s="383"/>
      <c r="B5" s="384"/>
      <c r="C5" s="3164" t="s">
        <v>2339</v>
      </c>
      <c r="D5" s="3165"/>
      <c r="E5" s="3190" t="s">
        <v>2340</v>
      </c>
      <c r="F5" s="3191"/>
      <c r="G5" s="3164" t="s">
        <v>2341</v>
      </c>
      <c r="H5" s="3165"/>
      <c r="I5" s="3164" t="s">
        <v>2342</v>
      </c>
      <c r="J5" s="3165"/>
      <c r="K5" s="594"/>
      <c r="L5" s="1239"/>
      <c r="M5" s="1240"/>
      <c r="N5" s="1240"/>
      <c r="O5" s="1240"/>
      <c r="P5" s="3185"/>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594" t="s">
        <v>2344</v>
      </c>
      <c r="L6" s="1239"/>
      <c r="M6" s="1240"/>
      <c r="N6" s="1240"/>
      <c r="O6" s="1240"/>
      <c r="P6" s="3187"/>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66" t="s">
        <v>2346</v>
      </c>
      <c r="Q7" s="3174"/>
      <c r="R7" s="749" t="s">
        <v>25</v>
      </c>
      <c r="S7" s="750">
        <f t="shared" ref="S7:S14" si="0">F7</f>
        <v>0</v>
      </c>
      <c r="T7" s="749" t="s">
        <v>25</v>
      </c>
      <c r="U7" s="750">
        <f t="shared" ref="U7:U14" si="1">H7</f>
        <v>0</v>
      </c>
      <c r="V7" s="749" t="s">
        <v>25</v>
      </c>
      <c r="W7" s="750">
        <f t="shared" ref="W7:W14" si="2">J7</f>
        <v>0</v>
      </c>
      <c r="X7" s="751"/>
      <c r="Y7" s="3166" t="s">
        <v>2346</v>
      </c>
      <c r="Z7" s="3167"/>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66" t="s">
        <v>2349</v>
      </c>
      <c r="Q8" s="3167"/>
      <c r="R8" s="749" t="s">
        <v>25</v>
      </c>
      <c r="S8" s="750">
        <f t="shared" si="0"/>
        <v>0</v>
      </c>
      <c r="T8" s="749" t="s">
        <v>25</v>
      </c>
      <c r="U8" s="750">
        <f t="shared" si="1"/>
        <v>0</v>
      </c>
      <c r="V8" s="749" t="s">
        <v>25</v>
      </c>
      <c r="W8" s="750">
        <f t="shared" si="2"/>
        <v>0</v>
      </c>
      <c r="X8" s="751"/>
      <c r="Y8" s="3166" t="s">
        <v>2349</v>
      </c>
      <c r="Z8" s="3167"/>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52" t="s">
        <v>2352</v>
      </c>
      <c r="Q9" s="1882" t="str">
        <f t="shared" ref="Q9:Q14" si="6">B9</f>
        <v>用途</v>
      </c>
      <c r="R9" s="749" t="s">
        <v>25</v>
      </c>
      <c r="S9" s="750">
        <f t="shared" si="0"/>
        <v>100</v>
      </c>
      <c r="T9" s="749" t="s">
        <v>25</v>
      </c>
      <c r="U9" s="750">
        <f t="shared" si="1"/>
        <v>100</v>
      </c>
      <c r="V9" s="749" t="s">
        <v>25</v>
      </c>
      <c r="W9" s="750">
        <f t="shared" si="2"/>
        <v>100</v>
      </c>
      <c r="X9" s="751"/>
      <c r="Y9" s="2981"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52"/>
      <c r="Q10" s="1882"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52"/>
      <c r="Q11" s="1882">
        <f t="shared" si="6"/>
        <v>111</v>
      </c>
      <c r="R11" s="749" t="s">
        <v>25</v>
      </c>
      <c r="S11" s="750">
        <f t="shared" si="0"/>
        <v>100</v>
      </c>
      <c r="T11" s="749" t="s">
        <v>25</v>
      </c>
      <c r="U11" s="750">
        <f t="shared" si="1"/>
        <v>100</v>
      </c>
      <c r="V11" s="749" t="s">
        <v>25</v>
      </c>
      <c r="W11" s="750">
        <f t="shared" si="2"/>
        <v>100</v>
      </c>
      <c r="X11" s="751"/>
      <c r="Y11" s="2981"/>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52"/>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52"/>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28.25">
      <c r="A14" s="419" t="s">
        <v>2356</v>
      </c>
      <c r="B14" s="26" t="s">
        <v>2498</v>
      </c>
      <c r="C14" s="2474" t="str">
        <f>IF(B1="工业",估价对象房地状况!G4,估价对象房地状况!C6)</f>
        <v>估价对象周边公共交通包括：54路、58路、382路等公交线路，1公里以内有地铁1号线和14号线换乘站大望路地铁站。综合评价交通便捷度好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55" t="s">
        <v>2357</v>
      </c>
      <c r="Q14" s="1894" t="str">
        <f t="shared" si="6"/>
        <v>交通便捷度</v>
      </c>
      <c r="R14" s="753" t="s">
        <v>25</v>
      </c>
      <c r="S14" s="754">
        <f t="shared" si="0"/>
        <v>100</v>
      </c>
      <c r="T14" s="753" t="s">
        <v>25</v>
      </c>
      <c r="U14" s="754">
        <f t="shared" si="1"/>
        <v>100</v>
      </c>
      <c r="V14" s="753" t="s">
        <v>25</v>
      </c>
      <c r="W14" s="754">
        <f t="shared" si="2"/>
        <v>100</v>
      </c>
      <c r="X14" s="1895"/>
      <c r="Y14" s="3155"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56"/>
      <c r="Q15" s="1894"/>
      <c r="R15" s="753"/>
      <c r="S15" s="754"/>
      <c r="T15" s="753"/>
      <c r="U15" s="754"/>
      <c r="V15" s="753"/>
      <c r="W15" s="754"/>
      <c r="X15" s="1895"/>
      <c r="Y15" s="3156"/>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56"/>
      <c r="Q16" s="1894" t="str">
        <f>B16</f>
        <v>公共配套设施</v>
      </c>
      <c r="R16" s="753" t="s">
        <v>25</v>
      </c>
      <c r="S16" s="754">
        <f>F16</f>
        <v>100</v>
      </c>
      <c r="T16" s="753" t="s">
        <v>25</v>
      </c>
      <c r="U16" s="754">
        <f>H16</f>
        <v>100</v>
      </c>
      <c r="V16" s="753" t="s">
        <v>25</v>
      </c>
      <c r="W16" s="754">
        <f>J16</f>
        <v>100</v>
      </c>
      <c r="X16" s="1895"/>
      <c r="Y16" s="315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56"/>
      <c r="Q17" s="1894"/>
      <c r="R17" s="753"/>
      <c r="S17" s="754"/>
      <c r="T17" s="753"/>
      <c r="U17" s="754"/>
      <c r="V17" s="753"/>
      <c r="W17" s="754"/>
      <c r="X17" s="1895"/>
      <c r="Y17" s="3156"/>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56"/>
      <c r="Q18" s="1894" t="str">
        <f>B18</f>
        <v>基础设施水平</v>
      </c>
      <c r="R18" s="753" t="s">
        <v>25</v>
      </c>
      <c r="S18" s="754">
        <f>F18</f>
        <v>100</v>
      </c>
      <c r="T18" s="753" t="s">
        <v>25</v>
      </c>
      <c r="U18" s="754">
        <f>H18</f>
        <v>100</v>
      </c>
      <c r="V18" s="753" t="s">
        <v>25</v>
      </c>
      <c r="W18" s="754">
        <f>J18</f>
        <v>100</v>
      </c>
      <c r="X18" s="1895"/>
      <c r="Y18" s="315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56"/>
      <c r="Q19" s="1894"/>
      <c r="R19" s="753"/>
      <c r="S19" s="754"/>
      <c r="T19" s="753"/>
      <c r="U19" s="754"/>
      <c r="V19" s="753"/>
      <c r="W19" s="754"/>
      <c r="X19" s="1895"/>
      <c r="Y19" s="3156"/>
      <c r="Z19" s="1897"/>
      <c r="AA19" s="1898">
        <v>1</v>
      </c>
      <c r="AB19" s="1898">
        <v>1</v>
      </c>
      <c r="AC19" s="1898">
        <v>1</v>
      </c>
    </row>
    <row r="20" spans="1:29" ht="114">
      <c r="A20" s="408"/>
      <c r="B20" s="431" t="s">
        <v>2499</v>
      </c>
      <c r="C20" s="2401" t="str">
        <f>IF(B1="工业",估价对象房地状况!G7,估价对象房地状况!C9)</f>
        <v>区域自然环境：庆丰公园、惠水湾森林公园；人文环境：首都经济贸易大学（红庙校区）、中央电视台；综合评价环境状况好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56"/>
      <c r="Q20" s="1894" t="str">
        <f>B20</f>
        <v>自然及人文环境</v>
      </c>
      <c r="R20" s="753" t="s">
        <v>25</v>
      </c>
      <c r="S20" s="754">
        <f>F20</f>
        <v>100</v>
      </c>
      <c r="T20" s="753" t="s">
        <v>25</v>
      </c>
      <c r="U20" s="754">
        <f>H20</f>
        <v>100</v>
      </c>
      <c r="V20" s="753" t="s">
        <v>25</v>
      </c>
      <c r="W20" s="754">
        <f>J20</f>
        <v>100</v>
      </c>
      <c r="X20" s="1895"/>
      <c r="Y20" s="315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56"/>
      <c r="Q21" s="1894"/>
      <c r="R21" s="753"/>
      <c r="S21" s="754"/>
      <c r="T21" s="753"/>
      <c r="U21" s="754"/>
      <c r="V21" s="753"/>
      <c r="W21" s="754"/>
      <c r="X21" s="1895"/>
      <c r="Y21" s="3156"/>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56"/>
      <c r="Q22" s="1894" t="str">
        <f>B22</f>
        <v>楼层</v>
      </c>
      <c r="R22" s="753" t="s">
        <v>25</v>
      </c>
      <c r="S22" s="754">
        <f>F22</f>
        <v>100</v>
      </c>
      <c r="T22" s="753" t="s">
        <v>25</v>
      </c>
      <c r="U22" s="754">
        <f>H22</f>
        <v>100</v>
      </c>
      <c r="V22" s="753" t="s">
        <v>25</v>
      </c>
      <c r="W22" s="754">
        <f>J22</f>
        <v>100</v>
      </c>
      <c r="X22" s="1895"/>
      <c r="Y22" s="3156"/>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56"/>
      <c r="Q23" s="1894">
        <f>B23</f>
        <v>111</v>
      </c>
      <c r="R23" s="753" t="s">
        <v>25</v>
      </c>
      <c r="S23" s="754">
        <f>F23</f>
        <v>100</v>
      </c>
      <c r="T23" s="753" t="s">
        <v>25</v>
      </c>
      <c r="U23" s="754">
        <f>H23</f>
        <v>100</v>
      </c>
      <c r="V23" s="753" t="s">
        <v>25</v>
      </c>
      <c r="W23" s="754">
        <f>J23</f>
        <v>100</v>
      </c>
      <c r="X23" s="1895"/>
      <c r="Y23" s="3156"/>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56"/>
      <c r="Q24" s="1894">
        <f t="shared" ref="Q24:Q34" si="11">B24</f>
        <v>111</v>
      </c>
      <c r="R24" s="753" t="s">
        <v>25</v>
      </c>
      <c r="S24" s="754">
        <f>F24</f>
        <v>100</v>
      </c>
      <c r="T24" s="753" t="s">
        <v>25</v>
      </c>
      <c r="U24" s="754">
        <f>H24</f>
        <v>100</v>
      </c>
      <c r="V24" s="753" t="s">
        <v>25</v>
      </c>
      <c r="W24" s="754">
        <f>J24</f>
        <v>100</v>
      </c>
      <c r="X24" s="1895"/>
      <c r="Y24" s="3156"/>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56"/>
      <c r="Q25" s="1882">
        <f t="shared" si="11"/>
        <v>111</v>
      </c>
      <c r="R25" s="749" t="s">
        <v>25</v>
      </c>
      <c r="S25" s="750">
        <f>F25</f>
        <v>100</v>
      </c>
      <c r="T25" s="749" t="s">
        <v>25</v>
      </c>
      <c r="U25" s="750">
        <f>H25</f>
        <v>100</v>
      </c>
      <c r="V25" s="749" t="s">
        <v>25</v>
      </c>
      <c r="W25" s="750">
        <f>J25</f>
        <v>100</v>
      </c>
      <c r="X25" s="751"/>
      <c r="Y25" s="3156"/>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05"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60"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60"/>
      <c r="Q27" s="755" t="str">
        <f t="shared" si="11"/>
        <v>成新率</v>
      </c>
      <c r="R27" s="756" t="s">
        <v>25</v>
      </c>
      <c r="S27" s="757" t="e">
        <f t="shared" si="12"/>
        <v>#N/A</v>
      </c>
      <c r="T27" s="756" t="s">
        <v>25</v>
      </c>
      <c r="U27" s="757" t="e">
        <f t="shared" si="13"/>
        <v>#N/A</v>
      </c>
      <c r="V27" s="756" t="s">
        <v>25</v>
      </c>
      <c r="W27" s="757" t="e">
        <f t="shared" si="14"/>
        <v>#N/A</v>
      </c>
      <c r="X27" s="758"/>
      <c r="Y27" s="3160"/>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60"/>
      <c r="Q28" s="1894" t="str">
        <f t="shared" si="11"/>
        <v>物业等级</v>
      </c>
      <c r="R28" s="753" t="s">
        <v>25</v>
      </c>
      <c r="S28" s="754">
        <f t="shared" si="12"/>
        <v>100</v>
      </c>
      <c r="T28" s="753" t="s">
        <v>25</v>
      </c>
      <c r="U28" s="754">
        <f t="shared" si="13"/>
        <v>100</v>
      </c>
      <c r="V28" s="753" t="s">
        <v>25</v>
      </c>
      <c r="W28" s="754">
        <f t="shared" si="14"/>
        <v>100</v>
      </c>
      <c r="X28" s="1895"/>
      <c r="Y28" s="3160"/>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60"/>
      <c r="Q29" s="1894" t="str">
        <f t="shared" si="11"/>
        <v>有无电梯</v>
      </c>
      <c r="R29" s="753" t="s">
        <v>25</v>
      </c>
      <c r="S29" s="754">
        <f t="shared" si="12"/>
        <v>100</v>
      </c>
      <c r="T29" s="753" t="s">
        <v>25</v>
      </c>
      <c r="U29" s="754">
        <f t="shared" si="13"/>
        <v>100</v>
      </c>
      <c r="V29" s="753" t="s">
        <v>25</v>
      </c>
      <c r="W29" s="754">
        <f t="shared" si="14"/>
        <v>100</v>
      </c>
      <c r="X29" s="1895"/>
      <c r="Y29" s="3160"/>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60"/>
      <c r="Q30" s="1894" t="str">
        <f t="shared" si="11"/>
        <v>建筑面积</v>
      </c>
      <c r="R30" s="753" t="s">
        <v>25</v>
      </c>
      <c r="S30" s="754" t="e">
        <f t="shared" si="12"/>
        <v>#N/A</v>
      </c>
      <c r="T30" s="753" t="s">
        <v>25</v>
      </c>
      <c r="U30" s="754" t="e">
        <f t="shared" si="13"/>
        <v>#N/A</v>
      </c>
      <c r="V30" s="753" t="s">
        <v>25</v>
      </c>
      <c r="W30" s="754" t="e">
        <f t="shared" si="14"/>
        <v>#N/A</v>
      </c>
      <c r="X30" s="1895"/>
      <c r="Y30" s="3160"/>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60"/>
      <c r="Q31" s="1882" t="str">
        <f t="shared" si="11"/>
        <v>是否封闭</v>
      </c>
      <c r="R31" s="749" t="s">
        <v>25</v>
      </c>
      <c r="S31" s="750">
        <f t="shared" si="12"/>
        <v>100</v>
      </c>
      <c r="T31" s="749" t="s">
        <v>25</v>
      </c>
      <c r="U31" s="750">
        <f t="shared" si="13"/>
        <v>100</v>
      </c>
      <c r="V31" s="749" t="s">
        <v>25</v>
      </c>
      <c r="W31" s="750">
        <f t="shared" si="14"/>
        <v>100</v>
      </c>
      <c r="X31" s="751"/>
      <c r="Y31" s="3160"/>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60" t="s">
        <v>2363</v>
      </c>
      <c r="Q32" s="1894">
        <f t="shared" si="11"/>
        <v>111</v>
      </c>
      <c r="R32" s="753" t="s">
        <v>25</v>
      </c>
      <c r="S32" s="754">
        <f t="shared" si="12"/>
        <v>100</v>
      </c>
      <c r="T32" s="753" t="s">
        <v>25</v>
      </c>
      <c r="U32" s="754">
        <f t="shared" si="13"/>
        <v>100</v>
      </c>
      <c r="V32" s="753" t="s">
        <v>25</v>
      </c>
      <c r="W32" s="754">
        <f t="shared" si="14"/>
        <v>100</v>
      </c>
      <c r="X32" s="1895"/>
      <c r="Y32" s="3160"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60"/>
      <c r="Q33" s="1894">
        <f t="shared" si="11"/>
        <v>111</v>
      </c>
      <c r="R33" s="753" t="s">
        <v>25</v>
      </c>
      <c r="S33" s="754">
        <f t="shared" si="12"/>
        <v>100</v>
      </c>
      <c r="T33" s="753" t="s">
        <v>25</v>
      </c>
      <c r="U33" s="754">
        <f t="shared" si="13"/>
        <v>100</v>
      </c>
      <c r="V33" s="753" t="s">
        <v>25</v>
      </c>
      <c r="W33" s="754">
        <f t="shared" si="14"/>
        <v>100</v>
      </c>
      <c r="X33" s="1895"/>
      <c r="Y33" s="3160"/>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60"/>
      <c r="Q34" s="1894">
        <f t="shared" si="11"/>
        <v>111</v>
      </c>
      <c r="R34" s="753" t="s">
        <v>25</v>
      </c>
      <c r="S34" s="754">
        <f t="shared" si="12"/>
        <v>100</v>
      </c>
      <c r="T34" s="753" t="s">
        <v>25</v>
      </c>
      <c r="U34" s="754">
        <f t="shared" si="13"/>
        <v>100</v>
      </c>
      <c r="V34" s="753" t="s">
        <v>25</v>
      </c>
      <c r="W34" s="754">
        <f t="shared" si="14"/>
        <v>100</v>
      </c>
      <c r="X34" s="1895"/>
      <c r="Y34" s="3160"/>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52" t="str">
        <f>A35</f>
        <v>成交单价（元/平方米）</v>
      </c>
      <c r="Q35" s="3152"/>
      <c r="R35" s="3148">
        <f>E35</f>
        <v>0</v>
      </c>
      <c r="S35" s="3148"/>
      <c r="T35" s="3148">
        <f>G35</f>
        <v>0</v>
      </c>
      <c r="U35" s="3148"/>
      <c r="V35" s="3148">
        <f>I35</f>
        <v>0</v>
      </c>
      <c r="W35" s="3148"/>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52" t="str">
        <f>A36</f>
        <v>比较价值（元/平方米）</v>
      </c>
      <c r="Q36" s="3152"/>
      <c r="R36" s="3148" t="e">
        <f>IF(E1="售价",ROUND(PRODUCT(R35,AA7:AA34),0),ROUND(PRODUCT(R35,AA7:AA34),1))</f>
        <v>#DIV/0!</v>
      </c>
      <c r="S36" s="3148"/>
      <c r="T36" s="3148" t="e">
        <f>IF(E1="售价",ROUND(PRODUCT(T35,AB7:AB34),0),ROUND(PRODUCT(T35,AB7:AB34),1))</f>
        <v>#DIV/0!</v>
      </c>
      <c r="U36" s="3148"/>
      <c r="V36" s="3148" t="e">
        <f>IF(E1="售价",ROUND(PRODUCT(V35,AC7:AC34),0),ROUND(PRODUCT(V35,AC7:AC34),1))</f>
        <v>#DIV/0!</v>
      </c>
      <c r="W36" s="3148"/>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149" t="str">
        <f>A37</f>
        <v>估价对象XX用房的比较价值（楼面单价，元/平方米）</v>
      </c>
      <c r="Q37" s="3150"/>
      <c r="R37" s="3151" t="e">
        <f>IF(E1="售价",ROUND(AVERAGE(R36:V36),0),ROUND(AVERAGE(R36:V36),1))</f>
        <v>#DIV/0!</v>
      </c>
      <c r="S37" s="3151"/>
      <c r="T37" s="3151"/>
      <c r="U37" s="3151"/>
      <c r="V37" s="3151"/>
      <c r="W37" s="3151"/>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2021-1</v>
      </c>
      <c r="D46" s="1675">
        <f>EDATE(C46,-1)</f>
        <v>44166</v>
      </c>
      <c r="E46" s="1675">
        <f t="shared" ref="E46:O46" si="16">EDATE(D46,-1)</f>
        <v>44136</v>
      </c>
      <c r="F46" s="1675">
        <f t="shared" si="16"/>
        <v>44105</v>
      </c>
      <c r="G46" s="1675">
        <f t="shared" si="16"/>
        <v>44075</v>
      </c>
      <c r="H46" s="1675">
        <f t="shared" si="16"/>
        <v>44044</v>
      </c>
      <c r="I46" s="1675">
        <f t="shared" si="16"/>
        <v>44013</v>
      </c>
      <c r="J46" s="1675">
        <f t="shared" si="16"/>
        <v>43983</v>
      </c>
      <c r="K46" s="1675">
        <f t="shared" si="16"/>
        <v>43952</v>
      </c>
      <c r="L46" s="1675">
        <f t="shared" si="16"/>
        <v>43922</v>
      </c>
      <c r="M46" s="1675">
        <f t="shared" si="16"/>
        <v>43891</v>
      </c>
      <c r="N46" s="1675">
        <f t="shared" si="16"/>
        <v>43862</v>
      </c>
      <c r="O46" s="1675">
        <f t="shared" si="16"/>
        <v>43831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77" t="s">
        <v>2335</v>
      </c>
      <c r="AC4" s="3176" t="s">
        <v>2336</v>
      </c>
    </row>
    <row r="5" spans="1:30" ht="15">
      <c r="A5" s="383"/>
      <c r="B5" s="384"/>
      <c r="C5" s="3164" t="s">
        <v>2339</v>
      </c>
      <c r="D5" s="3165"/>
      <c r="E5" s="3190" t="s">
        <v>2340</v>
      </c>
      <c r="F5" s="3191"/>
      <c r="G5" s="3164" t="s">
        <v>2341</v>
      </c>
      <c r="H5" s="3165"/>
      <c r="I5" s="3164" t="s">
        <v>2342</v>
      </c>
      <c r="J5" s="3165"/>
      <c r="K5" s="594"/>
      <c r="L5" s="1239"/>
      <c r="M5" s="1240"/>
      <c r="N5" s="1240"/>
      <c r="O5" s="1240"/>
      <c r="P5" s="3185"/>
      <c r="Q5" s="3186"/>
      <c r="R5" s="3170"/>
      <c r="S5" s="3171"/>
      <c r="T5" s="3170"/>
      <c r="U5" s="3171"/>
      <c r="V5" s="3189"/>
      <c r="W5" s="3189"/>
      <c r="X5" s="1895"/>
      <c r="Y5" s="3170"/>
      <c r="Z5" s="3171"/>
      <c r="AA5" s="3177"/>
      <c r="AB5" s="3177"/>
      <c r="AC5" s="3177"/>
    </row>
    <row r="6" spans="1:30" ht="15.75" thickBot="1">
      <c r="A6" s="385"/>
      <c r="B6" s="386"/>
      <c r="C6" s="3162" t="s">
        <v>2343</v>
      </c>
      <c r="D6" s="3163"/>
      <c r="E6" s="3192" t="s">
        <v>2343</v>
      </c>
      <c r="F6" s="3193"/>
      <c r="G6" s="3162" t="s">
        <v>2343</v>
      </c>
      <c r="H6" s="3163"/>
      <c r="I6" s="3162" t="s">
        <v>2343</v>
      </c>
      <c r="J6" s="3163"/>
      <c r="K6" s="594" t="s">
        <v>2344</v>
      </c>
      <c r="L6" s="1239"/>
      <c r="M6" s="1240"/>
      <c r="N6" s="1240"/>
      <c r="O6" s="1240"/>
      <c r="P6" s="3187"/>
      <c r="Q6" s="3188"/>
      <c r="R6" s="3170"/>
      <c r="S6" s="3171"/>
      <c r="T6" s="3172"/>
      <c r="U6" s="3173"/>
      <c r="V6" s="3189"/>
      <c r="W6" s="3189"/>
      <c r="X6" s="1895"/>
      <c r="Y6" s="3172"/>
      <c r="Z6" s="3173"/>
      <c r="AA6" s="3178"/>
      <c r="AB6" s="3178"/>
      <c r="AC6" s="3178"/>
    </row>
    <row r="7" spans="1:30" s="35" customFormat="1" ht="15.75" thickBot="1">
      <c r="A7" s="387" t="s">
        <v>2345</v>
      </c>
      <c r="B7" s="388"/>
      <c r="C7" s="389">
        <f>'数据-取费表'!B2</f>
        <v>44202</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66" t="s">
        <v>2346</v>
      </c>
      <c r="Q7" s="3174"/>
      <c r="R7" s="749" t="s">
        <v>25</v>
      </c>
      <c r="S7" s="750">
        <f t="shared" ref="S7:S15" si="0">F7</f>
        <v>0</v>
      </c>
      <c r="T7" s="749" t="s">
        <v>25</v>
      </c>
      <c r="U7" s="750">
        <f t="shared" ref="U7:U15" si="1">H7</f>
        <v>0</v>
      </c>
      <c r="V7" s="749" t="s">
        <v>25</v>
      </c>
      <c r="W7" s="750">
        <f t="shared" ref="W7:W15" si="2">J7</f>
        <v>0</v>
      </c>
      <c r="X7" s="751"/>
      <c r="Y7" s="3166" t="s">
        <v>2346</v>
      </c>
      <c r="Z7" s="3167"/>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66" t="s">
        <v>2349</v>
      </c>
      <c r="Q8" s="3167"/>
      <c r="R8" s="749" t="s">
        <v>25</v>
      </c>
      <c r="S8" s="750">
        <f t="shared" si="0"/>
        <v>0</v>
      </c>
      <c r="T8" s="749" t="s">
        <v>25</v>
      </c>
      <c r="U8" s="750">
        <f t="shared" si="1"/>
        <v>0</v>
      </c>
      <c r="V8" s="749" t="s">
        <v>25</v>
      </c>
      <c r="W8" s="750">
        <f t="shared" si="2"/>
        <v>0</v>
      </c>
      <c r="X8" s="751"/>
      <c r="Y8" s="3166" t="s">
        <v>2349</v>
      </c>
      <c r="Z8" s="3167"/>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52"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119</v>
      </c>
      <c r="G10" s="444"/>
      <c r="H10" s="52">
        <f>ROUND(100/'数据-取费表'!B14,0)</f>
        <v>119</v>
      </c>
      <c r="I10" s="444"/>
      <c r="J10" s="52">
        <f>ROUND(100/'数据-取费表'!B14,0)</f>
        <v>119</v>
      </c>
      <c r="K10" s="655"/>
      <c r="L10" s="1244"/>
      <c r="M10" s="1245"/>
      <c r="N10" s="1245"/>
      <c r="O10" s="1246"/>
      <c r="P10" s="3152"/>
      <c r="Q10" s="1882" t="str">
        <f t="shared" si="6"/>
        <v>土地使用年限（年）</v>
      </c>
      <c r="R10" s="749" t="s">
        <v>25</v>
      </c>
      <c r="S10" s="750">
        <f t="shared" si="0"/>
        <v>119</v>
      </c>
      <c r="T10" s="749" t="s">
        <v>25</v>
      </c>
      <c r="U10" s="750">
        <f t="shared" si="1"/>
        <v>119</v>
      </c>
      <c r="V10" s="749" t="s">
        <v>25</v>
      </c>
      <c r="W10" s="750">
        <f t="shared" si="2"/>
        <v>119</v>
      </c>
      <c r="X10" s="751"/>
      <c r="Y10" s="2981"/>
      <c r="Z10" s="23" t="str">
        <f t="shared" si="7"/>
        <v>土地使用年限（年）</v>
      </c>
      <c r="AA10" s="752">
        <f t="shared" si="3"/>
        <v>0.84033613445378152</v>
      </c>
      <c r="AB10" s="752">
        <f t="shared" si="4"/>
        <v>0.84033613445378152</v>
      </c>
      <c r="AC10" s="752">
        <f t="shared" si="5"/>
        <v>0.84033613445378152</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52"/>
      <c r="Q11" s="1882"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52"/>
      <c r="Q12" s="1882" t="str">
        <f t="shared" si="6"/>
        <v>配建</v>
      </c>
      <c r="R12" s="749" t="s">
        <v>25</v>
      </c>
      <c r="S12" s="750">
        <f t="shared" si="0"/>
        <v>100</v>
      </c>
      <c r="T12" s="749" t="s">
        <v>25</v>
      </c>
      <c r="U12" s="750">
        <f t="shared" si="1"/>
        <v>100</v>
      </c>
      <c r="V12" s="749" t="s">
        <v>25</v>
      </c>
      <c r="W12" s="750">
        <f t="shared" si="2"/>
        <v>100</v>
      </c>
      <c r="X12" s="751"/>
      <c r="Y12" s="2981"/>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52"/>
      <c r="Q13" s="1882">
        <f t="shared" si="6"/>
        <v>111</v>
      </c>
      <c r="R13" s="749" t="s">
        <v>25</v>
      </c>
      <c r="S13" s="750">
        <f t="shared" si="0"/>
        <v>100</v>
      </c>
      <c r="T13" s="749" t="s">
        <v>25</v>
      </c>
      <c r="U13" s="750">
        <f t="shared" si="1"/>
        <v>100</v>
      </c>
      <c r="V13" s="749" t="s">
        <v>25</v>
      </c>
      <c r="W13" s="750">
        <f t="shared" si="2"/>
        <v>100</v>
      </c>
      <c r="X13" s="751"/>
      <c r="Y13" s="2981"/>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52"/>
      <c r="Q14" s="1882">
        <f t="shared" si="6"/>
        <v>111</v>
      </c>
      <c r="R14" s="749" t="s">
        <v>25</v>
      </c>
      <c r="S14" s="750">
        <f t="shared" si="0"/>
        <v>100</v>
      </c>
      <c r="T14" s="749" t="s">
        <v>25</v>
      </c>
      <c r="U14" s="750">
        <f t="shared" si="1"/>
        <v>100</v>
      </c>
      <c r="V14" s="749" t="s">
        <v>25</v>
      </c>
      <c r="W14" s="750">
        <f t="shared" si="2"/>
        <v>100</v>
      </c>
      <c r="X14" s="751"/>
      <c r="Y14" s="2981"/>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55" t="s">
        <v>2357</v>
      </c>
      <c r="Q15" s="1894" t="str">
        <f t="shared" si="6"/>
        <v>居住社区成熟度</v>
      </c>
      <c r="R15" s="753" t="s">
        <v>25</v>
      </c>
      <c r="S15" s="754">
        <f t="shared" si="0"/>
        <v>100</v>
      </c>
      <c r="T15" s="753" t="s">
        <v>25</v>
      </c>
      <c r="U15" s="754">
        <f t="shared" si="1"/>
        <v>100</v>
      </c>
      <c r="V15" s="753" t="s">
        <v>25</v>
      </c>
      <c r="W15" s="754">
        <f t="shared" si="2"/>
        <v>100</v>
      </c>
      <c r="X15" s="1895"/>
      <c r="Y15" s="3155"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56"/>
      <c r="Q16" s="1894"/>
      <c r="R16" s="753"/>
      <c r="S16" s="754"/>
      <c r="T16" s="753"/>
      <c r="U16" s="754"/>
      <c r="V16" s="753"/>
      <c r="W16" s="754"/>
      <c r="X16" s="1895"/>
      <c r="Y16" s="3156"/>
      <c r="Z16" s="1897"/>
      <c r="AA16" s="1898">
        <v>1</v>
      </c>
      <c r="AB16" s="1898">
        <v>1</v>
      </c>
      <c r="AC16" s="1898">
        <v>1</v>
      </c>
    </row>
    <row r="17" spans="1:29" ht="71.25">
      <c r="A17" s="383"/>
      <c r="B17" s="1485" t="s">
        <v>2442</v>
      </c>
      <c r="C17" s="2480" t="str">
        <f>估价对象房地状况!C16</f>
        <v>估价对象位于CBD商圈，周边商业氛围成熟，人流量大，商业繁华度好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56"/>
      <c r="Q17" s="1894" t="str">
        <f>B17</f>
        <v>商业繁华度</v>
      </c>
      <c r="R17" s="753" t="s">
        <v>25</v>
      </c>
      <c r="S17" s="754">
        <f>F17</f>
        <v>100</v>
      </c>
      <c r="T17" s="753" t="s">
        <v>25</v>
      </c>
      <c r="U17" s="754">
        <f>H17</f>
        <v>100</v>
      </c>
      <c r="V17" s="753" t="s">
        <v>25</v>
      </c>
      <c r="W17" s="754">
        <f>J17</f>
        <v>100</v>
      </c>
      <c r="X17" s="1895"/>
      <c r="Y17" s="3156"/>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56"/>
      <c r="Q18" s="1894"/>
      <c r="R18" s="753"/>
      <c r="S18" s="754"/>
      <c r="T18" s="753"/>
      <c r="U18" s="754"/>
      <c r="V18" s="753"/>
      <c r="W18" s="754"/>
      <c r="X18" s="1895"/>
      <c r="Y18" s="3156"/>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56"/>
      <c r="Q19" s="1894" t="str">
        <f>B19</f>
        <v>办公集聚程度</v>
      </c>
      <c r="R19" s="753" t="s">
        <v>25</v>
      </c>
      <c r="S19" s="754">
        <f>F19</f>
        <v>100</v>
      </c>
      <c r="T19" s="753" t="s">
        <v>25</v>
      </c>
      <c r="U19" s="754">
        <f>H19</f>
        <v>100</v>
      </c>
      <c r="V19" s="753" t="s">
        <v>25</v>
      </c>
      <c r="W19" s="754">
        <f>J19</f>
        <v>100</v>
      </c>
      <c r="X19" s="1895"/>
      <c r="Y19" s="315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56"/>
      <c r="Q20" s="1894"/>
      <c r="R20" s="753"/>
      <c r="S20" s="754"/>
      <c r="T20" s="753"/>
      <c r="U20" s="754"/>
      <c r="V20" s="753"/>
      <c r="W20" s="754"/>
      <c r="X20" s="1895"/>
      <c r="Y20" s="3156"/>
      <c r="Z20" s="1897"/>
      <c r="AA20" s="1898">
        <v>1</v>
      </c>
      <c r="AB20" s="1898">
        <v>1</v>
      </c>
      <c r="AC20" s="1898">
        <v>1</v>
      </c>
    </row>
    <row r="21" spans="1:29" ht="128.25">
      <c r="A21" s="383"/>
      <c r="B21" s="1485" t="s">
        <v>2498</v>
      </c>
      <c r="C21" s="2463" t="str">
        <f>估价对象房地状况!C18</f>
        <v>估价对象周边公共交通包括：54路、58路、382路等公交线路，1公里以内有地铁1号线和14号线换乘站大望路地铁站。综合评价交通便捷度好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56"/>
      <c r="Q21" s="1894" t="str">
        <f>B21</f>
        <v>交通便捷度</v>
      </c>
      <c r="R21" s="753" t="s">
        <v>25</v>
      </c>
      <c r="S21" s="754">
        <f>F21</f>
        <v>100</v>
      </c>
      <c r="T21" s="753" t="s">
        <v>25</v>
      </c>
      <c r="U21" s="754">
        <f>H21</f>
        <v>100</v>
      </c>
      <c r="V21" s="753" t="s">
        <v>25</v>
      </c>
      <c r="W21" s="754">
        <f>J21</f>
        <v>100</v>
      </c>
      <c r="X21" s="1895"/>
      <c r="Y21" s="315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56"/>
      <c r="Q22" s="1894"/>
      <c r="R22" s="753"/>
      <c r="S22" s="754"/>
      <c r="T22" s="753"/>
      <c r="U22" s="754"/>
      <c r="V22" s="753"/>
      <c r="W22" s="754"/>
      <c r="X22" s="1895"/>
      <c r="Y22" s="3156"/>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56"/>
      <c r="Q23" s="1894" t="str">
        <f t="shared" ref="Q23:Q37" si="8">B23</f>
        <v>区域土地利用方向</v>
      </c>
      <c r="R23" s="753" t="s">
        <v>25</v>
      </c>
      <c r="S23" s="754">
        <f>F23</f>
        <v>100</v>
      </c>
      <c r="T23" s="753" t="s">
        <v>25</v>
      </c>
      <c r="U23" s="754">
        <f>H23</f>
        <v>100</v>
      </c>
      <c r="V23" s="753" t="s">
        <v>25</v>
      </c>
      <c r="W23" s="754">
        <f>J23</f>
        <v>100</v>
      </c>
      <c r="X23" s="1895"/>
      <c r="Y23" s="3156"/>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56"/>
      <c r="Q24" s="1894"/>
      <c r="R24" s="753"/>
      <c r="S24" s="754"/>
      <c r="T24" s="753"/>
      <c r="U24" s="754"/>
      <c r="V24" s="753"/>
      <c r="W24" s="754"/>
      <c r="X24" s="1895"/>
      <c r="Y24" s="3156"/>
      <c r="Z24" s="1897"/>
      <c r="AA24" s="1898"/>
      <c r="AB24" s="1898"/>
      <c r="AC24" s="1898"/>
    </row>
    <row r="25" spans="1:29" ht="114">
      <c r="A25" s="383"/>
      <c r="B25" s="1487" t="s">
        <v>2539</v>
      </c>
      <c r="C25" s="2480" t="str">
        <f>估价对象房地状况!C20</f>
        <v>区域自然环境：庆丰公园、惠水湾森林公园；人文环境：首都经济贸易大学（红庙校区）、中央电视台；综合评价环境状况好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56"/>
      <c r="Q25" s="1894" t="str">
        <f t="shared" si="8"/>
        <v>自然及人文环境状况</v>
      </c>
      <c r="R25" s="753" t="s">
        <v>25</v>
      </c>
      <c r="S25" s="754">
        <f>F25</f>
        <v>100</v>
      </c>
      <c r="T25" s="753" t="s">
        <v>25</v>
      </c>
      <c r="U25" s="754">
        <f>H25</f>
        <v>100</v>
      </c>
      <c r="V25" s="753" t="s">
        <v>25</v>
      </c>
      <c r="W25" s="754">
        <f>J25</f>
        <v>100</v>
      </c>
      <c r="X25" s="1895"/>
      <c r="Y25" s="315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56"/>
      <c r="Q26" s="1894"/>
      <c r="R26" s="753"/>
      <c r="S26" s="754"/>
      <c r="T26" s="753"/>
      <c r="U26" s="754"/>
      <c r="V26" s="753"/>
      <c r="W26" s="754"/>
      <c r="X26" s="1895"/>
      <c r="Y26" s="3156"/>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56"/>
      <c r="Q27" s="1882" t="str">
        <f t="shared" ref="Q27" si="9">B27</f>
        <v>公共配套设施</v>
      </c>
      <c r="R27" s="749" t="s">
        <v>25</v>
      </c>
      <c r="S27" s="750">
        <f>F27</f>
        <v>100</v>
      </c>
      <c r="T27" s="749" t="s">
        <v>25</v>
      </c>
      <c r="U27" s="750">
        <f>H27</f>
        <v>100</v>
      </c>
      <c r="V27" s="749" t="s">
        <v>25</v>
      </c>
      <c r="W27" s="750">
        <f>J27</f>
        <v>100</v>
      </c>
      <c r="X27" s="1895"/>
      <c r="Y27" s="3156"/>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56"/>
      <c r="Q28" s="1894"/>
      <c r="R28" s="753"/>
      <c r="S28" s="754"/>
      <c r="T28" s="753"/>
      <c r="U28" s="754"/>
      <c r="V28" s="753"/>
      <c r="W28" s="754"/>
      <c r="X28" s="1895"/>
      <c r="Y28" s="3156"/>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56"/>
      <c r="Q29" s="1882" t="str">
        <f t="shared" si="8"/>
        <v>基础设施水平</v>
      </c>
      <c r="R29" s="749" t="s">
        <v>25</v>
      </c>
      <c r="S29" s="750">
        <f>F29</f>
        <v>100</v>
      </c>
      <c r="T29" s="749" t="s">
        <v>25</v>
      </c>
      <c r="U29" s="750">
        <f>H29</f>
        <v>100</v>
      </c>
      <c r="V29" s="749" t="s">
        <v>25</v>
      </c>
      <c r="W29" s="750">
        <f>J29</f>
        <v>100</v>
      </c>
      <c r="X29" s="751"/>
      <c r="Y29" s="3156"/>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56"/>
      <c r="Q30" s="1882"/>
      <c r="R30" s="749"/>
      <c r="S30" s="750"/>
      <c r="T30" s="749"/>
      <c r="U30" s="750"/>
      <c r="V30" s="749"/>
      <c r="W30" s="750"/>
      <c r="X30" s="751"/>
      <c r="Y30" s="3156"/>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5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56"/>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56"/>
      <c r="Q32" s="1894" t="str">
        <f t="shared" si="8"/>
        <v>毗邻道路的类型与等级</v>
      </c>
      <c r="R32" s="753" t="s">
        <v>25</v>
      </c>
      <c r="S32" s="754">
        <f t="shared" si="10"/>
        <v>100</v>
      </c>
      <c r="T32" s="753" t="s">
        <v>25</v>
      </c>
      <c r="U32" s="754">
        <f t="shared" si="11"/>
        <v>100</v>
      </c>
      <c r="V32" s="753" t="s">
        <v>25</v>
      </c>
      <c r="W32" s="754">
        <f t="shared" si="12"/>
        <v>100</v>
      </c>
      <c r="X32" s="1895"/>
      <c r="Y32" s="315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56"/>
      <c r="Q33" s="1894"/>
      <c r="R33" s="753"/>
      <c r="S33" s="754"/>
      <c r="T33" s="753"/>
      <c r="U33" s="754"/>
      <c r="V33" s="753"/>
      <c r="W33" s="754"/>
      <c r="X33" s="1895"/>
      <c r="Y33" s="3156"/>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56"/>
      <c r="Q34" s="1894" t="str">
        <f t="shared" si="8"/>
        <v>土地级别</v>
      </c>
      <c r="R34" s="753" t="s">
        <v>25</v>
      </c>
      <c r="S34" s="754">
        <f t="shared" si="10"/>
        <v>100</v>
      </c>
      <c r="T34" s="753" t="s">
        <v>25</v>
      </c>
      <c r="U34" s="754">
        <f t="shared" si="11"/>
        <v>100</v>
      </c>
      <c r="V34" s="753" t="s">
        <v>25</v>
      </c>
      <c r="W34" s="754">
        <f t="shared" si="12"/>
        <v>100</v>
      </c>
      <c r="X34" s="1895"/>
      <c r="Y34" s="315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56"/>
      <c r="Q35" s="1894">
        <f t="shared" si="8"/>
        <v>111</v>
      </c>
      <c r="R35" s="753" t="s">
        <v>25</v>
      </c>
      <c r="S35" s="754">
        <f t="shared" si="10"/>
        <v>100</v>
      </c>
      <c r="T35" s="753" t="s">
        <v>25</v>
      </c>
      <c r="U35" s="754">
        <f t="shared" si="11"/>
        <v>100</v>
      </c>
      <c r="V35" s="753" t="s">
        <v>25</v>
      </c>
      <c r="W35" s="754">
        <f t="shared" si="12"/>
        <v>100</v>
      </c>
      <c r="X35" s="1895"/>
      <c r="Y35" s="315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05" t="s">
        <v>2363</v>
      </c>
      <c r="Q36" s="1894">
        <f t="shared" si="8"/>
        <v>111</v>
      </c>
      <c r="R36" s="753" t="s">
        <v>25</v>
      </c>
      <c r="S36" s="754">
        <f t="shared" si="10"/>
        <v>100</v>
      </c>
      <c r="T36" s="753" t="s">
        <v>25</v>
      </c>
      <c r="U36" s="754">
        <f t="shared" si="11"/>
        <v>100</v>
      </c>
      <c r="V36" s="753" t="s">
        <v>25</v>
      </c>
      <c r="W36" s="754">
        <f t="shared" si="12"/>
        <v>100</v>
      </c>
      <c r="X36" s="1895"/>
      <c r="Y36" s="3160"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60"/>
      <c r="Q37" s="1894">
        <f t="shared" si="8"/>
        <v>111</v>
      </c>
      <c r="R37" s="756" t="s">
        <v>25</v>
      </c>
      <c r="S37" s="757">
        <f t="shared" si="10"/>
        <v>100</v>
      </c>
      <c r="T37" s="756" t="s">
        <v>25</v>
      </c>
      <c r="U37" s="757">
        <f t="shared" si="11"/>
        <v>100</v>
      </c>
      <c r="V37" s="756" t="s">
        <v>25</v>
      </c>
      <c r="W37" s="757">
        <f t="shared" si="12"/>
        <v>100</v>
      </c>
      <c r="X37" s="758"/>
      <c r="Y37" s="3160"/>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60"/>
      <c r="Q38" s="1894" t="str">
        <f>B38</f>
        <v>宗地面积</v>
      </c>
      <c r="R38" s="753" t="s">
        <v>25</v>
      </c>
      <c r="S38" s="754" t="e">
        <f t="shared" si="10"/>
        <v>#N/A</v>
      </c>
      <c r="T38" s="753" t="s">
        <v>25</v>
      </c>
      <c r="U38" s="754" t="e">
        <f t="shared" si="11"/>
        <v>#N/A</v>
      </c>
      <c r="V38" s="753" t="s">
        <v>25</v>
      </c>
      <c r="W38" s="754" t="e">
        <f t="shared" si="12"/>
        <v>#N/A</v>
      </c>
      <c r="X38" s="1895"/>
      <c r="Y38" s="3160"/>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60"/>
      <c r="Q39" s="1894" t="str">
        <f t="shared" ref="Q39:Q45" si="14">B39</f>
        <v>宗地形状</v>
      </c>
      <c r="R39" s="753" t="s">
        <v>25</v>
      </c>
      <c r="S39" s="754">
        <f t="shared" si="10"/>
        <v>100</v>
      </c>
      <c r="T39" s="753" t="s">
        <v>25</v>
      </c>
      <c r="U39" s="754">
        <f t="shared" si="11"/>
        <v>100</v>
      </c>
      <c r="V39" s="753" t="s">
        <v>25</v>
      </c>
      <c r="W39" s="754">
        <f t="shared" si="12"/>
        <v>100</v>
      </c>
      <c r="X39" s="1895"/>
      <c r="Y39" s="3160"/>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60"/>
      <c r="Q40" s="1894" t="str">
        <f t="shared" si="14"/>
        <v>临街宽度及深度</v>
      </c>
      <c r="R40" s="753" t="s">
        <v>25</v>
      </c>
      <c r="S40" s="754">
        <f t="shared" si="10"/>
        <v>100</v>
      </c>
      <c r="T40" s="753" t="s">
        <v>25</v>
      </c>
      <c r="U40" s="754">
        <f t="shared" si="11"/>
        <v>100</v>
      </c>
      <c r="V40" s="753" t="s">
        <v>25</v>
      </c>
      <c r="W40" s="754">
        <f t="shared" si="12"/>
        <v>100</v>
      </c>
      <c r="X40" s="1895"/>
      <c r="Y40" s="3160"/>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60"/>
      <c r="Q41" s="1894" t="str">
        <f t="shared" si="14"/>
        <v>宗地开发程度</v>
      </c>
      <c r="R41" s="749" t="s">
        <v>25</v>
      </c>
      <c r="S41" s="750">
        <f t="shared" si="10"/>
        <v>100</v>
      </c>
      <c r="T41" s="749" t="s">
        <v>25</v>
      </c>
      <c r="U41" s="750">
        <f t="shared" si="11"/>
        <v>100</v>
      </c>
      <c r="V41" s="749" t="s">
        <v>25</v>
      </c>
      <c r="W41" s="750">
        <f t="shared" si="12"/>
        <v>100</v>
      </c>
      <c r="X41" s="751"/>
      <c r="Y41" s="3160"/>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60" t="s">
        <v>2363</v>
      </c>
      <c r="Q42" s="1894" t="str">
        <f t="shared" si="14"/>
        <v>工程地质条件</v>
      </c>
      <c r="R42" s="753" t="s">
        <v>25</v>
      </c>
      <c r="S42" s="754">
        <f t="shared" si="10"/>
        <v>100</v>
      </c>
      <c r="T42" s="753" t="s">
        <v>25</v>
      </c>
      <c r="U42" s="754">
        <f t="shared" si="11"/>
        <v>100</v>
      </c>
      <c r="V42" s="753" t="s">
        <v>25</v>
      </c>
      <c r="W42" s="754">
        <f t="shared" si="12"/>
        <v>100</v>
      </c>
      <c r="X42" s="1895"/>
      <c r="Y42" s="3160"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60"/>
      <c r="Q43" s="1894">
        <f t="shared" si="14"/>
        <v>111</v>
      </c>
      <c r="R43" s="753" t="s">
        <v>25</v>
      </c>
      <c r="S43" s="754">
        <f t="shared" si="10"/>
        <v>100</v>
      </c>
      <c r="T43" s="753" t="s">
        <v>25</v>
      </c>
      <c r="U43" s="754">
        <f t="shared" si="11"/>
        <v>100</v>
      </c>
      <c r="V43" s="753" t="s">
        <v>25</v>
      </c>
      <c r="W43" s="754">
        <f t="shared" si="12"/>
        <v>100</v>
      </c>
      <c r="X43" s="1895"/>
      <c r="Y43" s="3160"/>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60"/>
      <c r="Q44" s="1894">
        <f t="shared" si="14"/>
        <v>111</v>
      </c>
      <c r="R44" s="753" t="s">
        <v>25</v>
      </c>
      <c r="S44" s="754">
        <f t="shared" si="10"/>
        <v>100</v>
      </c>
      <c r="T44" s="753" t="s">
        <v>25</v>
      </c>
      <c r="U44" s="754">
        <f t="shared" si="11"/>
        <v>100</v>
      </c>
      <c r="V44" s="753" t="s">
        <v>25</v>
      </c>
      <c r="W44" s="754">
        <f t="shared" si="12"/>
        <v>100</v>
      </c>
      <c r="X44" s="1895"/>
      <c r="Y44" s="3160"/>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60"/>
      <c r="Q45" s="1894">
        <f t="shared" si="14"/>
        <v>111</v>
      </c>
      <c r="R45" s="756" t="s">
        <v>25</v>
      </c>
      <c r="S45" s="757">
        <f t="shared" si="10"/>
        <v>100</v>
      </c>
      <c r="T45" s="756" t="s">
        <v>25</v>
      </c>
      <c r="U45" s="757">
        <f t="shared" si="11"/>
        <v>100</v>
      </c>
      <c r="V45" s="756" t="s">
        <v>25</v>
      </c>
      <c r="W45" s="757">
        <f t="shared" si="12"/>
        <v>100</v>
      </c>
      <c r="X45" s="758"/>
      <c r="Y45" s="3160"/>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52" t="str">
        <f>A46</f>
        <v>成交单价</v>
      </c>
      <c r="Q46" s="3152"/>
      <c r="R46" s="3189">
        <f>E46</f>
        <v>0</v>
      </c>
      <c r="S46" s="3189"/>
      <c r="T46" s="3189">
        <f>G46</f>
        <v>0</v>
      </c>
      <c r="U46" s="3189"/>
      <c r="V46" s="3189">
        <f>I46</f>
        <v>0</v>
      </c>
      <c r="W46" s="3189"/>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52" t="str">
        <f>A47</f>
        <v>比较价值（元/平方米）</v>
      </c>
      <c r="Q47" s="3152"/>
      <c r="R47" s="3206" t="e">
        <f>ROUND(PRODUCT(R46,AA7:AA45),0)</f>
        <v>#DIV/0!</v>
      </c>
      <c r="S47" s="3206"/>
      <c r="T47" s="3206" t="e">
        <f>ROUND(PRODUCT(T46,AB7:AB45),0)</f>
        <v>#DIV/0!</v>
      </c>
      <c r="U47" s="3206"/>
      <c r="V47" s="3206" t="e">
        <f>ROUND(PRODUCT(V46,AC7:AC45),0)</f>
        <v>#DIV/0!</v>
      </c>
      <c r="W47" s="3206"/>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149" t="str">
        <f>A48</f>
        <v>估价对象XX用房的比较价值（楼面单价，元/平方米）</v>
      </c>
      <c r="Q48" s="3150"/>
      <c r="R48" s="3207" t="e">
        <f>ROUND(AVERAGE(R47:V47),0)</f>
        <v>#DIV/0!</v>
      </c>
      <c r="S48" s="3207"/>
      <c r="T48" s="3207"/>
      <c r="U48" s="3207"/>
      <c r="V48" s="3207"/>
      <c r="W48" s="320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北京市朝阳区建国路79号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2021-1-1</v>
      </c>
      <c r="D68" s="1666">
        <f>EDATE(C68,-3)</f>
        <v>44105</v>
      </c>
      <c r="E68" s="1666">
        <f t="shared" ref="E68:O68" si="18">EDATE(D68,-3)</f>
        <v>44013</v>
      </c>
      <c r="F68" s="1666">
        <f t="shared" si="18"/>
        <v>43922</v>
      </c>
      <c r="G68" s="1666">
        <f t="shared" si="18"/>
        <v>43831</v>
      </c>
      <c r="H68" s="1666">
        <f t="shared" si="18"/>
        <v>43739</v>
      </c>
      <c r="I68" s="1666">
        <f t="shared" si="18"/>
        <v>43647</v>
      </c>
      <c r="J68" s="1666">
        <f t="shared" si="18"/>
        <v>43556</v>
      </c>
      <c r="K68" s="1666">
        <f t="shared" si="18"/>
        <v>43466</v>
      </c>
      <c r="L68" s="1666">
        <f t="shared" si="18"/>
        <v>43374</v>
      </c>
      <c r="M68" s="1666">
        <f t="shared" si="18"/>
        <v>43282</v>
      </c>
      <c r="N68" s="1666">
        <f t="shared" si="18"/>
        <v>43191</v>
      </c>
      <c r="O68" s="1666">
        <f t="shared" si="18"/>
        <v>43101</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2021-1</v>
      </c>
      <c r="D70" s="1667" t="str">
        <f>YEAR(D68)&amp;"-"&amp;ROUNDUP(MONTH(D68)/3,0)</f>
        <v>2020-4</v>
      </c>
      <c r="E70" s="1667" t="str">
        <f t="shared" ref="E70:O70" si="19">YEAR(E68)&amp;"-"&amp;ROUNDUP(MONTH(E68)/3,0)</f>
        <v>2020-3</v>
      </c>
      <c r="F70" s="1667" t="str">
        <f t="shared" si="19"/>
        <v>2020-2</v>
      </c>
      <c r="G70" s="1667" t="str">
        <f t="shared" si="19"/>
        <v>2020-1</v>
      </c>
      <c r="H70" s="1667" t="str">
        <f t="shared" si="19"/>
        <v>2019-4</v>
      </c>
      <c r="I70" s="1667" t="str">
        <f t="shared" si="19"/>
        <v>2019-3</v>
      </c>
      <c r="J70" s="1667" t="str">
        <f t="shared" si="19"/>
        <v>2019-2</v>
      </c>
      <c r="K70" s="1667" t="str">
        <f t="shared" si="19"/>
        <v>2019-1</v>
      </c>
      <c r="L70" s="1667" t="str">
        <f t="shared" si="19"/>
        <v>2018-4</v>
      </c>
      <c r="M70" s="1667" t="str">
        <f t="shared" si="19"/>
        <v>2018-3</v>
      </c>
      <c r="N70" s="1667" t="str">
        <f t="shared" si="19"/>
        <v>2018-2</v>
      </c>
      <c r="O70" s="1667" t="str">
        <f t="shared" si="19"/>
        <v>2018-1</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1895"/>
      <c r="Y4" s="3168" t="s">
        <v>2338</v>
      </c>
      <c r="Z4" s="3169"/>
      <c r="AA4" s="3176" t="s">
        <v>2334</v>
      </c>
      <c r="AB4" s="3177" t="s">
        <v>2335</v>
      </c>
      <c r="AC4" s="3176" t="s">
        <v>2336</v>
      </c>
    </row>
    <row r="5" spans="1:29" ht="15">
      <c r="A5" s="383"/>
      <c r="B5" s="384"/>
      <c r="C5" s="3164" t="s">
        <v>2339</v>
      </c>
      <c r="D5" s="3165"/>
      <c r="E5" s="3190" t="s">
        <v>2340</v>
      </c>
      <c r="F5" s="3191"/>
      <c r="G5" s="3164" t="s">
        <v>2341</v>
      </c>
      <c r="H5" s="3165"/>
      <c r="I5" s="3164" t="s">
        <v>2342</v>
      </c>
      <c r="J5" s="3165"/>
      <c r="K5" s="594"/>
      <c r="L5" s="1239"/>
      <c r="M5" s="1240"/>
      <c r="N5" s="1240"/>
      <c r="O5" s="1240"/>
      <c r="P5" s="3185"/>
      <c r="Q5" s="3186"/>
      <c r="R5" s="3170"/>
      <c r="S5" s="3171"/>
      <c r="T5" s="3170"/>
      <c r="U5" s="3171"/>
      <c r="V5" s="3189"/>
      <c r="W5" s="3189"/>
      <c r="X5" s="1895"/>
      <c r="Y5" s="3170"/>
      <c r="Z5" s="3171"/>
      <c r="AA5" s="3177"/>
      <c r="AB5" s="3177"/>
      <c r="AC5" s="3177"/>
    </row>
    <row r="6" spans="1:29" ht="15.75" thickBot="1">
      <c r="A6" s="385"/>
      <c r="B6" s="386"/>
      <c r="C6" s="3162" t="s">
        <v>2343</v>
      </c>
      <c r="D6" s="3163"/>
      <c r="E6" s="3192" t="s">
        <v>2343</v>
      </c>
      <c r="F6" s="3193"/>
      <c r="G6" s="3162" t="s">
        <v>2343</v>
      </c>
      <c r="H6" s="3163"/>
      <c r="I6" s="3162" t="s">
        <v>2343</v>
      </c>
      <c r="J6" s="3163"/>
      <c r="K6" s="594" t="s">
        <v>2344</v>
      </c>
      <c r="L6" s="1239"/>
      <c r="M6" s="1240"/>
      <c r="N6" s="1240"/>
      <c r="O6" s="1240"/>
      <c r="P6" s="3187"/>
      <c r="Q6" s="3188"/>
      <c r="R6" s="3170"/>
      <c r="S6" s="3171"/>
      <c r="T6" s="3172"/>
      <c r="U6" s="3173"/>
      <c r="V6" s="3189"/>
      <c r="W6" s="3189"/>
      <c r="X6" s="1895"/>
      <c r="Y6" s="3172"/>
      <c r="Z6" s="3173"/>
      <c r="AA6" s="3178"/>
      <c r="AB6" s="3178"/>
      <c r="AC6" s="3178"/>
    </row>
    <row r="7" spans="1:29" s="35" customFormat="1" ht="15.75" thickBot="1">
      <c r="A7" s="387" t="s">
        <v>2345</v>
      </c>
      <c r="B7" s="388"/>
      <c r="C7" s="389">
        <f>'数据-取费表'!B2</f>
        <v>44202</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66" t="s">
        <v>2346</v>
      </c>
      <c r="Q7" s="3174"/>
      <c r="R7" s="749" t="s">
        <v>25</v>
      </c>
      <c r="S7" s="750">
        <f t="shared" ref="S7:S15" si="0">F7</f>
        <v>0</v>
      </c>
      <c r="T7" s="749" t="s">
        <v>25</v>
      </c>
      <c r="U7" s="750">
        <f t="shared" ref="U7:U15" si="1">H7</f>
        <v>0</v>
      </c>
      <c r="V7" s="749" t="s">
        <v>25</v>
      </c>
      <c r="W7" s="750">
        <f t="shared" ref="W7:W15" si="2">J7</f>
        <v>0</v>
      </c>
      <c r="X7" s="751"/>
      <c r="Y7" s="3166" t="s">
        <v>2346</v>
      </c>
      <c r="Z7" s="3167"/>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66" t="s">
        <v>2349</v>
      </c>
      <c r="Q8" s="3167"/>
      <c r="R8" s="749" t="s">
        <v>25</v>
      </c>
      <c r="S8" s="750">
        <f t="shared" si="0"/>
        <v>0</v>
      </c>
      <c r="T8" s="749" t="s">
        <v>25</v>
      </c>
      <c r="U8" s="750">
        <f t="shared" si="1"/>
        <v>0</v>
      </c>
      <c r="V8" s="749" t="s">
        <v>25</v>
      </c>
      <c r="W8" s="750">
        <f t="shared" si="2"/>
        <v>0</v>
      </c>
      <c r="X8" s="751"/>
      <c r="Y8" s="3166" t="s">
        <v>2349</v>
      </c>
      <c r="Z8" s="3167"/>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52" t="s">
        <v>2352</v>
      </c>
      <c r="Q9" s="1882"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119</v>
      </c>
      <c r="G10" s="412"/>
      <c r="H10" s="52">
        <f>ROUND(100/'数据-取费表'!B14,0)</f>
        <v>119</v>
      </c>
      <c r="I10" s="412"/>
      <c r="J10" s="52">
        <f>ROUND(100/'数据-取费表'!B14,0)</f>
        <v>119</v>
      </c>
      <c r="K10" s="655"/>
      <c r="L10" s="1244"/>
      <c r="M10" s="1245"/>
      <c r="N10" s="1245"/>
      <c r="O10" s="1246"/>
      <c r="P10" s="3152"/>
      <c r="Q10" s="1882" t="str">
        <f t="shared" si="6"/>
        <v>土地使用年限（年）</v>
      </c>
      <c r="R10" s="749" t="s">
        <v>25</v>
      </c>
      <c r="S10" s="750">
        <f t="shared" si="0"/>
        <v>119</v>
      </c>
      <c r="T10" s="749" t="s">
        <v>25</v>
      </c>
      <c r="U10" s="750">
        <f t="shared" si="1"/>
        <v>119</v>
      </c>
      <c r="V10" s="749" t="s">
        <v>25</v>
      </c>
      <c r="W10" s="750">
        <f t="shared" si="2"/>
        <v>119</v>
      </c>
      <c r="X10" s="751"/>
      <c r="Y10" s="2981"/>
      <c r="Z10" s="23" t="str">
        <f t="shared" si="7"/>
        <v>土地使用年限（年）</v>
      </c>
      <c r="AA10" s="752">
        <f t="shared" si="3"/>
        <v>0.84033613445378152</v>
      </c>
      <c r="AB10" s="752">
        <f t="shared" si="4"/>
        <v>0.84033613445378152</v>
      </c>
      <c r="AC10" s="752">
        <f t="shared" si="5"/>
        <v>0.84033613445378152</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52"/>
      <c r="Q11" s="1882"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52"/>
      <c r="Q12" s="1882">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52"/>
      <c r="Q13" s="1882">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52"/>
      <c r="Q14" s="1882">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55" t="s">
        <v>2357</v>
      </c>
      <c r="Q15" s="1894" t="str">
        <f t="shared" si="6"/>
        <v>产业集聚程度</v>
      </c>
      <c r="R15" s="753" t="s">
        <v>25</v>
      </c>
      <c r="S15" s="754">
        <f t="shared" si="0"/>
        <v>100</v>
      </c>
      <c r="T15" s="753" t="s">
        <v>25</v>
      </c>
      <c r="U15" s="754">
        <f t="shared" si="1"/>
        <v>100</v>
      </c>
      <c r="V15" s="753" t="s">
        <v>25</v>
      </c>
      <c r="W15" s="754">
        <f t="shared" si="2"/>
        <v>100</v>
      </c>
      <c r="X15" s="1895"/>
      <c r="Y15" s="3155"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56"/>
      <c r="Q16" s="1894"/>
      <c r="R16" s="753"/>
      <c r="S16" s="754"/>
      <c r="T16" s="753"/>
      <c r="U16" s="754"/>
      <c r="V16" s="753"/>
      <c r="W16" s="754"/>
      <c r="X16" s="1895"/>
      <c r="Y16" s="3156"/>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56"/>
      <c r="Q17" s="1894" t="str">
        <f>B17</f>
        <v>交通便捷度</v>
      </c>
      <c r="R17" s="753" t="s">
        <v>25</v>
      </c>
      <c r="S17" s="754">
        <f>F17</f>
        <v>100</v>
      </c>
      <c r="T17" s="753" t="s">
        <v>25</v>
      </c>
      <c r="U17" s="754">
        <f>H17</f>
        <v>100</v>
      </c>
      <c r="V17" s="753" t="s">
        <v>25</v>
      </c>
      <c r="W17" s="754">
        <f>J17</f>
        <v>100</v>
      </c>
      <c r="X17" s="1895"/>
      <c r="Y17" s="3156"/>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56"/>
      <c r="Q18" s="1894"/>
      <c r="R18" s="753"/>
      <c r="S18" s="754"/>
      <c r="T18" s="753"/>
      <c r="U18" s="754"/>
      <c r="V18" s="753"/>
      <c r="W18" s="754"/>
      <c r="X18" s="1895"/>
      <c r="Y18" s="3156"/>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56"/>
      <c r="Q19" s="1894" t="str">
        <f t="shared" ref="Q19:Q33" si="8">B19</f>
        <v>区域土地利用方向</v>
      </c>
      <c r="R19" s="753" t="s">
        <v>25</v>
      </c>
      <c r="S19" s="754">
        <f>F19</f>
        <v>100</v>
      </c>
      <c r="T19" s="753" t="s">
        <v>25</v>
      </c>
      <c r="U19" s="754">
        <f>H19</f>
        <v>100</v>
      </c>
      <c r="V19" s="753" t="s">
        <v>25</v>
      </c>
      <c r="W19" s="754">
        <f>J19</f>
        <v>100</v>
      </c>
      <c r="X19" s="1895"/>
      <c r="Y19" s="315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56"/>
      <c r="Q20" s="1894"/>
      <c r="R20" s="753"/>
      <c r="S20" s="754"/>
      <c r="T20" s="753"/>
      <c r="U20" s="754"/>
      <c r="V20" s="753"/>
      <c r="W20" s="754"/>
      <c r="X20" s="1895"/>
      <c r="Y20" s="3156"/>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56"/>
      <c r="Q21" s="1894" t="str">
        <f t="shared" si="8"/>
        <v>环境状况</v>
      </c>
      <c r="R21" s="753" t="s">
        <v>25</v>
      </c>
      <c r="S21" s="754">
        <f>F21</f>
        <v>100</v>
      </c>
      <c r="T21" s="753" t="s">
        <v>25</v>
      </c>
      <c r="U21" s="754">
        <f>H21</f>
        <v>100</v>
      </c>
      <c r="V21" s="753" t="s">
        <v>25</v>
      </c>
      <c r="W21" s="754">
        <f>J21</f>
        <v>100</v>
      </c>
      <c r="X21" s="1895"/>
      <c r="Y21" s="315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56"/>
      <c r="Q22" s="1894"/>
      <c r="R22" s="753"/>
      <c r="S22" s="754"/>
      <c r="T22" s="753"/>
      <c r="U22" s="754"/>
      <c r="V22" s="753"/>
      <c r="W22" s="754"/>
      <c r="X22" s="1895"/>
      <c r="Y22" s="3156"/>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56"/>
      <c r="Q23" s="1882" t="str">
        <f t="shared" si="8"/>
        <v>公共配套设施</v>
      </c>
      <c r="R23" s="749" t="s">
        <v>25</v>
      </c>
      <c r="S23" s="750">
        <f>F23</f>
        <v>100</v>
      </c>
      <c r="T23" s="749" t="s">
        <v>25</v>
      </c>
      <c r="U23" s="750">
        <f>H23</f>
        <v>100</v>
      </c>
      <c r="V23" s="749" t="s">
        <v>25</v>
      </c>
      <c r="W23" s="750">
        <f>J23</f>
        <v>100</v>
      </c>
      <c r="X23" s="751"/>
      <c r="Y23" s="3156"/>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56"/>
      <c r="Q24" s="1882"/>
      <c r="R24" s="749"/>
      <c r="S24" s="750"/>
      <c r="T24" s="749"/>
      <c r="U24" s="750"/>
      <c r="V24" s="749"/>
      <c r="W24" s="750"/>
      <c r="X24" s="751"/>
      <c r="Y24" s="3156"/>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56"/>
      <c r="Q25" s="1882" t="str">
        <f t="shared" ref="Q25" si="9">B25</f>
        <v>基础设施水平</v>
      </c>
      <c r="R25" s="749" t="s">
        <v>25</v>
      </c>
      <c r="S25" s="750">
        <f>F25</f>
        <v>100</v>
      </c>
      <c r="T25" s="749" t="s">
        <v>25</v>
      </c>
      <c r="U25" s="750">
        <f>H25</f>
        <v>100</v>
      </c>
      <c r="V25" s="749" t="s">
        <v>25</v>
      </c>
      <c r="W25" s="750">
        <f>J25</f>
        <v>100</v>
      </c>
      <c r="X25" s="751"/>
      <c r="Y25" s="3156"/>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56"/>
      <c r="Q26" s="1882"/>
      <c r="R26" s="749"/>
      <c r="S26" s="750"/>
      <c r="T26" s="749"/>
      <c r="U26" s="750"/>
      <c r="V26" s="749"/>
      <c r="W26" s="750"/>
      <c r="X26" s="751"/>
      <c r="Y26" s="3156"/>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5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56"/>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56"/>
      <c r="Q28" s="1894" t="str">
        <f t="shared" si="8"/>
        <v>毗邻道路的类型与等级</v>
      </c>
      <c r="R28" s="753" t="s">
        <v>25</v>
      </c>
      <c r="S28" s="754">
        <f t="shared" si="10"/>
        <v>100</v>
      </c>
      <c r="T28" s="753" t="s">
        <v>25</v>
      </c>
      <c r="U28" s="754">
        <f t="shared" si="11"/>
        <v>100</v>
      </c>
      <c r="V28" s="753" t="s">
        <v>25</v>
      </c>
      <c r="W28" s="754">
        <f t="shared" si="12"/>
        <v>100</v>
      </c>
      <c r="X28" s="1895"/>
      <c r="Y28" s="315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56"/>
      <c r="Q29" s="1894"/>
      <c r="R29" s="753"/>
      <c r="S29" s="754"/>
      <c r="T29" s="753"/>
      <c r="U29" s="754"/>
      <c r="V29" s="753"/>
      <c r="W29" s="754"/>
      <c r="X29" s="1895"/>
      <c r="Y29" s="3156"/>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56"/>
      <c r="Q30" s="1894" t="str">
        <f t="shared" si="8"/>
        <v>土地级别</v>
      </c>
      <c r="R30" s="753" t="s">
        <v>25</v>
      </c>
      <c r="S30" s="754">
        <f t="shared" si="10"/>
        <v>100</v>
      </c>
      <c r="T30" s="753" t="s">
        <v>25</v>
      </c>
      <c r="U30" s="754">
        <f t="shared" si="11"/>
        <v>100</v>
      </c>
      <c r="V30" s="753" t="s">
        <v>25</v>
      </c>
      <c r="W30" s="754">
        <f t="shared" si="12"/>
        <v>100</v>
      </c>
      <c r="X30" s="1895"/>
      <c r="Y30" s="3156"/>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56"/>
      <c r="Q31" s="1894">
        <f t="shared" si="8"/>
        <v>111</v>
      </c>
      <c r="R31" s="753" t="s">
        <v>25</v>
      </c>
      <c r="S31" s="754">
        <f t="shared" si="10"/>
        <v>100</v>
      </c>
      <c r="T31" s="753" t="s">
        <v>25</v>
      </c>
      <c r="U31" s="754">
        <f t="shared" si="11"/>
        <v>100</v>
      </c>
      <c r="V31" s="753" t="s">
        <v>25</v>
      </c>
      <c r="W31" s="754">
        <f t="shared" si="12"/>
        <v>100</v>
      </c>
      <c r="X31" s="1895"/>
      <c r="Y31" s="3156"/>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05" t="s">
        <v>2363</v>
      </c>
      <c r="Q32" s="1894">
        <f t="shared" si="8"/>
        <v>111</v>
      </c>
      <c r="R32" s="753" t="s">
        <v>25</v>
      </c>
      <c r="S32" s="754">
        <f t="shared" si="10"/>
        <v>100</v>
      </c>
      <c r="T32" s="753" t="s">
        <v>25</v>
      </c>
      <c r="U32" s="754">
        <f t="shared" si="11"/>
        <v>100</v>
      </c>
      <c r="V32" s="753" t="s">
        <v>25</v>
      </c>
      <c r="W32" s="754">
        <f t="shared" si="12"/>
        <v>100</v>
      </c>
      <c r="X32" s="1895"/>
      <c r="Y32" s="3160"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60"/>
      <c r="Q33" s="1894">
        <f t="shared" si="8"/>
        <v>111</v>
      </c>
      <c r="R33" s="756" t="s">
        <v>25</v>
      </c>
      <c r="S33" s="757">
        <f t="shared" si="10"/>
        <v>100</v>
      </c>
      <c r="T33" s="756" t="s">
        <v>25</v>
      </c>
      <c r="U33" s="757">
        <f t="shared" si="11"/>
        <v>100</v>
      </c>
      <c r="V33" s="756" t="s">
        <v>25</v>
      </c>
      <c r="W33" s="757">
        <f t="shared" si="12"/>
        <v>100</v>
      </c>
      <c r="X33" s="758"/>
      <c r="Y33" s="3160"/>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60"/>
      <c r="Q34" s="1894" t="str">
        <f>B34</f>
        <v>宗地面积</v>
      </c>
      <c r="R34" s="753" t="s">
        <v>25</v>
      </c>
      <c r="S34" s="754" t="e">
        <f t="shared" si="10"/>
        <v>#N/A</v>
      </c>
      <c r="T34" s="753" t="s">
        <v>25</v>
      </c>
      <c r="U34" s="754" t="e">
        <f t="shared" si="11"/>
        <v>#N/A</v>
      </c>
      <c r="V34" s="753" t="s">
        <v>25</v>
      </c>
      <c r="W34" s="754" t="e">
        <f t="shared" si="12"/>
        <v>#N/A</v>
      </c>
      <c r="X34" s="1895"/>
      <c r="Y34" s="3160"/>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60"/>
      <c r="Q35" s="1894" t="str">
        <f t="shared" ref="Q35:Q40" si="14">B35</f>
        <v>宗地形状</v>
      </c>
      <c r="R35" s="753" t="s">
        <v>25</v>
      </c>
      <c r="S35" s="754">
        <f t="shared" si="10"/>
        <v>100</v>
      </c>
      <c r="T35" s="753" t="s">
        <v>25</v>
      </c>
      <c r="U35" s="754">
        <f t="shared" si="11"/>
        <v>100</v>
      </c>
      <c r="V35" s="753" t="s">
        <v>25</v>
      </c>
      <c r="W35" s="754">
        <f t="shared" si="12"/>
        <v>100</v>
      </c>
      <c r="X35" s="1895"/>
      <c r="Y35" s="3160"/>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60"/>
      <c r="Q36" s="1894" t="str">
        <f t="shared" si="14"/>
        <v>宗地开发程度</v>
      </c>
      <c r="R36" s="749" t="s">
        <v>25</v>
      </c>
      <c r="S36" s="750">
        <f t="shared" si="10"/>
        <v>100</v>
      </c>
      <c r="T36" s="749" t="s">
        <v>25</v>
      </c>
      <c r="U36" s="750">
        <f t="shared" si="11"/>
        <v>100</v>
      </c>
      <c r="V36" s="749" t="s">
        <v>25</v>
      </c>
      <c r="W36" s="750">
        <f t="shared" si="12"/>
        <v>100</v>
      </c>
      <c r="X36" s="751"/>
      <c r="Y36" s="3160"/>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60" t="s">
        <v>2363</v>
      </c>
      <c r="Q37" s="1894" t="str">
        <f t="shared" si="14"/>
        <v>工程地质条件</v>
      </c>
      <c r="R37" s="753" t="s">
        <v>25</v>
      </c>
      <c r="S37" s="754">
        <f t="shared" si="10"/>
        <v>100</v>
      </c>
      <c r="T37" s="753" t="s">
        <v>25</v>
      </c>
      <c r="U37" s="754">
        <f t="shared" si="11"/>
        <v>100</v>
      </c>
      <c r="V37" s="753" t="s">
        <v>25</v>
      </c>
      <c r="W37" s="754">
        <f t="shared" si="12"/>
        <v>100</v>
      </c>
      <c r="X37" s="1895"/>
      <c r="Y37" s="3160"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60"/>
      <c r="Q38" s="1894">
        <f t="shared" si="14"/>
        <v>111</v>
      </c>
      <c r="R38" s="753" t="s">
        <v>25</v>
      </c>
      <c r="S38" s="754">
        <f t="shared" si="10"/>
        <v>100</v>
      </c>
      <c r="T38" s="753" t="s">
        <v>25</v>
      </c>
      <c r="U38" s="754">
        <f t="shared" si="11"/>
        <v>100</v>
      </c>
      <c r="V38" s="753" t="s">
        <v>25</v>
      </c>
      <c r="W38" s="754">
        <f t="shared" si="12"/>
        <v>100</v>
      </c>
      <c r="X38" s="1895"/>
      <c r="Y38" s="3160"/>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60"/>
      <c r="Q39" s="1894">
        <f t="shared" si="14"/>
        <v>111</v>
      </c>
      <c r="R39" s="753" t="s">
        <v>25</v>
      </c>
      <c r="S39" s="754">
        <f t="shared" si="10"/>
        <v>100</v>
      </c>
      <c r="T39" s="753" t="s">
        <v>25</v>
      </c>
      <c r="U39" s="754">
        <f t="shared" si="11"/>
        <v>100</v>
      </c>
      <c r="V39" s="753" t="s">
        <v>25</v>
      </c>
      <c r="W39" s="754">
        <f t="shared" si="12"/>
        <v>100</v>
      </c>
      <c r="X39" s="1895"/>
      <c r="Y39" s="3160"/>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60"/>
      <c r="Q40" s="1894">
        <f t="shared" si="14"/>
        <v>111</v>
      </c>
      <c r="R40" s="756" t="s">
        <v>25</v>
      </c>
      <c r="S40" s="757">
        <f t="shared" si="10"/>
        <v>100</v>
      </c>
      <c r="T40" s="756" t="s">
        <v>25</v>
      </c>
      <c r="U40" s="757">
        <f t="shared" si="11"/>
        <v>100</v>
      </c>
      <c r="V40" s="756" t="s">
        <v>25</v>
      </c>
      <c r="W40" s="757">
        <f t="shared" si="12"/>
        <v>100</v>
      </c>
      <c r="X40" s="758"/>
      <c r="Y40" s="3160"/>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52" t="str">
        <f>A41</f>
        <v>成交单价</v>
      </c>
      <c r="Q41" s="3152"/>
      <c r="R41" s="3189">
        <f>E41</f>
        <v>0</v>
      </c>
      <c r="S41" s="3189"/>
      <c r="T41" s="3189">
        <f>G41</f>
        <v>0</v>
      </c>
      <c r="U41" s="3189"/>
      <c r="V41" s="3189">
        <f>I41</f>
        <v>0</v>
      </c>
      <c r="W41" s="3189"/>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52" t="str">
        <f>A42</f>
        <v>比较价值（元/平方米）</v>
      </c>
      <c r="Q42" s="3152"/>
      <c r="R42" s="3206" t="e">
        <f>ROUND(PRODUCT(R41,AA7:AA40),0)</f>
        <v>#DIV/0!</v>
      </c>
      <c r="S42" s="3206"/>
      <c r="T42" s="3206" t="e">
        <f>ROUND(PRODUCT(T41,AB7:AB40),0)</f>
        <v>#DIV/0!</v>
      </c>
      <c r="U42" s="3206"/>
      <c r="V42" s="3206" t="e">
        <f>ROUND(PRODUCT(V41,AC7:AC40),0)</f>
        <v>#DIV/0!</v>
      </c>
      <c r="W42" s="3206"/>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149" t="str">
        <f>A43</f>
        <v>估价对象XX用房的比较价值（楼面单价，元/平方米）</v>
      </c>
      <c r="Q43" s="3150"/>
      <c r="R43" s="3207" t="e">
        <f>ROUND(AVERAGE(R42:V42),0)</f>
        <v>#DIV/0!</v>
      </c>
      <c r="S43" s="3207"/>
      <c r="T43" s="3207"/>
      <c r="U43" s="3207"/>
      <c r="V43" s="3207"/>
      <c r="W43" s="320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北京市朝阳区建国路79号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2021-1-1</v>
      </c>
      <c r="D63" s="1666">
        <f>EDATE(C63,-3)</f>
        <v>44105</v>
      </c>
      <c r="E63" s="1666">
        <f t="shared" ref="E63:O63" si="18">EDATE(D63,-3)</f>
        <v>44013</v>
      </c>
      <c r="F63" s="1666">
        <f t="shared" si="18"/>
        <v>43922</v>
      </c>
      <c r="G63" s="1666">
        <f t="shared" si="18"/>
        <v>43831</v>
      </c>
      <c r="H63" s="1666">
        <f t="shared" si="18"/>
        <v>43739</v>
      </c>
      <c r="I63" s="1666">
        <f t="shared" si="18"/>
        <v>43647</v>
      </c>
      <c r="J63" s="1666">
        <f t="shared" si="18"/>
        <v>43556</v>
      </c>
      <c r="K63" s="1666">
        <f t="shared" si="18"/>
        <v>43466</v>
      </c>
      <c r="L63" s="1666">
        <f t="shared" si="18"/>
        <v>43374</v>
      </c>
      <c r="M63" s="1666">
        <f t="shared" si="18"/>
        <v>43282</v>
      </c>
      <c r="N63" s="1666">
        <f t="shared" si="18"/>
        <v>43191</v>
      </c>
      <c r="O63" s="1666">
        <f t="shared" si="18"/>
        <v>43101</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2021-1</v>
      </c>
      <c r="D65" s="1667" t="str">
        <f t="shared" ref="D65:O65" si="19">YEAR(D63)&amp;"-"&amp;ROUNDUP(MONTH(D63)/3,0)</f>
        <v>2020-4</v>
      </c>
      <c r="E65" s="1667" t="str">
        <f t="shared" si="19"/>
        <v>2020-3</v>
      </c>
      <c r="F65" s="1667" t="str">
        <f t="shared" si="19"/>
        <v>2020-2</v>
      </c>
      <c r="G65" s="1667" t="str">
        <f t="shared" si="19"/>
        <v>2020-1</v>
      </c>
      <c r="H65" s="1667" t="str">
        <f t="shared" si="19"/>
        <v>2019-4</v>
      </c>
      <c r="I65" s="1667" t="str">
        <f t="shared" si="19"/>
        <v>2019-3</v>
      </c>
      <c r="J65" s="1667" t="str">
        <f t="shared" si="19"/>
        <v>2019-2</v>
      </c>
      <c r="K65" s="1667" t="str">
        <f t="shared" si="19"/>
        <v>2019-1</v>
      </c>
      <c r="L65" s="1667" t="str">
        <f t="shared" si="19"/>
        <v>2018-4</v>
      </c>
      <c r="M65" s="1667" t="str">
        <f t="shared" si="19"/>
        <v>2018-3</v>
      </c>
      <c r="N65" s="1667" t="str">
        <f t="shared" si="19"/>
        <v>2018-2</v>
      </c>
      <c r="O65" s="1667" t="str">
        <f t="shared" si="19"/>
        <v>2018-1</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38" t="s">
        <v>2826</v>
      </c>
      <c r="B1" s="3239"/>
      <c r="C1" s="3239"/>
      <c r="D1" s="3239"/>
      <c r="E1" s="3239"/>
      <c r="F1" s="3239"/>
      <c r="G1" s="3239"/>
      <c r="H1" s="3239"/>
      <c r="I1" s="3239"/>
      <c r="J1" s="3239"/>
      <c r="K1" s="3239"/>
      <c r="L1" s="3239"/>
      <c r="M1" s="3239"/>
      <c r="N1" s="3239"/>
      <c r="O1" s="3239"/>
      <c r="P1" s="3239"/>
      <c r="Q1" s="3239"/>
      <c r="R1" s="3239"/>
      <c r="S1" s="3239"/>
      <c r="T1" s="2755"/>
      <c r="U1" s="2756"/>
      <c r="V1" s="2756"/>
      <c r="W1" s="2756"/>
      <c r="X1" s="2756"/>
      <c r="Y1" s="2756"/>
    </row>
    <row r="2" spans="1:25">
      <c r="A2" s="3240" t="s">
        <v>2827</v>
      </c>
      <c r="B2" s="3240"/>
      <c r="C2" s="3240"/>
      <c r="D2" s="3240"/>
      <c r="E2" s="3240"/>
      <c r="F2" s="3240"/>
      <c r="G2" s="3240"/>
      <c r="H2" s="3240"/>
      <c r="I2" s="3240"/>
      <c r="J2" s="3240"/>
      <c r="K2" s="3241"/>
      <c r="L2" s="3240" t="s">
        <v>2857</v>
      </c>
      <c r="M2" s="3240"/>
      <c r="N2" s="3240"/>
      <c r="O2" s="3240"/>
      <c r="P2" s="3240"/>
      <c r="Q2" s="3240"/>
      <c r="R2" s="3240"/>
      <c r="S2" s="3240"/>
      <c r="T2" s="3243"/>
      <c r="U2" s="2758"/>
      <c r="V2" s="2758"/>
      <c r="W2" s="2758"/>
      <c r="X2" s="2758"/>
      <c r="Y2" s="2758"/>
    </row>
    <row r="3" spans="1:25" ht="12" customHeight="1">
      <c r="A3" s="3231" t="s">
        <v>2858</v>
      </c>
      <c r="B3" s="3231"/>
      <c r="C3" s="2864" t="s">
        <v>2859</v>
      </c>
      <c r="D3" s="3245" t="s">
        <v>2830</v>
      </c>
      <c r="E3" s="2864" t="s">
        <v>3094</v>
      </c>
      <c r="F3" s="3245" t="s">
        <v>2830</v>
      </c>
      <c r="G3" s="2864" t="s">
        <v>3095</v>
      </c>
      <c r="H3" s="3245" t="s">
        <v>2830</v>
      </c>
      <c r="I3" s="2864" t="s">
        <v>3096</v>
      </c>
      <c r="J3" s="3245" t="s">
        <v>2830</v>
      </c>
      <c r="K3" s="3242"/>
      <c r="L3" s="3218" t="s">
        <v>2829</v>
      </c>
      <c r="M3" s="3218"/>
      <c r="N3" s="3236" t="str">
        <f>E3</f>
        <v>实例A</v>
      </c>
      <c r="O3" s="3228"/>
      <c r="P3" s="3236" t="str">
        <f>G3</f>
        <v>实例B</v>
      </c>
      <c r="Q3" s="3228"/>
      <c r="R3" s="3218" t="str">
        <f>I3</f>
        <v>实例C</v>
      </c>
      <c r="S3" s="3218"/>
      <c r="T3" s="3244"/>
      <c r="U3" s="3218" t="s">
        <v>2829</v>
      </c>
      <c r="V3" s="3218"/>
      <c r="W3" s="3218" t="str">
        <f>N3</f>
        <v>实例A</v>
      </c>
      <c r="X3" s="3218" t="str">
        <f>P3</f>
        <v>实例B</v>
      </c>
      <c r="Y3" s="3218" t="str">
        <f>R3</f>
        <v>实例C</v>
      </c>
    </row>
    <row r="4" spans="1:25" ht="24">
      <c r="A4" s="3231"/>
      <c r="B4" s="3231"/>
      <c r="C4" s="2864" t="str">
        <f>项目基本情况!C6</f>
        <v>北京市朝阳区建国路79号</v>
      </c>
      <c r="D4" s="3245"/>
      <c r="E4" s="2864" t="str">
        <f>'比较法-租金'!E5:F5</f>
        <v>建国门外大街1号</v>
      </c>
      <c r="F4" s="3245" t="s">
        <v>2830</v>
      </c>
      <c r="G4" s="2864" t="str">
        <f>'比较法-租金'!G5:H5</f>
        <v>建国路89号</v>
      </c>
      <c r="H4" s="3245" t="s">
        <v>2828</v>
      </c>
      <c r="I4" s="2864" t="str">
        <f>'比较法-租金'!I5:J5</f>
        <v>东方梅地亚中心</v>
      </c>
      <c r="J4" s="3245" t="s">
        <v>2828</v>
      </c>
      <c r="K4" s="3242"/>
      <c r="L4" s="3218"/>
      <c r="M4" s="3218"/>
      <c r="N4" s="3237"/>
      <c r="O4" s="3229"/>
      <c r="P4" s="3237"/>
      <c r="Q4" s="3229"/>
      <c r="R4" s="3218"/>
      <c r="S4" s="3218"/>
      <c r="T4" s="3244"/>
      <c r="U4" s="3218"/>
      <c r="V4" s="3218"/>
      <c r="W4" s="3218"/>
      <c r="X4" s="3218"/>
      <c r="Y4" s="3218"/>
    </row>
    <row r="5" spans="1:25">
      <c r="A5" s="3231" t="s">
        <v>2860</v>
      </c>
      <c r="B5" s="3231"/>
      <c r="C5" s="2865">
        <f>'比较法-租金'!C7</f>
        <v>44202</v>
      </c>
      <c r="D5" s="2866">
        <v>100</v>
      </c>
      <c r="E5" s="2865">
        <f>'比较法-租金'!E7</f>
        <v>44200</v>
      </c>
      <c r="F5" s="2867" t="s">
        <v>2861</v>
      </c>
      <c r="G5" s="2865">
        <f>'比较法-租金'!G7</f>
        <v>44135</v>
      </c>
      <c r="H5" s="2867" t="s">
        <v>2861</v>
      </c>
      <c r="I5" s="2865">
        <f>'比较法-租金'!I7</f>
        <v>44202</v>
      </c>
      <c r="J5" s="2867" t="s">
        <v>2861</v>
      </c>
      <c r="K5" s="3242"/>
      <c r="L5" s="3234" t="s">
        <v>2862</v>
      </c>
      <c r="M5" s="3235"/>
      <c r="N5" s="2760" t="s">
        <v>2854</v>
      </c>
      <c r="O5" s="2761" t="str">
        <f>F5</f>
        <v>100</v>
      </c>
      <c r="P5" s="2760" t="s">
        <v>2863</v>
      </c>
      <c r="Q5" s="2761" t="str">
        <f>H5</f>
        <v>100</v>
      </c>
      <c r="R5" s="2760" t="s">
        <v>2855</v>
      </c>
      <c r="S5" s="2761" t="str">
        <f>J5</f>
        <v>100</v>
      </c>
      <c r="T5" s="3244"/>
      <c r="U5" s="3218" t="s">
        <v>2864</v>
      </c>
      <c r="V5" s="3218"/>
      <c r="W5" s="2759">
        <f>D5/F5</f>
        <v>1</v>
      </c>
      <c r="X5" s="2759">
        <f>D5/H5</f>
        <v>1</v>
      </c>
      <c r="Y5" s="2759">
        <f>D5/J5</f>
        <v>1</v>
      </c>
    </row>
    <row r="6" spans="1:25">
      <c r="A6" s="3246" t="s">
        <v>2832</v>
      </c>
      <c r="B6" s="3246"/>
      <c r="C6" s="2868" t="s">
        <v>2865</v>
      </c>
      <c r="D6" s="2866">
        <v>100</v>
      </c>
      <c r="E6" s="2867" t="s">
        <v>3082</v>
      </c>
      <c r="F6" s="2869">
        <v>100</v>
      </c>
      <c r="G6" s="2867" t="s">
        <v>3082</v>
      </c>
      <c r="H6" s="2869">
        <v>100</v>
      </c>
      <c r="I6" s="2867" t="s">
        <v>3082</v>
      </c>
      <c r="J6" s="2869">
        <v>100</v>
      </c>
      <c r="K6" s="3242"/>
      <c r="L6" s="3234" t="s">
        <v>2832</v>
      </c>
      <c r="M6" s="3247"/>
      <c r="N6" s="2760" t="s">
        <v>2855</v>
      </c>
      <c r="O6" s="2761">
        <f t="shared" ref="O6:O35" si="0">F6</f>
        <v>100</v>
      </c>
      <c r="P6" s="2760" t="s">
        <v>2855</v>
      </c>
      <c r="Q6" s="2761">
        <f t="shared" ref="Q6:Q35" si="1">H6</f>
        <v>100</v>
      </c>
      <c r="R6" s="2760" t="s">
        <v>2855</v>
      </c>
      <c r="S6" s="2761">
        <f t="shared" ref="S6:S35" si="2">J6</f>
        <v>100</v>
      </c>
      <c r="T6" s="3244"/>
      <c r="U6" s="3218" t="s">
        <v>2832</v>
      </c>
      <c r="V6" s="3218"/>
      <c r="W6" s="2759">
        <f t="shared" ref="W6:W35" si="3">D6/F6</f>
        <v>1</v>
      </c>
      <c r="X6" s="2759">
        <f t="shared" ref="X6:X35" si="4">D6/H6</f>
        <v>1</v>
      </c>
      <c r="Y6" s="2759">
        <f t="shared" ref="Y6:Y35" si="5">D6/J6</f>
        <v>1</v>
      </c>
    </row>
    <row r="7" spans="1:25" ht="25.5" customHeight="1">
      <c r="A7" s="3248" t="s">
        <v>2833</v>
      </c>
      <c r="B7" s="2870" t="s">
        <v>3097</v>
      </c>
      <c r="C7" s="2868" t="s">
        <v>2834</v>
      </c>
      <c r="D7" s="2866">
        <v>100</v>
      </c>
      <c r="E7" s="2869" t="s">
        <v>2834</v>
      </c>
      <c r="F7" s="2869">
        <f>D7</f>
        <v>100</v>
      </c>
      <c r="G7" s="2869" t="str">
        <f>E7</f>
        <v>商业</v>
      </c>
      <c r="H7" s="2869">
        <f>D7</f>
        <v>100</v>
      </c>
      <c r="I7" s="2867" t="str">
        <f>C7</f>
        <v>商业</v>
      </c>
      <c r="J7" s="2869">
        <f>D7</f>
        <v>100</v>
      </c>
      <c r="K7" s="3242"/>
      <c r="L7" s="3218" t="s">
        <v>2833</v>
      </c>
      <c r="M7" s="2762" t="str">
        <f>B7</f>
        <v>实际用途</v>
      </c>
      <c r="N7" s="2760" t="s">
        <v>2831</v>
      </c>
      <c r="O7" s="2761">
        <f t="shared" si="0"/>
        <v>100</v>
      </c>
      <c r="P7" s="2760" t="s">
        <v>2831</v>
      </c>
      <c r="Q7" s="2761">
        <f t="shared" si="1"/>
        <v>100</v>
      </c>
      <c r="R7" s="2760" t="s">
        <v>2831</v>
      </c>
      <c r="S7" s="2761">
        <f t="shared" si="2"/>
        <v>100</v>
      </c>
      <c r="T7" s="3244"/>
      <c r="U7" s="3218" t="s">
        <v>2835</v>
      </c>
      <c r="V7" s="2762" t="str">
        <f>M7</f>
        <v>实际用途</v>
      </c>
      <c r="W7" s="2759">
        <f t="shared" si="3"/>
        <v>1</v>
      </c>
      <c r="X7" s="2759">
        <f t="shared" si="4"/>
        <v>1</v>
      </c>
      <c r="Y7" s="2759">
        <f t="shared" si="5"/>
        <v>1</v>
      </c>
    </row>
    <row r="8" spans="1:25" hidden="1">
      <c r="A8" s="3248"/>
      <c r="B8" s="2870" t="s">
        <v>2836</v>
      </c>
      <c r="C8" s="2868" t="s">
        <v>2866</v>
      </c>
      <c r="D8" s="2866">
        <v>100</v>
      </c>
      <c r="E8" s="2867" t="s">
        <v>2867</v>
      </c>
      <c r="F8" s="2869">
        <v>98</v>
      </c>
      <c r="G8" s="2867" t="str">
        <f>C8</f>
        <v>20-30年</v>
      </c>
      <c r="H8" s="2869">
        <f>D8</f>
        <v>100</v>
      </c>
      <c r="I8" s="2867" t="str">
        <f>C8</f>
        <v>20-30年</v>
      </c>
      <c r="J8" s="2869">
        <f>D8</f>
        <v>100</v>
      </c>
      <c r="K8" s="3242"/>
      <c r="L8" s="3218"/>
      <c r="M8" s="2762" t="str">
        <f t="shared" ref="M8:M35" si="6">B8</f>
        <v>土地使用年限</v>
      </c>
      <c r="N8" s="2760" t="s">
        <v>2831</v>
      </c>
      <c r="O8" s="2761">
        <f t="shared" si="0"/>
        <v>98</v>
      </c>
      <c r="P8" s="2760" t="s">
        <v>2831</v>
      </c>
      <c r="Q8" s="2761">
        <f t="shared" si="1"/>
        <v>100</v>
      </c>
      <c r="R8" s="2760" t="s">
        <v>2831</v>
      </c>
      <c r="S8" s="2761">
        <f t="shared" si="2"/>
        <v>100</v>
      </c>
      <c r="T8" s="3244"/>
      <c r="U8" s="3218"/>
      <c r="V8" s="2762" t="str">
        <f t="shared" ref="V8:V35" si="7">M8</f>
        <v>土地使用年限</v>
      </c>
      <c r="W8" s="2759">
        <f t="shared" si="3"/>
        <v>1.0204081632653061</v>
      </c>
      <c r="X8" s="2759">
        <f t="shared" si="4"/>
        <v>1</v>
      </c>
      <c r="Y8" s="2759">
        <f t="shared" si="5"/>
        <v>1</v>
      </c>
    </row>
    <row r="9" spans="1:25" hidden="1">
      <c r="A9" s="3248"/>
      <c r="B9" s="2870" t="s">
        <v>2868</v>
      </c>
      <c r="C9" s="2868"/>
      <c r="D9" s="2866">
        <v>100</v>
      </c>
      <c r="E9" s="2869"/>
      <c r="F9" s="2869">
        <f>D9</f>
        <v>100</v>
      </c>
      <c r="G9" s="2869"/>
      <c r="H9" s="2869">
        <f>D9</f>
        <v>100</v>
      </c>
      <c r="I9" s="2869"/>
      <c r="J9" s="2869">
        <f>D9</f>
        <v>100</v>
      </c>
      <c r="K9" s="3242"/>
      <c r="L9" s="3218"/>
      <c r="M9" s="2762" t="str">
        <f t="shared" si="6"/>
        <v>地上容积率</v>
      </c>
      <c r="N9" s="2760" t="s">
        <v>2831</v>
      </c>
      <c r="O9" s="2761">
        <f t="shared" si="0"/>
        <v>100</v>
      </c>
      <c r="P9" s="2760" t="s">
        <v>2831</v>
      </c>
      <c r="Q9" s="2761">
        <f t="shared" si="1"/>
        <v>100</v>
      </c>
      <c r="R9" s="2760" t="s">
        <v>2831</v>
      </c>
      <c r="S9" s="2761">
        <f t="shared" si="2"/>
        <v>100</v>
      </c>
      <c r="T9" s="3244"/>
      <c r="U9" s="3218"/>
      <c r="V9" s="2762" t="str">
        <f t="shared" si="7"/>
        <v>地上容积率</v>
      </c>
      <c r="W9" s="2759">
        <f t="shared" si="3"/>
        <v>1</v>
      </c>
      <c r="X9" s="2759">
        <f t="shared" si="4"/>
        <v>1</v>
      </c>
      <c r="Y9" s="2759">
        <f t="shared" si="5"/>
        <v>1</v>
      </c>
    </row>
    <row r="10" spans="1:25" hidden="1">
      <c r="A10" s="3248"/>
      <c r="B10" s="2870" t="s">
        <v>2837</v>
      </c>
      <c r="C10" s="2868"/>
      <c r="D10" s="2866">
        <v>100</v>
      </c>
      <c r="E10" s="2869"/>
      <c r="F10" s="2869">
        <f>D10</f>
        <v>100</v>
      </c>
      <c r="G10" s="2869"/>
      <c r="H10" s="2869">
        <f>D10</f>
        <v>100</v>
      </c>
      <c r="I10" s="2869"/>
      <c r="J10" s="2869">
        <f>D10</f>
        <v>100</v>
      </c>
      <c r="K10" s="3242"/>
      <c r="L10" s="3218"/>
      <c r="M10" s="2762" t="str">
        <f t="shared" si="6"/>
        <v>其他权益状况修正</v>
      </c>
      <c r="N10" s="2760" t="s">
        <v>2831</v>
      </c>
      <c r="O10" s="2761">
        <f t="shared" si="0"/>
        <v>100</v>
      </c>
      <c r="P10" s="2760" t="s">
        <v>2831</v>
      </c>
      <c r="Q10" s="2761">
        <f t="shared" si="1"/>
        <v>100</v>
      </c>
      <c r="R10" s="2760" t="s">
        <v>2831</v>
      </c>
      <c r="S10" s="2761">
        <f t="shared" si="2"/>
        <v>100</v>
      </c>
      <c r="T10" s="3244"/>
      <c r="U10" s="3218"/>
      <c r="V10" s="2762" t="str">
        <f t="shared" si="7"/>
        <v>其他权益状况修正</v>
      </c>
      <c r="W10" s="2759">
        <f t="shared" si="3"/>
        <v>1</v>
      </c>
      <c r="X10" s="2759">
        <f t="shared" si="4"/>
        <v>1</v>
      </c>
      <c r="Y10" s="2759">
        <f t="shared" si="5"/>
        <v>1</v>
      </c>
    </row>
    <row r="11" spans="1:25" ht="13.5" customHeight="1">
      <c r="A11" s="3225" t="s">
        <v>2838</v>
      </c>
      <c r="B11" s="2871" t="s">
        <v>2869</v>
      </c>
      <c r="C11" s="2868" t="s">
        <v>2870</v>
      </c>
      <c r="D11" s="2866">
        <v>100</v>
      </c>
      <c r="E11" s="2869" t="s">
        <v>29</v>
      </c>
      <c r="F11" s="2869">
        <v>100</v>
      </c>
      <c r="G11" s="2869" t="s">
        <v>29</v>
      </c>
      <c r="H11" s="2869">
        <v>100</v>
      </c>
      <c r="I11" s="2869" t="s">
        <v>29</v>
      </c>
      <c r="J11" s="2869">
        <v>100</v>
      </c>
      <c r="K11" s="3242"/>
      <c r="L11" s="3228" t="s">
        <v>2838</v>
      </c>
      <c r="M11" s="2762" t="str">
        <f t="shared" si="6"/>
        <v>商业繁华度</v>
      </c>
      <c r="N11" s="2760" t="s">
        <v>2831</v>
      </c>
      <c r="O11" s="2761">
        <f t="shared" si="0"/>
        <v>100</v>
      </c>
      <c r="P11" s="2760" t="s">
        <v>2831</v>
      </c>
      <c r="Q11" s="2761">
        <f t="shared" si="1"/>
        <v>100</v>
      </c>
      <c r="R11" s="2760" t="s">
        <v>2831</v>
      </c>
      <c r="S11" s="2761">
        <f t="shared" si="2"/>
        <v>100</v>
      </c>
      <c r="T11" s="3244"/>
      <c r="U11" s="3228" t="s">
        <v>2838</v>
      </c>
      <c r="V11" s="2762" t="str">
        <f t="shared" si="7"/>
        <v>商业繁华度</v>
      </c>
      <c r="W11" s="2759">
        <f t="shared" si="3"/>
        <v>1</v>
      </c>
      <c r="X11" s="2759">
        <f t="shared" si="4"/>
        <v>1</v>
      </c>
      <c r="Y11" s="2759">
        <f t="shared" si="5"/>
        <v>1</v>
      </c>
    </row>
    <row r="12" spans="1:25">
      <c r="A12" s="3226"/>
      <c r="B12" s="2871" t="s">
        <v>2839</v>
      </c>
      <c r="C12" s="2868" t="s">
        <v>2871</v>
      </c>
      <c r="D12" s="2866">
        <v>100</v>
      </c>
      <c r="E12" s="2869" t="s">
        <v>30</v>
      </c>
      <c r="F12" s="2869">
        <v>100</v>
      </c>
      <c r="G12" s="2869" t="s">
        <v>30</v>
      </c>
      <c r="H12" s="2869">
        <v>100</v>
      </c>
      <c r="I12" s="2869" t="s">
        <v>30</v>
      </c>
      <c r="J12" s="2869">
        <v>100</v>
      </c>
      <c r="K12" s="3242"/>
      <c r="L12" s="3229"/>
      <c r="M12" s="2762" t="str">
        <f t="shared" si="6"/>
        <v>交通便捷度</v>
      </c>
      <c r="N12" s="2760" t="s">
        <v>2831</v>
      </c>
      <c r="O12" s="2761">
        <f t="shared" si="0"/>
        <v>100</v>
      </c>
      <c r="P12" s="2760" t="s">
        <v>2831</v>
      </c>
      <c r="Q12" s="2761">
        <f t="shared" si="1"/>
        <v>100</v>
      </c>
      <c r="R12" s="2760" t="s">
        <v>2831</v>
      </c>
      <c r="S12" s="2761">
        <f t="shared" si="2"/>
        <v>100</v>
      </c>
      <c r="T12" s="3244"/>
      <c r="U12" s="3229"/>
      <c r="V12" s="2762" t="str">
        <f t="shared" si="7"/>
        <v>交通便捷度</v>
      </c>
      <c r="W12" s="2759">
        <f t="shared" si="3"/>
        <v>1</v>
      </c>
      <c r="X12" s="2759">
        <f t="shared" si="4"/>
        <v>1</v>
      </c>
      <c r="Y12" s="2759">
        <f t="shared" si="5"/>
        <v>1</v>
      </c>
    </row>
    <row r="13" spans="1:25">
      <c r="A13" s="3226"/>
      <c r="B13" s="2870" t="s">
        <v>2840</v>
      </c>
      <c r="C13" s="2868" t="s">
        <v>2870</v>
      </c>
      <c r="D13" s="2866">
        <v>100</v>
      </c>
      <c r="E13" s="2869" t="s">
        <v>29</v>
      </c>
      <c r="F13" s="2869">
        <v>100</v>
      </c>
      <c r="G13" s="2869" t="s">
        <v>29</v>
      </c>
      <c r="H13" s="2869">
        <v>100</v>
      </c>
      <c r="I13" s="2869" t="s">
        <v>29</v>
      </c>
      <c r="J13" s="2869">
        <v>100</v>
      </c>
      <c r="K13" s="3242"/>
      <c r="L13" s="3229"/>
      <c r="M13" s="2762" t="str">
        <f t="shared" si="6"/>
        <v>公用服务设施完善度</v>
      </c>
      <c r="N13" s="2760" t="s">
        <v>2831</v>
      </c>
      <c r="O13" s="2761">
        <f t="shared" si="0"/>
        <v>100</v>
      </c>
      <c r="P13" s="2760" t="s">
        <v>2831</v>
      </c>
      <c r="Q13" s="2761">
        <f t="shared" si="1"/>
        <v>100</v>
      </c>
      <c r="R13" s="2760" t="s">
        <v>2831</v>
      </c>
      <c r="S13" s="2761">
        <f t="shared" si="2"/>
        <v>100</v>
      </c>
      <c r="T13" s="3244"/>
      <c r="U13" s="3229"/>
      <c r="V13" s="2762" t="str">
        <f t="shared" si="7"/>
        <v>公用服务设施完善度</v>
      </c>
      <c r="W13" s="2759">
        <f t="shared" si="3"/>
        <v>1</v>
      </c>
      <c r="X13" s="2759">
        <f t="shared" si="4"/>
        <v>1</v>
      </c>
      <c r="Y13" s="2759">
        <f t="shared" si="5"/>
        <v>1</v>
      </c>
    </row>
    <row r="14" spans="1:25">
      <c r="A14" s="3226"/>
      <c r="B14" s="2871" t="s">
        <v>2841</v>
      </c>
      <c r="C14" s="2868" t="s">
        <v>2871</v>
      </c>
      <c r="D14" s="2866">
        <v>100</v>
      </c>
      <c r="E14" s="2869" t="s">
        <v>30</v>
      </c>
      <c r="F14" s="2869">
        <v>100</v>
      </c>
      <c r="G14" s="2869" t="s">
        <v>30</v>
      </c>
      <c r="H14" s="2869">
        <v>100</v>
      </c>
      <c r="I14" s="2869" t="s">
        <v>30</v>
      </c>
      <c r="J14" s="2869">
        <v>100</v>
      </c>
      <c r="K14" s="3242"/>
      <c r="L14" s="3229"/>
      <c r="M14" s="2762" t="str">
        <f t="shared" si="6"/>
        <v>自然及人文环境</v>
      </c>
      <c r="N14" s="2760" t="s">
        <v>2831</v>
      </c>
      <c r="O14" s="2761">
        <f t="shared" si="0"/>
        <v>100</v>
      </c>
      <c r="P14" s="2760" t="s">
        <v>2831</v>
      </c>
      <c r="Q14" s="2761">
        <f t="shared" si="1"/>
        <v>100</v>
      </c>
      <c r="R14" s="2760" t="s">
        <v>2831</v>
      </c>
      <c r="S14" s="2761">
        <f t="shared" si="2"/>
        <v>100</v>
      </c>
      <c r="T14" s="3244"/>
      <c r="U14" s="3229"/>
      <c r="V14" s="2762" t="str">
        <f t="shared" si="7"/>
        <v>自然及人文环境</v>
      </c>
      <c r="W14" s="2759">
        <f t="shared" si="3"/>
        <v>1</v>
      </c>
      <c r="X14" s="2759">
        <f t="shared" si="4"/>
        <v>1</v>
      </c>
      <c r="Y14" s="2759">
        <f t="shared" si="5"/>
        <v>1</v>
      </c>
    </row>
    <row r="15" spans="1:25">
      <c r="A15" s="3226"/>
      <c r="B15" s="2871" t="s">
        <v>2872</v>
      </c>
      <c r="C15" s="2868" t="s">
        <v>3098</v>
      </c>
      <c r="D15" s="2866">
        <v>100</v>
      </c>
      <c r="E15" s="2869" t="s">
        <v>3054</v>
      </c>
      <c r="F15" s="2869">
        <v>100</v>
      </c>
      <c r="G15" s="2869" t="s">
        <v>3054</v>
      </c>
      <c r="H15" s="2869">
        <v>100</v>
      </c>
      <c r="I15" s="2869" t="s">
        <v>3054</v>
      </c>
      <c r="J15" s="2869">
        <v>100</v>
      </c>
      <c r="K15" s="3242"/>
      <c r="L15" s="3229"/>
      <c r="M15" s="2762" t="str">
        <f t="shared" si="6"/>
        <v>临街状况</v>
      </c>
      <c r="N15" s="2760" t="s">
        <v>2831</v>
      </c>
      <c r="O15" s="2761">
        <f t="shared" si="0"/>
        <v>100</v>
      </c>
      <c r="P15" s="2760" t="s">
        <v>2831</v>
      </c>
      <c r="Q15" s="2761">
        <f t="shared" si="1"/>
        <v>100</v>
      </c>
      <c r="R15" s="2760" t="s">
        <v>2831</v>
      </c>
      <c r="S15" s="2761">
        <f t="shared" si="2"/>
        <v>100</v>
      </c>
      <c r="T15" s="3244"/>
      <c r="U15" s="3229"/>
      <c r="V15" s="2762" t="str">
        <f t="shared" si="7"/>
        <v>临街状况</v>
      </c>
      <c r="W15" s="2759">
        <f t="shared" si="3"/>
        <v>1</v>
      </c>
      <c r="X15" s="2759">
        <f t="shared" si="4"/>
        <v>1</v>
      </c>
      <c r="Y15" s="2759">
        <f t="shared" si="5"/>
        <v>1</v>
      </c>
    </row>
    <row r="16" spans="1:25" ht="24" hidden="1">
      <c r="A16" s="3226"/>
      <c r="B16" s="2871" t="s">
        <v>2842</v>
      </c>
      <c r="C16" s="2868" t="s">
        <v>2873</v>
      </c>
      <c r="D16" s="2866">
        <v>100</v>
      </c>
      <c r="E16" s="2869" t="s">
        <v>2874</v>
      </c>
      <c r="F16" s="2869">
        <f t="shared" ref="F16:F20" si="8">D16</f>
        <v>100</v>
      </c>
      <c r="G16" s="2869" t="s">
        <v>2875</v>
      </c>
      <c r="H16" s="2869">
        <v>96</v>
      </c>
      <c r="I16" s="2869" t="s">
        <v>2876</v>
      </c>
      <c r="J16" s="2869">
        <v>98</v>
      </c>
      <c r="K16" s="3242"/>
      <c r="L16" s="3229"/>
      <c r="M16" s="2762" t="str">
        <f t="shared" si="6"/>
        <v>临街道路级别</v>
      </c>
      <c r="N16" s="2760" t="s">
        <v>2831</v>
      </c>
      <c r="O16" s="2761">
        <f t="shared" si="0"/>
        <v>100</v>
      </c>
      <c r="P16" s="2760" t="s">
        <v>2831</v>
      </c>
      <c r="Q16" s="2761">
        <f t="shared" si="1"/>
        <v>96</v>
      </c>
      <c r="R16" s="2760" t="s">
        <v>2831</v>
      </c>
      <c r="S16" s="2761">
        <f t="shared" si="2"/>
        <v>98</v>
      </c>
      <c r="T16" s="3244"/>
      <c r="U16" s="3229"/>
      <c r="V16" s="2762" t="str">
        <f t="shared" si="7"/>
        <v>临街道路级别</v>
      </c>
      <c r="W16" s="2759">
        <f t="shared" si="3"/>
        <v>1</v>
      </c>
      <c r="X16" s="2759">
        <f t="shared" si="4"/>
        <v>1.0416666666666667</v>
      </c>
      <c r="Y16" s="2759">
        <f t="shared" si="5"/>
        <v>1.0204081632653061</v>
      </c>
    </row>
    <row r="17" spans="1:25">
      <c r="A17" s="3226"/>
      <c r="B17" s="2871" t="s">
        <v>3103</v>
      </c>
      <c r="C17" s="2868" t="s">
        <v>3104</v>
      </c>
      <c r="D17" s="2866">
        <v>100</v>
      </c>
      <c r="E17" s="2869" t="s">
        <v>3053</v>
      </c>
      <c r="F17" s="2869">
        <v>100</v>
      </c>
      <c r="G17" s="2869" t="s">
        <v>3053</v>
      </c>
      <c r="H17" s="2869">
        <v>100</v>
      </c>
      <c r="I17" s="2869" t="s">
        <v>3053</v>
      </c>
      <c r="J17" s="2869">
        <v>100</v>
      </c>
      <c r="K17" s="3242"/>
      <c r="L17" s="3229"/>
      <c r="M17" s="2762" t="str">
        <f t="shared" si="6"/>
        <v>基础设施水平</v>
      </c>
      <c r="N17" s="2760" t="s">
        <v>2831</v>
      </c>
      <c r="O17" s="2761">
        <f t="shared" si="0"/>
        <v>100</v>
      </c>
      <c r="P17" s="2760" t="s">
        <v>2831</v>
      </c>
      <c r="Q17" s="2761">
        <f t="shared" si="1"/>
        <v>100</v>
      </c>
      <c r="R17" s="2760" t="s">
        <v>2831</v>
      </c>
      <c r="S17" s="2761">
        <f t="shared" si="2"/>
        <v>100</v>
      </c>
      <c r="T17" s="3244"/>
      <c r="U17" s="3229"/>
      <c r="V17" s="2762" t="str">
        <f t="shared" si="7"/>
        <v>基础设施水平</v>
      </c>
      <c r="W17" s="2759">
        <f t="shared" si="3"/>
        <v>1</v>
      </c>
      <c r="X17" s="2759">
        <f t="shared" si="4"/>
        <v>1</v>
      </c>
      <c r="Y17" s="2759">
        <f t="shared" si="5"/>
        <v>1</v>
      </c>
    </row>
    <row r="18" spans="1:25">
      <c r="A18" s="3226"/>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42"/>
      <c r="L18" s="3229"/>
      <c r="M18" s="2762" t="str">
        <f t="shared" si="6"/>
        <v>人流量</v>
      </c>
      <c r="N18" s="2760" t="s">
        <v>2831</v>
      </c>
      <c r="O18" s="2761">
        <f t="shared" si="0"/>
        <v>100</v>
      </c>
      <c r="P18" s="2760" t="s">
        <v>2831</v>
      </c>
      <c r="Q18" s="2761">
        <f t="shared" si="1"/>
        <v>100</v>
      </c>
      <c r="R18" s="2760" t="s">
        <v>2831</v>
      </c>
      <c r="S18" s="2761">
        <f t="shared" si="2"/>
        <v>100</v>
      </c>
      <c r="T18" s="3244"/>
      <c r="U18" s="3229"/>
      <c r="V18" s="2762" t="str">
        <f t="shared" si="7"/>
        <v>人流量</v>
      </c>
      <c r="W18" s="2759">
        <f t="shared" si="3"/>
        <v>1</v>
      </c>
      <c r="X18" s="2759">
        <f t="shared" si="4"/>
        <v>1</v>
      </c>
      <c r="Y18" s="2759">
        <f t="shared" si="5"/>
        <v>1</v>
      </c>
    </row>
    <row r="19" spans="1:25">
      <c r="A19" s="3226"/>
      <c r="B19" s="2871" t="s">
        <v>2844</v>
      </c>
      <c r="C19" s="2868" t="s">
        <v>3102</v>
      </c>
      <c r="D19" s="2866">
        <v>100</v>
      </c>
      <c r="E19" s="2869" t="s">
        <v>3101</v>
      </c>
      <c r="F19" s="2869">
        <v>100</v>
      </c>
      <c r="G19" s="2869" t="s">
        <v>3101</v>
      </c>
      <c r="H19" s="2869">
        <v>100</v>
      </c>
      <c r="I19" s="2869" t="s">
        <v>3101</v>
      </c>
      <c r="J19" s="2869">
        <v>100</v>
      </c>
      <c r="K19" s="3242"/>
      <c r="L19" s="3229"/>
      <c r="M19" s="2762" t="str">
        <f t="shared" si="6"/>
        <v>楼层</v>
      </c>
      <c r="N19" s="2760" t="s">
        <v>2831</v>
      </c>
      <c r="O19" s="2761">
        <f t="shared" si="0"/>
        <v>100</v>
      </c>
      <c r="P19" s="2760" t="s">
        <v>2831</v>
      </c>
      <c r="Q19" s="2761">
        <f t="shared" si="1"/>
        <v>100</v>
      </c>
      <c r="R19" s="2760" t="s">
        <v>2831</v>
      </c>
      <c r="S19" s="2761">
        <f t="shared" si="2"/>
        <v>100</v>
      </c>
      <c r="T19" s="3244"/>
      <c r="U19" s="3229"/>
      <c r="V19" s="2762" t="str">
        <f t="shared" si="7"/>
        <v>楼层</v>
      </c>
      <c r="W19" s="2759">
        <f t="shared" si="3"/>
        <v>1</v>
      </c>
      <c r="X19" s="2759">
        <f t="shared" si="4"/>
        <v>1</v>
      </c>
      <c r="Y19" s="2759">
        <f t="shared" si="5"/>
        <v>1</v>
      </c>
    </row>
    <row r="20" spans="1:25" ht="13.5" hidden="1" customHeight="1">
      <c r="A20" s="3227"/>
      <c r="B20" s="2871" t="s">
        <v>2845</v>
      </c>
      <c r="C20" s="2868"/>
      <c r="D20" s="2866">
        <v>100</v>
      </c>
      <c r="E20" s="2869"/>
      <c r="F20" s="2869">
        <f t="shared" si="8"/>
        <v>100</v>
      </c>
      <c r="G20" s="2869"/>
      <c r="H20" s="2869">
        <f>D20</f>
        <v>100</v>
      </c>
      <c r="I20" s="2869"/>
      <c r="J20" s="2869">
        <f>D20</f>
        <v>100</v>
      </c>
      <c r="K20" s="3242"/>
      <c r="L20" s="3230"/>
      <c r="M20" s="2762" t="str">
        <f t="shared" si="6"/>
        <v>特殊因素（需详细注明）</v>
      </c>
      <c r="N20" s="2760" t="s">
        <v>2831</v>
      </c>
      <c r="O20" s="2761">
        <f t="shared" si="0"/>
        <v>100</v>
      </c>
      <c r="P20" s="2760" t="s">
        <v>2831</v>
      </c>
      <c r="Q20" s="2761">
        <f t="shared" si="1"/>
        <v>100</v>
      </c>
      <c r="R20" s="2760" t="s">
        <v>2831</v>
      </c>
      <c r="S20" s="2761">
        <f t="shared" si="2"/>
        <v>100</v>
      </c>
      <c r="T20" s="3244"/>
      <c r="U20" s="3230"/>
      <c r="V20" s="2762" t="str">
        <f t="shared" si="7"/>
        <v>特殊因素（需详细注明）</v>
      </c>
      <c r="W20" s="2759">
        <f t="shared" si="3"/>
        <v>1</v>
      </c>
      <c r="X20" s="2759">
        <f t="shared" si="4"/>
        <v>1</v>
      </c>
      <c r="Y20" s="2759">
        <f t="shared" si="5"/>
        <v>1</v>
      </c>
    </row>
    <row r="21" spans="1:25">
      <c r="A21" s="3231" t="s">
        <v>2846</v>
      </c>
      <c r="B21" s="2872" t="s">
        <v>2847</v>
      </c>
      <c r="C21" s="2868" t="s">
        <v>3084</v>
      </c>
      <c r="D21" s="2866">
        <v>100</v>
      </c>
      <c r="E21" s="2869" t="s">
        <v>3084</v>
      </c>
      <c r="F21" s="2869">
        <v>100</v>
      </c>
      <c r="G21" s="2869" t="s">
        <v>3084</v>
      </c>
      <c r="H21" s="2869">
        <v>100</v>
      </c>
      <c r="I21" s="2869" t="s">
        <v>3059</v>
      </c>
      <c r="J21" s="2869">
        <v>102</v>
      </c>
      <c r="K21" s="3242"/>
      <c r="L21" s="3232" t="s">
        <v>2846</v>
      </c>
      <c r="M21" s="2762" t="str">
        <f t="shared" si="6"/>
        <v>物业类型</v>
      </c>
      <c r="N21" s="2760" t="s">
        <v>2831</v>
      </c>
      <c r="O21" s="2761">
        <f t="shared" si="0"/>
        <v>100</v>
      </c>
      <c r="P21" s="2760" t="s">
        <v>2831</v>
      </c>
      <c r="Q21" s="2761">
        <f t="shared" si="1"/>
        <v>100</v>
      </c>
      <c r="R21" s="2760" t="s">
        <v>2831</v>
      </c>
      <c r="S21" s="2761">
        <f t="shared" si="2"/>
        <v>102</v>
      </c>
      <c r="T21" s="3244"/>
      <c r="U21" s="3232" t="s">
        <v>2846</v>
      </c>
      <c r="V21" s="2762" t="str">
        <f t="shared" si="7"/>
        <v>物业类型</v>
      </c>
      <c r="W21" s="2759">
        <f t="shared" si="3"/>
        <v>1</v>
      </c>
      <c r="X21" s="2759">
        <f t="shared" si="4"/>
        <v>1</v>
      </c>
      <c r="Y21" s="2759">
        <f t="shared" si="5"/>
        <v>0.98039215686274506</v>
      </c>
    </row>
    <row r="22" spans="1:25" hidden="1">
      <c r="A22" s="3231"/>
      <c r="B22" s="2872" t="s">
        <v>2879</v>
      </c>
      <c r="C22" s="2868"/>
      <c r="D22" s="2866">
        <v>100</v>
      </c>
      <c r="E22" s="2869"/>
      <c r="F22" s="2869">
        <v>100</v>
      </c>
      <c r="G22" s="2869"/>
      <c r="H22" s="2869">
        <v>100</v>
      </c>
      <c r="I22" s="2869"/>
      <c r="J22" s="2869">
        <v>100</v>
      </c>
      <c r="K22" s="3242"/>
      <c r="L22" s="3232"/>
      <c r="M22" s="2762" t="str">
        <f t="shared" si="6"/>
        <v>楼宇经营业态</v>
      </c>
      <c r="N22" s="2760" t="s">
        <v>2831</v>
      </c>
      <c r="O22" s="2761">
        <f t="shared" si="0"/>
        <v>100</v>
      </c>
      <c r="P22" s="2760" t="s">
        <v>2831</v>
      </c>
      <c r="Q22" s="2761">
        <f t="shared" si="1"/>
        <v>100</v>
      </c>
      <c r="R22" s="2760" t="s">
        <v>2831</v>
      </c>
      <c r="S22" s="2761">
        <f t="shared" si="2"/>
        <v>100</v>
      </c>
      <c r="T22" s="3244"/>
      <c r="U22" s="3232"/>
      <c r="V22" s="2762" t="str">
        <f t="shared" si="7"/>
        <v>楼宇经营业态</v>
      </c>
      <c r="W22" s="2759">
        <f t="shared" si="3"/>
        <v>1</v>
      </c>
      <c r="X22" s="2759">
        <f t="shared" si="4"/>
        <v>1</v>
      </c>
      <c r="Y22" s="2759">
        <f t="shared" si="5"/>
        <v>1</v>
      </c>
    </row>
    <row r="23" spans="1:25" hidden="1">
      <c r="A23" s="3231"/>
      <c r="B23" s="2872" t="s">
        <v>2848</v>
      </c>
      <c r="C23" s="2868"/>
      <c r="D23" s="2866">
        <v>100</v>
      </c>
      <c r="E23" s="2869"/>
      <c r="F23" s="2869">
        <v>100</v>
      </c>
      <c r="G23" s="2869"/>
      <c r="H23" s="2869">
        <v>100</v>
      </c>
      <c r="I23" s="2869"/>
      <c r="J23" s="2869">
        <v>100</v>
      </c>
      <c r="K23" s="3242"/>
      <c r="L23" s="3232"/>
      <c r="M23" s="2762" t="str">
        <f t="shared" si="6"/>
        <v>房地产档次</v>
      </c>
      <c r="N23" s="2760" t="s">
        <v>2831</v>
      </c>
      <c r="O23" s="2761">
        <f t="shared" si="0"/>
        <v>100</v>
      </c>
      <c r="P23" s="2760" t="s">
        <v>2831</v>
      </c>
      <c r="Q23" s="2761">
        <f t="shared" si="1"/>
        <v>100</v>
      </c>
      <c r="R23" s="2760" t="s">
        <v>2831</v>
      </c>
      <c r="S23" s="2761">
        <f t="shared" si="2"/>
        <v>100</v>
      </c>
      <c r="T23" s="3244"/>
      <c r="U23" s="3232"/>
      <c r="V23" s="2762" t="str">
        <f t="shared" si="7"/>
        <v>房地产档次</v>
      </c>
      <c r="W23" s="2759">
        <f t="shared" si="3"/>
        <v>1</v>
      </c>
      <c r="X23" s="2759">
        <f t="shared" si="4"/>
        <v>1</v>
      </c>
      <c r="Y23" s="2759">
        <f t="shared" si="5"/>
        <v>1</v>
      </c>
    </row>
    <row r="24" spans="1:25">
      <c r="A24" s="3231"/>
      <c r="B24" s="2872" t="s">
        <v>2849</v>
      </c>
      <c r="C24" s="2868" t="s">
        <v>2880</v>
      </c>
      <c r="D24" s="2866">
        <v>100</v>
      </c>
      <c r="E24" s="2869" t="s">
        <v>2850</v>
      </c>
      <c r="F24" s="2869">
        <v>100</v>
      </c>
      <c r="G24" s="2869" t="s">
        <v>2850</v>
      </c>
      <c r="H24" s="2869">
        <v>100</v>
      </c>
      <c r="I24" s="2869" t="s">
        <v>2850</v>
      </c>
      <c r="J24" s="2869">
        <v>100</v>
      </c>
      <c r="K24" s="3242"/>
      <c r="L24" s="3232"/>
      <c r="M24" s="2762" t="str">
        <f t="shared" si="6"/>
        <v>结构</v>
      </c>
      <c r="N24" s="2760" t="s">
        <v>2831</v>
      </c>
      <c r="O24" s="2761">
        <f t="shared" si="0"/>
        <v>100</v>
      </c>
      <c r="P24" s="2760" t="s">
        <v>2831</v>
      </c>
      <c r="Q24" s="2761">
        <f t="shared" si="1"/>
        <v>100</v>
      </c>
      <c r="R24" s="2760" t="s">
        <v>2831</v>
      </c>
      <c r="S24" s="2761">
        <f t="shared" si="2"/>
        <v>100</v>
      </c>
      <c r="T24" s="3244"/>
      <c r="U24" s="3232"/>
      <c r="V24" s="2762" t="str">
        <f t="shared" si="7"/>
        <v>结构</v>
      </c>
      <c r="W24" s="2759">
        <f t="shared" si="3"/>
        <v>1</v>
      </c>
      <c r="X24" s="2759">
        <f t="shared" si="4"/>
        <v>1</v>
      </c>
      <c r="Y24" s="2759">
        <f t="shared" si="5"/>
        <v>1</v>
      </c>
    </row>
    <row r="25" spans="1:25">
      <c r="A25" s="3231"/>
      <c r="B25" s="2872" t="s">
        <v>999</v>
      </c>
      <c r="C25" s="2868" t="s">
        <v>3100</v>
      </c>
      <c r="D25" s="2866">
        <v>100</v>
      </c>
      <c r="E25" s="2869">
        <v>210</v>
      </c>
      <c r="F25" s="2869">
        <v>100</v>
      </c>
      <c r="G25" s="2869">
        <v>300</v>
      </c>
      <c r="H25" s="2869">
        <v>100</v>
      </c>
      <c r="I25" s="2869">
        <v>285</v>
      </c>
      <c r="J25" s="2869">
        <v>100</v>
      </c>
      <c r="K25" s="3242"/>
      <c r="L25" s="3232"/>
      <c r="M25" s="2762" t="str">
        <f t="shared" si="6"/>
        <v>建筑面积</v>
      </c>
      <c r="N25" s="2760" t="s">
        <v>2831</v>
      </c>
      <c r="O25" s="2761">
        <f t="shared" si="0"/>
        <v>100</v>
      </c>
      <c r="P25" s="2760" t="s">
        <v>2831</v>
      </c>
      <c r="Q25" s="2761">
        <f t="shared" si="1"/>
        <v>100</v>
      </c>
      <c r="R25" s="2760" t="s">
        <v>2831</v>
      </c>
      <c r="S25" s="2761">
        <f t="shared" si="2"/>
        <v>100</v>
      </c>
      <c r="T25" s="3244"/>
      <c r="U25" s="3232"/>
      <c r="V25" s="2762" t="str">
        <f t="shared" si="7"/>
        <v>建筑面积</v>
      </c>
      <c r="W25" s="2759">
        <f t="shared" si="3"/>
        <v>1</v>
      </c>
      <c r="X25" s="2759">
        <f t="shared" si="4"/>
        <v>1</v>
      </c>
      <c r="Y25" s="2759">
        <f t="shared" si="5"/>
        <v>1</v>
      </c>
    </row>
    <row r="26" spans="1:25">
      <c r="A26" s="3231"/>
      <c r="B26" s="2872" t="s">
        <v>3099</v>
      </c>
      <c r="C26" s="2873">
        <v>0.8</v>
      </c>
      <c r="D26" s="2866">
        <v>100</v>
      </c>
      <c r="E26" s="2874">
        <v>0.8</v>
      </c>
      <c r="F26" s="2869">
        <v>100</v>
      </c>
      <c r="G26" s="2874">
        <v>0.7</v>
      </c>
      <c r="H26" s="2869">
        <v>98</v>
      </c>
      <c r="I26" s="2874">
        <v>0.8</v>
      </c>
      <c r="J26" s="2869">
        <v>100</v>
      </c>
      <c r="K26" s="3242"/>
      <c r="L26" s="3232"/>
      <c r="M26" s="2762" t="str">
        <f t="shared" si="6"/>
        <v>成新度</v>
      </c>
      <c r="N26" s="2760" t="s">
        <v>2831</v>
      </c>
      <c r="O26" s="2761">
        <f t="shared" si="0"/>
        <v>100</v>
      </c>
      <c r="P26" s="2760" t="s">
        <v>2831</v>
      </c>
      <c r="Q26" s="2761">
        <f t="shared" si="1"/>
        <v>98</v>
      </c>
      <c r="R26" s="2760" t="s">
        <v>2831</v>
      </c>
      <c r="S26" s="2761">
        <f t="shared" si="2"/>
        <v>100</v>
      </c>
      <c r="T26" s="3244"/>
      <c r="U26" s="3232"/>
      <c r="V26" s="2762" t="str">
        <f t="shared" si="7"/>
        <v>成新度</v>
      </c>
      <c r="W26" s="2759">
        <f t="shared" si="3"/>
        <v>1</v>
      </c>
      <c r="X26" s="2759">
        <f t="shared" si="4"/>
        <v>1.0204081632653061</v>
      </c>
      <c r="Y26" s="2759">
        <f t="shared" si="5"/>
        <v>1</v>
      </c>
    </row>
    <row r="27" spans="1:25">
      <c r="A27" s="3231"/>
      <c r="B27" s="2872" t="s">
        <v>2881</v>
      </c>
      <c r="C27" s="2868" t="s">
        <v>2851</v>
      </c>
      <c r="D27" s="2866">
        <v>100</v>
      </c>
      <c r="E27" s="2869" t="s">
        <v>2882</v>
      </c>
      <c r="F27" s="2869">
        <v>98</v>
      </c>
      <c r="G27" s="2869" t="s">
        <v>2882</v>
      </c>
      <c r="H27" s="2869">
        <v>98</v>
      </c>
      <c r="I27" s="2867" t="s">
        <v>2851</v>
      </c>
      <c r="J27" s="2869">
        <v>100</v>
      </c>
      <c r="K27" s="3242"/>
      <c r="L27" s="3232"/>
      <c r="M27" s="2762" t="str">
        <f t="shared" si="6"/>
        <v>公共部分装修</v>
      </c>
      <c r="N27" s="2760" t="s">
        <v>2831</v>
      </c>
      <c r="O27" s="2761">
        <f t="shared" si="0"/>
        <v>98</v>
      </c>
      <c r="P27" s="2760" t="s">
        <v>2831</v>
      </c>
      <c r="Q27" s="2761">
        <f t="shared" si="1"/>
        <v>98</v>
      </c>
      <c r="R27" s="2760" t="s">
        <v>2831</v>
      </c>
      <c r="S27" s="2761">
        <f t="shared" si="2"/>
        <v>100</v>
      </c>
      <c r="T27" s="3244"/>
      <c r="U27" s="3232"/>
      <c r="V27" s="2762" t="str">
        <f t="shared" si="7"/>
        <v>公共部分装修</v>
      </c>
      <c r="W27" s="2759">
        <f t="shared" si="3"/>
        <v>1.0204081632653061</v>
      </c>
      <c r="X27" s="2759">
        <f t="shared" si="4"/>
        <v>1.0204081632653061</v>
      </c>
      <c r="Y27" s="2759">
        <f t="shared" si="5"/>
        <v>1</v>
      </c>
    </row>
    <row r="28" spans="1:25">
      <c r="A28" s="3231"/>
      <c r="B28" s="2872" t="s">
        <v>2852</v>
      </c>
      <c r="C28" s="2868" t="s">
        <v>2882</v>
      </c>
      <c r="D28" s="2866">
        <v>100</v>
      </c>
      <c r="E28" s="2869" t="s">
        <v>2882</v>
      </c>
      <c r="F28" s="2869">
        <v>100</v>
      </c>
      <c r="G28" s="2869" t="s">
        <v>2882</v>
      </c>
      <c r="H28" s="2869">
        <v>100</v>
      </c>
      <c r="I28" s="2869" t="s">
        <v>2882</v>
      </c>
      <c r="J28" s="2869">
        <v>100</v>
      </c>
      <c r="K28" s="3242"/>
      <c r="L28" s="3232"/>
      <c r="M28" s="2762" t="str">
        <f t="shared" si="6"/>
        <v>室内装修</v>
      </c>
      <c r="N28" s="2760" t="s">
        <v>2831</v>
      </c>
      <c r="O28" s="2761">
        <f t="shared" si="0"/>
        <v>100</v>
      </c>
      <c r="P28" s="2760" t="s">
        <v>2831</v>
      </c>
      <c r="Q28" s="2761">
        <f t="shared" si="1"/>
        <v>100</v>
      </c>
      <c r="R28" s="2760" t="s">
        <v>2831</v>
      </c>
      <c r="S28" s="2761">
        <f t="shared" si="2"/>
        <v>100</v>
      </c>
      <c r="T28" s="3244"/>
      <c r="U28" s="3232"/>
      <c r="V28" s="2762" t="str">
        <f t="shared" si="7"/>
        <v>室内装修</v>
      </c>
      <c r="W28" s="2759">
        <f t="shared" si="3"/>
        <v>1</v>
      </c>
      <c r="X28" s="2759">
        <f t="shared" si="4"/>
        <v>1</v>
      </c>
      <c r="Y28" s="2759">
        <f t="shared" si="5"/>
        <v>1</v>
      </c>
    </row>
    <row r="29" spans="1:25">
      <c r="A29" s="3231"/>
      <c r="B29" s="2871" t="s">
        <v>2883</v>
      </c>
      <c r="C29" s="2868" t="s">
        <v>2871</v>
      </c>
      <c r="D29" s="2866">
        <v>100</v>
      </c>
      <c r="E29" s="2869" t="s">
        <v>30</v>
      </c>
      <c r="F29" s="2869">
        <v>100</v>
      </c>
      <c r="G29" s="2869" t="s">
        <v>30</v>
      </c>
      <c r="H29" s="2869">
        <v>100</v>
      </c>
      <c r="I29" s="2869" t="s">
        <v>30</v>
      </c>
      <c r="J29" s="2869">
        <v>100</v>
      </c>
      <c r="K29" s="3242"/>
      <c r="L29" s="3232"/>
      <c r="M29" s="2762" t="str">
        <f t="shared" si="6"/>
        <v>内部装修维护情况</v>
      </c>
      <c r="N29" s="2760" t="s">
        <v>2831</v>
      </c>
      <c r="O29" s="2761">
        <f t="shared" si="0"/>
        <v>100</v>
      </c>
      <c r="P29" s="2760" t="s">
        <v>2831</v>
      </c>
      <c r="Q29" s="2761">
        <f t="shared" si="1"/>
        <v>100</v>
      </c>
      <c r="R29" s="2760" t="s">
        <v>2831</v>
      </c>
      <c r="S29" s="2761">
        <f t="shared" si="2"/>
        <v>100</v>
      </c>
      <c r="T29" s="3244"/>
      <c r="U29" s="3232"/>
      <c r="V29" s="2762" t="str">
        <f t="shared" si="7"/>
        <v>内部装修维护情况</v>
      </c>
      <c r="W29" s="2759">
        <f t="shared" si="3"/>
        <v>1</v>
      </c>
      <c r="X29" s="2759">
        <f t="shared" si="4"/>
        <v>1</v>
      </c>
      <c r="Y29" s="2759">
        <f t="shared" si="5"/>
        <v>1</v>
      </c>
    </row>
    <row r="30" spans="1:25" hidden="1">
      <c r="A30" s="3231"/>
      <c r="B30" s="2871" t="s">
        <v>2853</v>
      </c>
      <c r="C30" s="2868" t="s">
        <v>2884</v>
      </c>
      <c r="D30" s="2866">
        <v>100</v>
      </c>
      <c r="E30" s="2869"/>
      <c r="F30" s="2869">
        <f>D30</f>
        <v>100</v>
      </c>
      <c r="G30" s="2869"/>
      <c r="H30" s="2869">
        <f>D30</f>
        <v>100</v>
      </c>
      <c r="I30" s="2869"/>
      <c r="J30" s="2869">
        <f>D30</f>
        <v>100</v>
      </c>
      <c r="K30" s="3242"/>
      <c r="L30" s="3232"/>
      <c r="M30" s="2762" t="str">
        <f t="shared" si="6"/>
        <v>临街宽度</v>
      </c>
      <c r="N30" s="2760" t="s">
        <v>2831</v>
      </c>
      <c r="O30" s="2761">
        <f t="shared" si="0"/>
        <v>100</v>
      </c>
      <c r="P30" s="2760" t="s">
        <v>2831</v>
      </c>
      <c r="Q30" s="2761">
        <f t="shared" si="1"/>
        <v>100</v>
      </c>
      <c r="R30" s="2760" t="s">
        <v>2831</v>
      </c>
      <c r="S30" s="2761">
        <f t="shared" si="2"/>
        <v>100</v>
      </c>
      <c r="T30" s="3244"/>
      <c r="U30" s="3232"/>
      <c r="V30" s="2762" t="str">
        <f t="shared" si="7"/>
        <v>临街宽度</v>
      </c>
      <c r="W30" s="2759">
        <f t="shared" si="3"/>
        <v>1</v>
      </c>
      <c r="X30" s="2759">
        <f t="shared" si="4"/>
        <v>1</v>
      </c>
      <c r="Y30" s="2759">
        <f t="shared" si="5"/>
        <v>1</v>
      </c>
    </row>
    <row r="31" spans="1:25">
      <c r="A31" s="3231"/>
      <c r="B31" s="2871" t="s">
        <v>3105</v>
      </c>
      <c r="C31" s="2868" t="s">
        <v>3064</v>
      </c>
      <c r="D31" s="2866">
        <v>100</v>
      </c>
      <c r="E31" s="2869" t="s">
        <v>3087</v>
      </c>
      <c r="F31" s="2869">
        <v>102</v>
      </c>
      <c r="G31" s="2869" t="s">
        <v>3064</v>
      </c>
      <c r="H31" s="2869">
        <v>100</v>
      </c>
      <c r="I31" s="2869" t="s">
        <v>3064</v>
      </c>
      <c r="J31" s="2869">
        <v>100</v>
      </c>
      <c r="K31" s="3242"/>
      <c r="L31" s="3232"/>
      <c r="M31" s="2762" t="str">
        <f t="shared" si="6"/>
        <v>层高</v>
      </c>
      <c r="N31" s="2760" t="s">
        <v>2831</v>
      </c>
      <c r="O31" s="2761">
        <f t="shared" si="0"/>
        <v>102</v>
      </c>
      <c r="P31" s="2760" t="s">
        <v>2831</v>
      </c>
      <c r="Q31" s="2761">
        <f t="shared" si="1"/>
        <v>100</v>
      </c>
      <c r="R31" s="2760" t="s">
        <v>2831</v>
      </c>
      <c r="S31" s="2761">
        <f t="shared" si="2"/>
        <v>100</v>
      </c>
      <c r="T31" s="3244"/>
      <c r="U31" s="3232"/>
      <c r="V31" s="2762" t="str">
        <f t="shared" si="7"/>
        <v>层高</v>
      </c>
      <c r="W31" s="2759">
        <f t="shared" si="3"/>
        <v>0.98039215686274506</v>
      </c>
      <c r="X31" s="2759">
        <f t="shared" si="4"/>
        <v>1</v>
      </c>
      <c r="Y31" s="2759">
        <f t="shared" si="5"/>
        <v>1</v>
      </c>
    </row>
    <row r="32" spans="1:25" hidden="1">
      <c r="A32" s="3231"/>
      <c r="B32" s="2872" t="s">
        <v>2885</v>
      </c>
      <c r="C32" s="2868" t="s">
        <v>2886</v>
      </c>
      <c r="D32" s="2866">
        <v>100</v>
      </c>
      <c r="E32" s="2869" t="s">
        <v>2887</v>
      </c>
      <c r="F32" s="2869">
        <v>101</v>
      </c>
      <c r="G32" s="2869" t="str">
        <f>E32</f>
        <v>七通</v>
      </c>
      <c r="H32" s="2869">
        <f>F32</f>
        <v>101</v>
      </c>
      <c r="I32" s="2869" t="str">
        <f>G32</f>
        <v>七通</v>
      </c>
      <c r="J32" s="2869">
        <f>H32</f>
        <v>101</v>
      </c>
      <c r="K32" s="3242"/>
      <c r="L32" s="3232"/>
      <c r="M32" s="2762" t="str">
        <f t="shared" si="6"/>
        <v>基础设施</v>
      </c>
      <c r="N32" s="2760" t="s">
        <v>2831</v>
      </c>
      <c r="O32" s="2761">
        <f t="shared" si="0"/>
        <v>101</v>
      </c>
      <c r="P32" s="2760" t="s">
        <v>2831</v>
      </c>
      <c r="Q32" s="2761">
        <f t="shared" si="1"/>
        <v>101</v>
      </c>
      <c r="R32" s="2760" t="s">
        <v>2831</v>
      </c>
      <c r="S32" s="2761">
        <f t="shared" si="2"/>
        <v>101</v>
      </c>
      <c r="T32" s="3244"/>
      <c r="U32" s="3232"/>
      <c r="V32" s="2762" t="str">
        <f t="shared" si="7"/>
        <v>基础设施</v>
      </c>
      <c r="W32" s="2759">
        <f t="shared" si="3"/>
        <v>0.99009900990099009</v>
      </c>
      <c r="X32" s="2759">
        <f t="shared" si="4"/>
        <v>0.99009900990099009</v>
      </c>
      <c r="Y32" s="2759">
        <f t="shared" si="5"/>
        <v>0.99009900990099009</v>
      </c>
    </row>
    <row r="33" spans="1:25" hidden="1">
      <c r="A33" s="3231"/>
      <c r="B33" s="2872" t="s">
        <v>2888</v>
      </c>
      <c r="C33" s="2868" t="s">
        <v>2889</v>
      </c>
      <c r="D33" s="2866">
        <v>100</v>
      </c>
      <c r="E33" s="2869" t="s">
        <v>2889</v>
      </c>
      <c r="F33" s="2869">
        <f>D33</f>
        <v>100</v>
      </c>
      <c r="G33" s="2869" t="s">
        <v>2890</v>
      </c>
      <c r="H33" s="2869">
        <f>F33</f>
        <v>100</v>
      </c>
      <c r="I33" s="2869" t="s">
        <v>2890</v>
      </c>
      <c r="J33" s="2869">
        <f>F33</f>
        <v>100</v>
      </c>
      <c r="K33" s="3242"/>
      <c r="L33" s="3232"/>
      <c r="M33" s="2762" t="str">
        <f t="shared" si="6"/>
        <v>物业管理</v>
      </c>
      <c r="N33" s="2760" t="s">
        <v>2891</v>
      </c>
      <c r="O33" s="2761">
        <f t="shared" si="0"/>
        <v>100</v>
      </c>
      <c r="P33" s="2760" t="s">
        <v>2891</v>
      </c>
      <c r="Q33" s="2761">
        <f t="shared" si="1"/>
        <v>100</v>
      </c>
      <c r="R33" s="2760" t="s">
        <v>2891</v>
      </c>
      <c r="S33" s="2761">
        <f t="shared" si="2"/>
        <v>100</v>
      </c>
      <c r="T33" s="3244"/>
      <c r="U33" s="3232"/>
      <c r="V33" s="2762" t="str">
        <f t="shared" si="7"/>
        <v>物业管理</v>
      </c>
      <c r="W33" s="2759">
        <f t="shared" si="3"/>
        <v>1</v>
      </c>
      <c r="X33" s="2759">
        <f t="shared" si="4"/>
        <v>1</v>
      </c>
      <c r="Y33" s="2759">
        <f t="shared" si="5"/>
        <v>1</v>
      </c>
    </row>
    <row r="34" spans="1:25" hidden="1">
      <c r="A34" s="3231"/>
      <c r="B34" s="2872" t="s">
        <v>2892</v>
      </c>
      <c r="C34" s="2868" t="s">
        <v>2893</v>
      </c>
      <c r="D34" s="2866">
        <v>100</v>
      </c>
      <c r="E34" s="2869" t="s">
        <v>2894</v>
      </c>
      <c r="F34" s="2869">
        <v>98</v>
      </c>
      <c r="G34" s="2869" t="str">
        <f>E34</f>
        <v>无</v>
      </c>
      <c r="H34" s="2869">
        <f>F34</f>
        <v>98</v>
      </c>
      <c r="I34" s="2869" t="str">
        <f>E34</f>
        <v>无</v>
      </c>
      <c r="J34" s="2869">
        <f>F34</f>
        <v>98</v>
      </c>
      <c r="K34" s="3242"/>
      <c r="L34" s="3232"/>
      <c r="M34" s="2762" t="str">
        <f t="shared" si="6"/>
        <v>赠送车位</v>
      </c>
      <c r="N34" s="2760" t="s">
        <v>2855</v>
      </c>
      <c r="O34" s="2761">
        <f t="shared" si="0"/>
        <v>98</v>
      </c>
      <c r="P34" s="2760" t="s">
        <v>2855</v>
      </c>
      <c r="Q34" s="2761">
        <f t="shared" si="1"/>
        <v>98</v>
      </c>
      <c r="R34" s="2760" t="s">
        <v>2855</v>
      </c>
      <c r="S34" s="2761">
        <f t="shared" si="2"/>
        <v>98</v>
      </c>
      <c r="T34" s="3244"/>
      <c r="U34" s="3232"/>
      <c r="V34" s="2762" t="str">
        <f t="shared" si="7"/>
        <v>赠送车位</v>
      </c>
      <c r="W34" s="2759">
        <f t="shared" si="3"/>
        <v>1.0204081632653061</v>
      </c>
      <c r="X34" s="2759">
        <f t="shared" si="4"/>
        <v>1.0204081632653061</v>
      </c>
      <c r="Y34" s="2759">
        <f t="shared" si="5"/>
        <v>1.0204081632653061</v>
      </c>
    </row>
    <row r="35" spans="1:25" hidden="1">
      <c r="A35" s="3231"/>
      <c r="B35" s="2870"/>
      <c r="C35" s="2868"/>
      <c r="D35" s="2866">
        <v>100</v>
      </c>
      <c r="E35" s="2867"/>
      <c r="F35" s="2869">
        <f>D35</f>
        <v>100</v>
      </c>
      <c r="G35" s="2867"/>
      <c r="H35" s="2869">
        <f>D35</f>
        <v>100</v>
      </c>
      <c r="I35" s="2867"/>
      <c r="J35" s="2869">
        <f>D35</f>
        <v>100</v>
      </c>
      <c r="K35" s="3242"/>
      <c r="L35" s="3233"/>
      <c r="M35" s="2762">
        <f t="shared" si="6"/>
        <v>0</v>
      </c>
      <c r="N35" s="2760" t="s">
        <v>2856</v>
      </c>
      <c r="O35" s="2761">
        <f t="shared" si="0"/>
        <v>100</v>
      </c>
      <c r="P35" s="2760" t="s">
        <v>2856</v>
      </c>
      <c r="Q35" s="2761">
        <f t="shared" si="1"/>
        <v>100</v>
      </c>
      <c r="R35" s="2760" t="s">
        <v>2856</v>
      </c>
      <c r="S35" s="2761">
        <f t="shared" si="2"/>
        <v>100</v>
      </c>
      <c r="T35" s="3244"/>
      <c r="U35" s="3233"/>
      <c r="V35" s="2762">
        <f t="shared" si="7"/>
        <v>0</v>
      </c>
      <c r="W35" s="2759">
        <f t="shared" si="3"/>
        <v>1</v>
      </c>
      <c r="X35" s="2759">
        <f t="shared" si="4"/>
        <v>1</v>
      </c>
      <c r="Y35" s="2759">
        <f t="shared" si="5"/>
        <v>1</v>
      </c>
    </row>
    <row r="36" spans="1:25">
      <c r="A36" s="3249" t="s">
        <v>2895</v>
      </c>
      <c r="B36" s="3249"/>
      <c r="C36" s="3218" t="s">
        <v>512</v>
      </c>
      <c r="D36" s="3218"/>
      <c r="E36" s="3222">
        <f>ROUND(50667/E37,0)</f>
        <v>63334</v>
      </c>
      <c r="F36" s="3222"/>
      <c r="G36" s="3222">
        <f>ROUND(50000/E37,0)</f>
        <v>62500</v>
      </c>
      <c r="H36" s="3222"/>
      <c r="I36" s="3222">
        <f>ROUND(50000/E37,0)</f>
        <v>62500</v>
      </c>
      <c r="J36" s="3222"/>
      <c r="K36" s="3242"/>
      <c r="L36" s="3223" t="str">
        <f>A36</f>
        <v>成交单价（元/㎡）</v>
      </c>
      <c r="M36" s="3224"/>
      <c r="N36" s="3218">
        <f>E36</f>
        <v>63334</v>
      </c>
      <c r="O36" s="3218"/>
      <c r="P36" s="3218">
        <f>G36</f>
        <v>62500</v>
      </c>
      <c r="Q36" s="3218"/>
      <c r="R36" s="3218">
        <f>I36</f>
        <v>62500</v>
      </c>
      <c r="S36" s="3218"/>
    </row>
    <row r="37" spans="1:25" ht="13.5" customHeight="1">
      <c r="B37" s="2763" t="s">
        <v>2896</v>
      </c>
      <c r="E37" s="2764">
        <v>0.8</v>
      </c>
      <c r="G37" s="2764"/>
      <c r="K37" s="3242"/>
      <c r="L37" s="3219" t="s">
        <v>2897</v>
      </c>
      <c r="M37" s="3220"/>
      <c r="N37" s="3221">
        <f>ROUND(PRODUCT(N36,W5:W35),0)</f>
        <v>65319</v>
      </c>
      <c r="O37" s="3221"/>
      <c r="P37" s="3221">
        <f>ROUND(PRODUCT(P36,X5:X35),0)</f>
        <v>68487</v>
      </c>
      <c r="Q37" s="3221"/>
      <c r="R37" s="3221">
        <f>ROUND(PRODUCT(R36,Y5:Y35),0)</f>
        <v>63169</v>
      </c>
      <c r="S37" s="3221"/>
    </row>
    <row r="38" spans="1:25" ht="13.5" customHeight="1">
      <c r="B38" s="3210" t="s">
        <v>2898</v>
      </c>
      <c r="C38" s="3210"/>
      <c r="G38" s="2764"/>
      <c r="K38" s="3242"/>
      <c r="L38" s="3211" t="s">
        <v>2899</v>
      </c>
      <c r="M38" s="3211"/>
      <c r="N38" s="3212">
        <f>ROUND(AVERAGE(N37:R37),0)</f>
        <v>65658</v>
      </c>
      <c r="O38" s="3212"/>
      <c r="P38" s="3212"/>
      <c r="Q38" s="3212"/>
      <c r="R38" s="3212"/>
      <c r="S38" s="3212"/>
    </row>
    <row r="39" spans="1:25">
      <c r="B39" s="2768"/>
      <c r="G39" s="2764"/>
      <c r="K39" s="3242"/>
      <c r="L39" s="3213" t="s">
        <v>2900</v>
      </c>
      <c r="M39" s="3214"/>
      <c r="N39" s="3215">
        <f>ROUND(N38*C26,0)</f>
        <v>52526</v>
      </c>
      <c r="O39" s="3216"/>
      <c r="P39" s="3216"/>
      <c r="Q39" s="3216"/>
      <c r="R39" s="3216"/>
      <c r="S39" s="3217"/>
    </row>
    <row r="40" spans="1:25">
      <c r="G40" s="2764"/>
      <c r="K40" s="3242"/>
      <c r="L40" s="3208" t="s">
        <v>2901</v>
      </c>
      <c r="M40" s="3208"/>
      <c r="N40" s="3209">
        <f>(N37-N36)/N36</f>
        <v>3.1341775349733161E-2</v>
      </c>
      <c r="O40" s="3209"/>
      <c r="P40" s="3209">
        <f>(P37-P36)/P36</f>
        <v>9.5792000000000002E-2</v>
      </c>
      <c r="Q40" s="3209"/>
      <c r="R40" s="3209">
        <f>(R37-R36)/R36</f>
        <v>1.0704E-2</v>
      </c>
      <c r="S40" s="3209"/>
    </row>
    <row r="41" spans="1:25">
      <c r="B41" s="2765"/>
      <c r="C41" s="2766"/>
      <c r="D41" s="2766"/>
      <c r="E41" s="2766"/>
      <c r="F41" s="2766"/>
      <c r="G41" s="2766"/>
      <c r="H41" s="2766"/>
      <c r="I41" s="2766"/>
      <c r="J41" s="2766"/>
      <c r="L41" s="3208" t="s">
        <v>2902</v>
      </c>
      <c r="M41" s="3208"/>
      <c r="N41" s="3209">
        <f>N37/P37-1</f>
        <v>-4.625695387445794E-2</v>
      </c>
      <c r="O41" s="3209"/>
      <c r="P41" s="3209">
        <f>P37/R37-1</f>
        <v>8.4186863809780021E-2</v>
      </c>
      <c r="Q41" s="3209"/>
      <c r="R41" s="3209">
        <f>R37/N37-1</f>
        <v>-3.2915384497619327E-2</v>
      </c>
      <c r="S41" s="3209"/>
    </row>
    <row r="42" spans="1:25">
      <c r="D42" s="2766" t="s">
        <v>2903</v>
      </c>
      <c r="E42" s="2766"/>
      <c r="F42" s="2766"/>
      <c r="G42" s="2766"/>
      <c r="H42" s="2766"/>
      <c r="I42" s="2766"/>
      <c r="J42" s="2766"/>
      <c r="L42" s="3208" t="s">
        <v>2904</v>
      </c>
      <c r="M42" s="3208"/>
      <c r="N42" s="3209">
        <f>N36/P36-1</f>
        <v>1.3344000000000023E-2</v>
      </c>
      <c r="O42" s="3209"/>
      <c r="P42" s="3209">
        <f>P36/R36-1</f>
        <v>0</v>
      </c>
      <c r="Q42" s="3209"/>
      <c r="R42" s="3209">
        <f>R36/N36-1</f>
        <v>-1.3168282439132262E-2</v>
      </c>
      <c r="S42" s="3209"/>
    </row>
    <row r="81" spans="2:2">
      <c r="B81" s="2768"/>
    </row>
  </sheetData>
  <mergeCells count="63">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 ref="U6:V6"/>
    <mergeCell ref="L3:M4"/>
    <mergeCell ref="N3:O4"/>
    <mergeCell ref="P3:Q4"/>
    <mergeCell ref="R3:S4"/>
    <mergeCell ref="U3:V4"/>
    <mergeCell ref="X3:X4"/>
    <mergeCell ref="Y3:Y4"/>
    <mergeCell ref="A5:B5"/>
    <mergeCell ref="L5:M5"/>
    <mergeCell ref="U5:V5"/>
    <mergeCell ref="W3:W4"/>
    <mergeCell ref="U7:U10"/>
    <mergeCell ref="A11:A20"/>
    <mergeCell ref="L11:L20"/>
    <mergeCell ref="U11:U20"/>
    <mergeCell ref="A21:A35"/>
    <mergeCell ref="L21:L35"/>
    <mergeCell ref="U21:U35"/>
    <mergeCell ref="E36:F36"/>
    <mergeCell ref="G36:H36"/>
    <mergeCell ref="I36:J36"/>
    <mergeCell ref="L36:M36"/>
    <mergeCell ref="N36:O36"/>
    <mergeCell ref="L40:M40"/>
    <mergeCell ref="N40:O40"/>
    <mergeCell ref="P40:Q40"/>
    <mergeCell ref="R40:S40"/>
    <mergeCell ref="P36:Q36"/>
    <mergeCell ref="R36:S36"/>
    <mergeCell ref="L37:M37"/>
    <mergeCell ref="N37:O37"/>
    <mergeCell ref="P37:Q37"/>
    <mergeCell ref="R37:S37"/>
    <mergeCell ref="B38:C38"/>
    <mergeCell ref="L38:M38"/>
    <mergeCell ref="N38:S38"/>
    <mergeCell ref="L39:M39"/>
    <mergeCell ref="N39:S39"/>
    <mergeCell ref="L41:M41"/>
    <mergeCell ref="N41:O41"/>
    <mergeCell ref="P41:Q41"/>
    <mergeCell ref="R41:S41"/>
    <mergeCell ref="L42:M42"/>
    <mergeCell ref="N42:O42"/>
    <mergeCell ref="P42:Q42"/>
    <mergeCell ref="R42:S42"/>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估价对象为北京市房地产，为XX所有。根据《不动产权证书》[]，估价对象建筑面积为732.42平方米，（分摊）出让国有建设用地使用权面积为0平方米。估价对象用途为。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2021年1月6日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topLeftCell="A142" workbookViewId="0">
      <selection activeCell="Q160" sqref="Q160"/>
    </sheetView>
  </sheetViews>
  <sheetFormatPr defaultRowHeight="13.5"/>
  <sheetData>
    <row r="1" spans="1:1">
      <c r="A1" s="1904" t="s">
        <v>3108</v>
      </c>
    </row>
    <row r="48" spans="1:1">
      <c r="A48" s="1904" t="s">
        <v>3134</v>
      </c>
    </row>
    <row r="52" spans="1:1">
      <c r="A52" s="1904"/>
    </row>
    <row r="97" spans="1:1">
      <c r="A97" s="1904" t="s">
        <v>3135</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7" zoomScaleNormal="100" workbookViewId="0">
      <selection activeCell="M39" sqref="M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37414211</v>
      </c>
      <c r="C2" s="163" t="str">
        <f>'数据-取费表'!B3</f>
        <v>元</v>
      </c>
      <c r="D2" s="2379" t="s">
        <v>1247</v>
      </c>
      <c r="E2" s="2449" t="e">
        <f ca="1">SUMIF(INDIRECT("'"&amp;G2&amp;"'"&amp;"!A:A"),"承租人权益价值",INDIRECT("'"&amp;G2&amp;"'"&amp;"!c:c"))</f>
        <v>#REF!</v>
      </c>
      <c r="F2" s="2380" t="str">
        <f>C2</f>
        <v>元</v>
      </c>
      <c r="G2" s="2381" t="s">
        <v>3122</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51083</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79" t="s">
        <v>2333</v>
      </c>
      <c r="D4" s="3180"/>
      <c r="E4" s="3181" t="s">
        <v>2334</v>
      </c>
      <c r="F4" s="3182"/>
      <c r="G4" s="3179" t="s">
        <v>2335</v>
      </c>
      <c r="H4" s="3180"/>
      <c r="I4" s="3179" t="s">
        <v>2336</v>
      </c>
      <c r="J4" s="3180"/>
      <c r="K4" s="594" t="s">
        <v>2337</v>
      </c>
      <c r="L4" s="1239"/>
      <c r="M4" s="1240"/>
      <c r="N4" s="1240"/>
      <c r="O4" s="1240"/>
      <c r="P4" s="3183" t="s">
        <v>2338</v>
      </c>
      <c r="Q4" s="3184"/>
      <c r="R4" s="3168" t="s">
        <v>2334</v>
      </c>
      <c r="S4" s="3169"/>
      <c r="T4" s="3168" t="s">
        <v>2335</v>
      </c>
      <c r="U4" s="3169"/>
      <c r="V4" s="3189" t="s">
        <v>2336</v>
      </c>
      <c r="W4" s="3189"/>
      <c r="X4" s="2753"/>
      <c r="Y4" s="3168" t="s">
        <v>2338</v>
      </c>
      <c r="Z4" s="3169"/>
      <c r="AA4" s="3176" t="s">
        <v>2334</v>
      </c>
      <c r="AB4" s="3189" t="s">
        <v>2335</v>
      </c>
      <c r="AC4" s="3176" t="s">
        <v>2336</v>
      </c>
    </row>
    <row r="5" spans="1:29" ht="15.75" thickBot="1">
      <c r="A5" s="383"/>
      <c r="B5" s="384"/>
      <c r="C5" s="3195" t="s">
        <v>3152</v>
      </c>
      <c r="D5" s="3165"/>
      <c r="E5" s="3195" t="s">
        <v>3152</v>
      </c>
      <c r="F5" s="3165"/>
      <c r="G5" s="3195" t="s">
        <v>3153</v>
      </c>
      <c r="H5" s="3165"/>
      <c r="I5" s="3195" t="s">
        <v>3169</v>
      </c>
      <c r="J5" s="3165"/>
      <c r="K5" s="594"/>
      <c r="L5" s="1239"/>
      <c r="M5" s="1240"/>
      <c r="N5" s="1240"/>
      <c r="O5" s="1240"/>
      <c r="P5" s="3185"/>
      <c r="Q5" s="3186"/>
      <c r="R5" s="3170"/>
      <c r="S5" s="3171"/>
      <c r="T5" s="3170"/>
      <c r="U5" s="3171"/>
      <c r="V5" s="3189"/>
      <c r="W5" s="3189"/>
      <c r="X5" s="2753"/>
      <c r="Y5" s="3170"/>
      <c r="Z5" s="3171"/>
      <c r="AA5" s="3177"/>
      <c r="AB5" s="3189"/>
      <c r="AC5" s="3177"/>
    </row>
    <row r="6" spans="1:29" ht="15.75" hidden="1" thickBot="1">
      <c r="A6" s="385"/>
      <c r="B6" s="386"/>
      <c r="C6" s="3162" t="s">
        <v>2343</v>
      </c>
      <c r="D6" s="3163"/>
      <c r="E6" s="3192" t="s">
        <v>2343</v>
      </c>
      <c r="F6" s="3193"/>
      <c r="G6" s="3250" t="s">
        <v>3085</v>
      </c>
      <c r="H6" s="3163"/>
      <c r="I6" s="3162" t="s">
        <v>2343</v>
      </c>
      <c r="J6" s="3163"/>
      <c r="K6" s="594" t="s">
        <v>2344</v>
      </c>
      <c r="L6" s="1239"/>
      <c r="M6" s="1240"/>
      <c r="N6" s="1240"/>
      <c r="O6" s="1240"/>
      <c r="P6" s="3187"/>
      <c r="Q6" s="3188"/>
      <c r="R6" s="3170"/>
      <c r="S6" s="3171"/>
      <c r="T6" s="3172"/>
      <c r="U6" s="3173"/>
      <c r="V6" s="3189"/>
      <c r="W6" s="3189"/>
      <c r="X6" s="2753"/>
      <c r="Y6" s="3172"/>
      <c r="Z6" s="3173"/>
      <c r="AA6" s="3178"/>
      <c r="AB6" s="3189"/>
      <c r="AC6" s="3178"/>
    </row>
    <row r="7" spans="1:29" s="35" customFormat="1" ht="15.75" thickBot="1">
      <c r="A7" s="387" t="s">
        <v>2345</v>
      </c>
      <c r="B7" s="388"/>
      <c r="C7" s="389">
        <f>'数据-取费表'!B2</f>
        <v>44202</v>
      </c>
      <c r="D7" s="390">
        <v>100</v>
      </c>
      <c r="E7" s="391">
        <v>44144</v>
      </c>
      <c r="F7" s="392">
        <f>SUMIF(58:58,YEAR(E7)&amp;"-"&amp;MONTH(E7),59:59)</f>
        <v>100</v>
      </c>
      <c r="G7" s="391">
        <v>44201</v>
      </c>
      <c r="H7" s="390">
        <f>SUMIF(58:58,YEAR(G7)&amp;"-"&amp;MONTH(G7),59:59)</f>
        <v>100</v>
      </c>
      <c r="I7" s="391">
        <v>44196</v>
      </c>
      <c r="J7" s="390">
        <f>SUMIF(58:58,YEAR(I7)&amp;"-"&amp;MONTH(I7),59:59)</f>
        <v>100</v>
      </c>
      <c r="K7" s="595"/>
      <c r="L7" s="1241"/>
      <c r="M7" s="1242"/>
      <c r="N7" s="1242"/>
      <c r="O7" s="1242"/>
      <c r="P7" s="3166" t="s">
        <v>2346</v>
      </c>
      <c r="Q7" s="3174"/>
      <c r="R7" s="749" t="s">
        <v>25</v>
      </c>
      <c r="S7" s="750">
        <f t="shared" ref="S7:S15" si="0">F7</f>
        <v>100</v>
      </c>
      <c r="T7" s="749" t="s">
        <v>25</v>
      </c>
      <c r="U7" s="750">
        <f t="shared" ref="U7:U15" si="1">H7</f>
        <v>100</v>
      </c>
      <c r="V7" s="749" t="s">
        <v>25</v>
      </c>
      <c r="W7" s="750">
        <f t="shared" ref="W7:W15" si="2">J7</f>
        <v>100</v>
      </c>
      <c r="X7" s="751"/>
      <c r="Y7" s="3166" t="s">
        <v>2346</v>
      </c>
      <c r="Z7" s="3167"/>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66" t="s">
        <v>2349</v>
      </c>
      <c r="Q8" s="3167"/>
      <c r="R8" s="749" t="s">
        <v>25</v>
      </c>
      <c r="S8" s="750">
        <f t="shared" si="0"/>
        <v>100</v>
      </c>
      <c r="T8" s="749" t="s">
        <v>25</v>
      </c>
      <c r="U8" s="750">
        <f t="shared" si="1"/>
        <v>100</v>
      </c>
      <c r="V8" s="749" t="s">
        <v>25</v>
      </c>
      <c r="W8" s="750">
        <f t="shared" si="2"/>
        <v>100</v>
      </c>
      <c r="X8" s="751"/>
      <c r="Y8" s="3166" t="s">
        <v>2349</v>
      </c>
      <c r="Z8" s="3167"/>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75" t="s">
        <v>2352</v>
      </c>
      <c r="Q9" s="2748" t="str">
        <f t="shared" ref="Q9:Q15" si="6">B9</f>
        <v>用途</v>
      </c>
      <c r="R9" s="749" t="s">
        <v>25</v>
      </c>
      <c r="S9" s="750">
        <f t="shared" si="0"/>
        <v>100</v>
      </c>
      <c r="T9" s="749" t="s">
        <v>25</v>
      </c>
      <c r="U9" s="750">
        <f t="shared" si="1"/>
        <v>100</v>
      </c>
      <c r="V9" s="749" t="s">
        <v>25</v>
      </c>
      <c r="W9" s="750">
        <f t="shared" si="2"/>
        <v>100</v>
      </c>
      <c r="X9" s="751"/>
      <c r="Y9" s="2981"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75"/>
      <c r="Q10" s="2748"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75"/>
      <c r="Q11" s="2748" t="str">
        <f t="shared" si="6"/>
        <v>容积率</v>
      </c>
      <c r="R11" s="749" t="s">
        <v>25</v>
      </c>
      <c r="S11" s="750">
        <f t="shared" si="0"/>
        <v>100</v>
      </c>
      <c r="T11" s="749" t="s">
        <v>25</v>
      </c>
      <c r="U11" s="750">
        <f t="shared" si="1"/>
        <v>100</v>
      </c>
      <c r="V11" s="749" t="s">
        <v>25</v>
      </c>
      <c r="W11" s="750">
        <f t="shared" si="2"/>
        <v>100</v>
      </c>
      <c r="X11" s="751"/>
      <c r="Y11" s="2981"/>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75"/>
      <c r="Q12" s="2748">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75"/>
      <c r="Q13" s="2748">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75"/>
      <c r="Q14" s="2748">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53" t="s">
        <v>2357</v>
      </c>
      <c r="Q15" s="2752" t="str">
        <f t="shared" si="6"/>
        <v>商业繁华度</v>
      </c>
      <c r="R15" s="753" t="s">
        <v>25</v>
      </c>
      <c r="S15" s="754">
        <f t="shared" si="0"/>
        <v>100</v>
      </c>
      <c r="T15" s="753" t="s">
        <v>25</v>
      </c>
      <c r="U15" s="754">
        <f t="shared" si="1"/>
        <v>100</v>
      </c>
      <c r="V15" s="753" t="s">
        <v>25</v>
      </c>
      <c r="W15" s="754">
        <f t="shared" si="2"/>
        <v>100</v>
      </c>
      <c r="X15" s="2753"/>
      <c r="Y15" s="3155"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54"/>
      <c r="Q16" s="2752"/>
      <c r="R16" s="753"/>
      <c r="S16" s="754"/>
      <c r="T16" s="753"/>
      <c r="U16" s="754"/>
      <c r="V16" s="753"/>
      <c r="W16" s="754"/>
      <c r="X16" s="2753"/>
      <c r="Y16" s="3156"/>
      <c r="Z16" s="2754"/>
      <c r="AA16" s="2750">
        <v>1</v>
      </c>
      <c r="AB16" s="2750">
        <v>1</v>
      </c>
      <c r="AC16" s="2750">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54"/>
      <c r="Q17" s="2752" t="str">
        <f>B17</f>
        <v>交通便捷度</v>
      </c>
      <c r="R17" s="753" t="s">
        <v>25</v>
      </c>
      <c r="S17" s="754">
        <f>F17</f>
        <v>100</v>
      </c>
      <c r="T17" s="753" t="s">
        <v>25</v>
      </c>
      <c r="U17" s="754">
        <f>H17</f>
        <v>100</v>
      </c>
      <c r="V17" s="753" t="s">
        <v>25</v>
      </c>
      <c r="W17" s="754">
        <f>J17</f>
        <v>100</v>
      </c>
      <c r="X17" s="2753"/>
      <c r="Y17" s="3156"/>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54"/>
      <c r="Q18" s="2752"/>
      <c r="R18" s="753"/>
      <c r="S18" s="754"/>
      <c r="T18" s="753"/>
      <c r="U18" s="754"/>
      <c r="V18" s="753"/>
      <c r="W18" s="754"/>
      <c r="X18" s="2753"/>
      <c r="Y18" s="3156"/>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54"/>
      <c r="Q19" s="2752" t="str">
        <f>B19</f>
        <v>公共配套设施</v>
      </c>
      <c r="R19" s="753" t="s">
        <v>25</v>
      </c>
      <c r="S19" s="754">
        <f>F19</f>
        <v>100</v>
      </c>
      <c r="T19" s="753" t="s">
        <v>25</v>
      </c>
      <c r="U19" s="754">
        <f>H19</f>
        <v>100</v>
      </c>
      <c r="V19" s="753" t="s">
        <v>25</v>
      </c>
      <c r="W19" s="754">
        <f>J19</f>
        <v>100</v>
      </c>
      <c r="X19" s="2753"/>
      <c r="Y19" s="3156"/>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54"/>
      <c r="Q20" s="2752"/>
      <c r="R20" s="753"/>
      <c r="S20" s="754"/>
      <c r="T20" s="753"/>
      <c r="U20" s="754"/>
      <c r="V20" s="753"/>
      <c r="W20" s="754"/>
      <c r="X20" s="2753"/>
      <c r="Y20" s="3156"/>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54"/>
      <c r="Q21" s="2752" t="str">
        <f>B21</f>
        <v>基础设施水平</v>
      </c>
      <c r="R21" s="753" t="s">
        <v>25</v>
      </c>
      <c r="S21" s="754">
        <f>F21</f>
        <v>100</v>
      </c>
      <c r="T21" s="753" t="s">
        <v>25</v>
      </c>
      <c r="U21" s="754">
        <f>H21</f>
        <v>100</v>
      </c>
      <c r="V21" s="753" t="s">
        <v>25</v>
      </c>
      <c r="W21" s="754">
        <f>J21</f>
        <v>100</v>
      </c>
      <c r="X21" s="2753"/>
      <c r="Y21" s="3156"/>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54"/>
      <c r="Q22" s="2752"/>
      <c r="R22" s="753"/>
      <c r="S22" s="754"/>
      <c r="T22" s="753"/>
      <c r="U22" s="754"/>
      <c r="V22" s="753"/>
      <c r="W22" s="754"/>
      <c r="X22" s="2753"/>
      <c r="Y22" s="3156"/>
      <c r="Z22" s="2754"/>
      <c r="AA22" s="2750">
        <v>1</v>
      </c>
      <c r="AB22" s="2750">
        <v>1</v>
      </c>
      <c r="AC22" s="2750">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54"/>
      <c r="Q23" s="2752" t="str">
        <f>B23</f>
        <v>自然及人文环境</v>
      </c>
      <c r="R23" s="753" t="s">
        <v>25</v>
      </c>
      <c r="S23" s="754">
        <f>F23</f>
        <v>100</v>
      </c>
      <c r="T23" s="753" t="s">
        <v>25</v>
      </c>
      <c r="U23" s="754">
        <f>H23</f>
        <v>100</v>
      </c>
      <c r="V23" s="753" t="s">
        <v>25</v>
      </c>
      <c r="W23" s="754">
        <f>J23</f>
        <v>100</v>
      </c>
      <c r="X23" s="2753"/>
      <c r="Y23" s="3156"/>
      <c r="Z23" s="2754" t="str">
        <f>Q23</f>
        <v>自然及人文环境</v>
      </c>
      <c r="AA23" s="2750">
        <f t="shared" si="3"/>
        <v>1</v>
      </c>
      <c r="AB23" s="2750">
        <f t="shared" si="4"/>
        <v>1</v>
      </c>
      <c r="AC23" s="2750">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54"/>
      <c r="Q24" s="2752"/>
      <c r="R24" s="753"/>
      <c r="S24" s="754"/>
      <c r="T24" s="753"/>
      <c r="U24" s="754"/>
      <c r="V24" s="753"/>
      <c r="W24" s="754"/>
      <c r="X24" s="2753"/>
      <c r="Y24" s="3156"/>
      <c r="Z24" s="2754"/>
      <c r="AA24" s="2750">
        <v>1</v>
      </c>
      <c r="AB24" s="2750">
        <v>1</v>
      </c>
      <c r="AC24" s="2750">
        <v>1</v>
      </c>
    </row>
    <row r="25" spans="1:29" ht="15.75" thickBot="1">
      <c r="A25" s="408"/>
      <c r="B25" s="2749"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54"/>
      <c r="Q25" s="2752" t="str">
        <f t="shared" ref="Q25:Q46" si="11">B25</f>
        <v>临街状况</v>
      </c>
      <c r="R25" s="753" t="s">
        <v>25</v>
      </c>
      <c r="S25" s="754">
        <f>F25</f>
        <v>100</v>
      </c>
      <c r="T25" s="753" t="s">
        <v>25</v>
      </c>
      <c r="U25" s="754">
        <f>H25</f>
        <v>100</v>
      </c>
      <c r="V25" s="753" t="s">
        <v>25</v>
      </c>
      <c r="W25" s="754">
        <f>J25</f>
        <v>100</v>
      </c>
      <c r="X25" s="2753"/>
      <c r="Y25" s="3156"/>
      <c r="Z25" s="2754" t="str">
        <f>Q25</f>
        <v>临街状况</v>
      </c>
      <c r="AA25" s="2750">
        <f t="shared" si="3"/>
        <v>1</v>
      </c>
      <c r="AB25" s="2750">
        <f t="shared" si="4"/>
        <v>1</v>
      </c>
      <c r="AC25" s="2750">
        <f t="shared" si="5"/>
        <v>1</v>
      </c>
    </row>
    <row r="26" spans="1:29" ht="27.75" thickTop="1">
      <c r="A26" s="408"/>
      <c r="B26" s="2845" t="s">
        <v>3109</v>
      </c>
      <c r="C26" s="2843" t="s">
        <v>3154</v>
      </c>
      <c r="D26" s="415">
        <v>100</v>
      </c>
      <c r="E26" s="2843" t="s">
        <v>3155</v>
      </c>
      <c r="F26" s="442">
        <f>SUMIF(88:88,E26,89:89)-SUMIF(88:88,C26,89:89)+100</f>
        <v>100</v>
      </c>
      <c r="G26" s="2843" t="s">
        <v>3156</v>
      </c>
      <c r="H26" s="415">
        <f>SUMIF(88:88,G26,89:89)-SUMIF(88:88,C26,89:89)+100</f>
        <v>95</v>
      </c>
      <c r="I26" s="2843" t="s">
        <v>3171</v>
      </c>
      <c r="J26" s="415">
        <f>SUMIF(88:88,I26,89:89)-SUMIF(88:88,C26,89:89)+100</f>
        <v>95</v>
      </c>
      <c r="K26" s="597"/>
      <c r="L26" s="1249"/>
      <c r="M26" s="1240"/>
      <c r="N26" s="1240"/>
      <c r="O26" s="1240"/>
      <c r="P26" s="3154"/>
      <c r="Q26" s="2752" t="str">
        <f t="shared" si="11"/>
        <v>道路级别</v>
      </c>
      <c r="R26" s="753" t="s">
        <v>25</v>
      </c>
      <c r="S26" s="754">
        <f>F26</f>
        <v>100</v>
      </c>
      <c r="T26" s="753" t="s">
        <v>25</v>
      </c>
      <c r="U26" s="754">
        <f>H26</f>
        <v>95</v>
      </c>
      <c r="V26" s="753" t="s">
        <v>25</v>
      </c>
      <c r="W26" s="754">
        <f>J26</f>
        <v>95</v>
      </c>
      <c r="X26" s="2753"/>
      <c r="Y26" s="3156"/>
      <c r="Z26" s="2754" t="str">
        <f>Q26</f>
        <v>道路级别</v>
      </c>
      <c r="AA26" s="2750">
        <f t="shared" si="3"/>
        <v>1</v>
      </c>
      <c r="AB26" s="2750">
        <f t="shared" si="4"/>
        <v>1.0526315789473684</v>
      </c>
      <c r="AC26" s="2750">
        <f t="shared" si="5"/>
        <v>1.0526315789473684</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54"/>
      <c r="Q27" s="2748" t="str">
        <f t="shared" si="11"/>
        <v>人流量</v>
      </c>
      <c r="R27" s="749" t="s">
        <v>25</v>
      </c>
      <c r="S27" s="750">
        <f>F27</f>
        <v>100</v>
      </c>
      <c r="T27" s="749" t="s">
        <v>25</v>
      </c>
      <c r="U27" s="750">
        <f>H27</f>
        <v>100</v>
      </c>
      <c r="V27" s="749" t="s">
        <v>25</v>
      </c>
      <c r="W27" s="750">
        <f>J27</f>
        <v>100</v>
      </c>
      <c r="X27" s="751"/>
      <c r="Y27" s="3156"/>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54"/>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56"/>
      <c r="Z28" s="2754" t="str">
        <f t="shared" ref="Z28:Z46" si="15">Q28</f>
        <v>楼层</v>
      </c>
      <c r="AA28" s="2750">
        <f t="shared" si="3"/>
        <v>1</v>
      </c>
      <c r="AB28" s="2750">
        <f t="shared" si="4"/>
        <v>1</v>
      </c>
      <c r="AC28" s="2750">
        <f t="shared" si="5"/>
        <v>1</v>
      </c>
    </row>
    <row r="29" spans="1:29" ht="15.75" thickBot="1">
      <c r="A29" s="408"/>
      <c r="B29" s="2845" t="s">
        <v>3066</v>
      </c>
      <c r="C29" s="414" t="s">
        <v>3125</v>
      </c>
      <c r="D29" s="415">
        <v>100</v>
      </c>
      <c r="E29" s="414" t="s">
        <v>3083</v>
      </c>
      <c r="F29" s="442">
        <f>SUMIF(94:94,E29,95:95)-SUMIF(94:94,C29,95:95)+100</f>
        <v>110</v>
      </c>
      <c r="G29" s="414" t="s">
        <v>3083</v>
      </c>
      <c r="H29" s="415">
        <f>SUMIF(94:94,G29,95:95)-SUMIF(94:94,C29,95:95)+100</f>
        <v>110</v>
      </c>
      <c r="I29" s="414" t="s">
        <v>3083</v>
      </c>
      <c r="J29" s="415">
        <f>SUMIF(94:94,I29,95:95)-SUMIF(94:94,C29,95:95)+100</f>
        <v>110</v>
      </c>
      <c r="K29" s="597"/>
      <c r="L29" s="1249"/>
      <c r="M29" s="1240"/>
      <c r="N29" s="1240"/>
      <c r="O29" s="1240"/>
      <c r="P29" s="3154"/>
      <c r="Q29" s="2752" t="str">
        <f t="shared" si="11"/>
        <v>所在楼层</v>
      </c>
      <c r="R29" s="753" t="s">
        <v>25</v>
      </c>
      <c r="S29" s="754">
        <f t="shared" si="12"/>
        <v>110</v>
      </c>
      <c r="T29" s="753" t="s">
        <v>25</v>
      </c>
      <c r="U29" s="754">
        <f t="shared" si="13"/>
        <v>110</v>
      </c>
      <c r="V29" s="753" t="s">
        <v>25</v>
      </c>
      <c r="W29" s="754">
        <f t="shared" si="14"/>
        <v>110</v>
      </c>
      <c r="X29" s="2753"/>
      <c r="Y29" s="3156"/>
      <c r="Z29" s="2754" t="str">
        <f t="shared" si="15"/>
        <v>所在楼层</v>
      </c>
      <c r="AA29" s="2750">
        <f t="shared" si="3"/>
        <v>0.90909090909090906</v>
      </c>
      <c r="AB29" s="2750">
        <f t="shared" si="4"/>
        <v>0.90909090909090906</v>
      </c>
      <c r="AC29" s="2750">
        <f t="shared" si="5"/>
        <v>0.90909090909090906</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54"/>
      <c r="Q30" s="2752">
        <f t="shared" si="11"/>
        <v>111</v>
      </c>
      <c r="R30" s="753" t="s">
        <v>25</v>
      </c>
      <c r="S30" s="754">
        <f t="shared" si="12"/>
        <v>100</v>
      </c>
      <c r="T30" s="753" t="s">
        <v>25</v>
      </c>
      <c r="U30" s="754">
        <f t="shared" si="13"/>
        <v>100</v>
      </c>
      <c r="V30" s="753" t="s">
        <v>25</v>
      </c>
      <c r="W30" s="754">
        <f t="shared" si="14"/>
        <v>100</v>
      </c>
      <c r="X30" s="2753"/>
      <c r="Y30" s="3156"/>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54"/>
      <c r="Q31" s="2752">
        <f t="shared" si="11"/>
        <v>111</v>
      </c>
      <c r="R31" s="753" t="s">
        <v>25</v>
      </c>
      <c r="S31" s="754">
        <f t="shared" si="12"/>
        <v>100</v>
      </c>
      <c r="T31" s="753" t="s">
        <v>25</v>
      </c>
      <c r="U31" s="754">
        <f t="shared" si="13"/>
        <v>100</v>
      </c>
      <c r="V31" s="753" t="s">
        <v>25</v>
      </c>
      <c r="W31" s="754">
        <f t="shared" si="14"/>
        <v>100</v>
      </c>
      <c r="X31" s="2753"/>
      <c r="Y31" s="3156"/>
      <c r="Z31" s="2754">
        <f t="shared" si="15"/>
        <v>111</v>
      </c>
      <c r="AA31" s="2750">
        <f t="shared" si="3"/>
        <v>1</v>
      </c>
      <c r="AB31" s="2750">
        <f t="shared" si="4"/>
        <v>1</v>
      </c>
      <c r="AC31" s="2750">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3172</v>
      </c>
      <c r="J32" s="448">
        <f>SUMIF(100:100,I32,101:101)-SUMIF(100:100,C32,101:101)+100</f>
        <v>97</v>
      </c>
      <c r="K32" s="596">
        <v>3</v>
      </c>
      <c r="L32" s="1249"/>
      <c r="M32" s="1240"/>
      <c r="N32" s="1240"/>
      <c r="O32" s="1240"/>
      <c r="P32" s="3157" t="s">
        <v>2363</v>
      </c>
      <c r="Q32" s="2752" t="str">
        <f t="shared" si="11"/>
        <v>商业类型</v>
      </c>
      <c r="R32" s="753" t="s">
        <v>25</v>
      </c>
      <c r="S32" s="754">
        <f t="shared" si="12"/>
        <v>100</v>
      </c>
      <c r="T32" s="753" t="s">
        <v>25</v>
      </c>
      <c r="U32" s="754">
        <f t="shared" si="13"/>
        <v>100</v>
      </c>
      <c r="V32" s="753" t="s">
        <v>25</v>
      </c>
      <c r="W32" s="754">
        <f t="shared" si="14"/>
        <v>97</v>
      </c>
      <c r="X32" s="2753"/>
      <c r="Y32" s="3160" t="s">
        <v>2363</v>
      </c>
      <c r="Z32" s="2754" t="str">
        <f t="shared" si="15"/>
        <v>商业类型</v>
      </c>
      <c r="AA32" s="2750">
        <f t="shared" si="3"/>
        <v>1</v>
      </c>
      <c r="AB32" s="2750">
        <f t="shared" si="4"/>
        <v>1</v>
      </c>
      <c r="AC32" s="2750">
        <f t="shared" si="5"/>
        <v>1.0309278350515463</v>
      </c>
    </row>
    <row r="33" spans="1:29" s="452" customFormat="1" ht="15">
      <c r="A33" s="449"/>
      <c r="B33" s="2749" t="s">
        <v>2364</v>
      </c>
      <c r="C33" s="450">
        <v>732.42</v>
      </c>
      <c r="D33" s="52">
        <v>100</v>
      </c>
      <c r="E33" s="410">
        <f>115.5</f>
        <v>115.5</v>
      </c>
      <c r="F33" s="405">
        <f>LOOKUP(E33,103:103,104:104)-LOOKUP(C33,103:103,104:104)+100</f>
        <v>104</v>
      </c>
      <c r="G33" s="409">
        <v>56</v>
      </c>
      <c r="H33" s="52">
        <f>LOOKUP(G33,103:103,104:104)-LOOKUP(C33,103:103,104:104)+100</f>
        <v>104</v>
      </c>
      <c r="I33" s="409">
        <v>49.58</v>
      </c>
      <c r="J33" s="52">
        <f>LOOKUP(I33,103:103,104:104)-LOOKUP(C33,103:103,104:104)+100</f>
        <v>104</v>
      </c>
      <c r="K33" s="597"/>
      <c r="L33" s="1247"/>
      <c r="M33" s="1250"/>
      <c r="N33" s="1250"/>
      <c r="O33" s="1250"/>
      <c r="P33" s="3158"/>
      <c r="Q33" s="755" t="str">
        <f t="shared" si="11"/>
        <v>项目建筑规模</v>
      </c>
      <c r="R33" s="756" t="s">
        <v>25</v>
      </c>
      <c r="S33" s="757">
        <f t="shared" si="12"/>
        <v>104</v>
      </c>
      <c r="T33" s="756" t="s">
        <v>25</v>
      </c>
      <c r="U33" s="757">
        <f t="shared" si="13"/>
        <v>104</v>
      </c>
      <c r="V33" s="756" t="s">
        <v>25</v>
      </c>
      <c r="W33" s="757">
        <f t="shared" si="14"/>
        <v>104</v>
      </c>
      <c r="X33" s="758"/>
      <c r="Y33" s="3160"/>
      <c r="Z33" s="759" t="str">
        <f t="shared" si="15"/>
        <v>项目建筑规模</v>
      </c>
      <c r="AA33" s="2750">
        <f t="shared" si="3"/>
        <v>0.96153846153846156</v>
      </c>
      <c r="AB33" s="2750">
        <f t="shared" si="4"/>
        <v>0.96153846153846156</v>
      </c>
      <c r="AC33" s="2750">
        <f t="shared" si="5"/>
        <v>0.96153846153846156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58"/>
      <c r="Q34" s="2752" t="str">
        <f t="shared" si="11"/>
        <v>建筑结构</v>
      </c>
      <c r="R34" s="753" t="s">
        <v>25</v>
      </c>
      <c r="S34" s="754">
        <f t="shared" si="12"/>
        <v>100</v>
      </c>
      <c r="T34" s="753" t="s">
        <v>25</v>
      </c>
      <c r="U34" s="754">
        <f t="shared" si="13"/>
        <v>100</v>
      </c>
      <c r="V34" s="753" t="s">
        <v>25</v>
      </c>
      <c r="W34" s="754">
        <f t="shared" si="14"/>
        <v>100</v>
      </c>
      <c r="X34" s="2753"/>
      <c r="Y34" s="3160"/>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58"/>
      <c r="Q35" s="2752" t="str">
        <f t="shared" si="11"/>
        <v>公共部分装修</v>
      </c>
      <c r="R35" s="753" t="s">
        <v>25</v>
      </c>
      <c r="S35" s="754">
        <f t="shared" si="12"/>
        <v>100</v>
      </c>
      <c r="T35" s="753" t="s">
        <v>25</v>
      </c>
      <c r="U35" s="754">
        <f t="shared" si="13"/>
        <v>100</v>
      </c>
      <c r="V35" s="753" t="s">
        <v>25</v>
      </c>
      <c r="W35" s="754">
        <f t="shared" si="14"/>
        <v>100</v>
      </c>
      <c r="X35" s="2753"/>
      <c r="Y35" s="3160"/>
      <c r="Z35" s="2754" t="str">
        <f t="shared" si="15"/>
        <v>公共部分装修</v>
      </c>
      <c r="AA35" s="2750">
        <f t="shared" si="3"/>
        <v>1</v>
      </c>
      <c r="AB35" s="2750">
        <f t="shared" si="4"/>
        <v>1</v>
      </c>
      <c r="AC35" s="2750">
        <f t="shared" si="5"/>
        <v>1</v>
      </c>
    </row>
    <row r="36" spans="1:29" ht="15" hidden="1">
      <c r="A36" s="453"/>
      <c r="B36" s="2749" t="s">
        <v>2450</v>
      </c>
      <c r="C36" s="455">
        <f>'数据-取费表'!E20</f>
        <v>0.82499999999999996</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58"/>
      <c r="Q36" s="2752" t="str">
        <f t="shared" si="11"/>
        <v>成新度</v>
      </c>
      <c r="R36" s="753" t="s">
        <v>25</v>
      </c>
      <c r="S36" s="754">
        <f t="shared" si="12"/>
        <v>100</v>
      </c>
      <c r="T36" s="753" t="s">
        <v>25</v>
      </c>
      <c r="U36" s="754">
        <f t="shared" si="13"/>
        <v>100</v>
      </c>
      <c r="V36" s="753" t="s">
        <v>25</v>
      </c>
      <c r="W36" s="754">
        <f t="shared" si="14"/>
        <v>100</v>
      </c>
      <c r="X36" s="2753"/>
      <c r="Y36" s="3160"/>
      <c r="Z36" s="2754" t="str">
        <f t="shared" si="15"/>
        <v>成新度</v>
      </c>
      <c r="AA36" s="2750">
        <f t="shared" si="3"/>
        <v>1</v>
      </c>
      <c r="AB36" s="2750">
        <f t="shared" si="4"/>
        <v>1</v>
      </c>
      <c r="AC36" s="2750">
        <f t="shared" si="5"/>
        <v>1</v>
      </c>
    </row>
    <row r="37" spans="1:29" s="35" customFormat="1" ht="15">
      <c r="A37" s="454"/>
      <c r="B37" s="2749"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58"/>
      <c r="Q37" s="2748" t="str">
        <f t="shared" si="11"/>
        <v>市政基础设施</v>
      </c>
      <c r="R37" s="749" t="s">
        <v>25</v>
      </c>
      <c r="S37" s="750">
        <f t="shared" si="12"/>
        <v>100</v>
      </c>
      <c r="T37" s="749" t="s">
        <v>25</v>
      </c>
      <c r="U37" s="750">
        <f t="shared" si="13"/>
        <v>100</v>
      </c>
      <c r="V37" s="749" t="s">
        <v>25</v>
      </c>
      <c r="W37" s="750">
        <f t="shared" si="14"/>
        <v>100</v>
      </c>
      <c r="X37" s="751"/>
      <c r="Y37" s="3160"/>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58" t="s">
        <v>2363</v>
      </c>
      <c r="Q38" s="2752" t="str">
        <f t="shared" si="11"/>
        <v>业态</v>
      </c>
      <c r="R38" s="753" t="s">
        <v>25</v>
      </c>
      <c r="S38" s="754">
        <f t="shared" si="12"/>
        <v>100</v>
      </c>
      <c r="T38" s="753" t="s">
        <v>25</v>
      </c>
      <c r="U38" s="754">
        <f t="shared" si="13"/>
        <v>100</v>
      </c>
      <c r="V38" s="753" t="s">
        <v>25</v>
      </c>
      <c r="W38" s="754">
        <f t="shared" si="14"/>
        <v>100</v>
      </c>
      <c r="X38" s="2753"/>
      <c r="Y38" s="3160"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3157</v>
      </c>
      <c r="F39" s="442">
        <f>SUMIF(116:116,E39,117:117)-SUMIF(116:116,C39,117:117)+100</f>
        <v>102</v>
      </c>
      <c r="G39" s="2406" t="s">
        <v>3157</v>
      </c>
      <c r="H39" s="415">
        <f>SUMIF(116:116,G39,117:117)-SUMIF(116:116,C39,117:117)+100</f>
        <v>102</v>
      </c>
      <c r="I39" s="2406" t="s">
        <v>3157</v>
      </c>
      <c r="J39" s="415">
        <f>SUMIF(116:116,I39,117:117)-SUMIF(116:116,C39,117:117)+100</f>
        <v>102</v>
      </c>
      <c r="K39" s="2883">
        <v>2</v>
      </c>
      <c r="L39" s="1249"/>
      <c r="M39" s="1240"/>
      <c r="N39" s="1240"/>
      <c r="O39" s="1240"/>
      <c r="P39" s="3158"/>
      <c r="Q39" s="2752" t="str">
        <f t="shared" si="11"/>
        <v>层高</v>
      </c>
      <c r="R39" s="753" t="s">
        <v>25</v>
      </c>
      <c r="S39" s="754">
        <f t="shared" si="12"/>
        <v>102</v>
      </c>
      <c r="T39" s="753" t="s">
        <v>25</v>
      </c>
      <c r="U39" s="754">
        <f t="shared" si="13"/>
        <v>102</v>
      </c>
      <c r="V39" s="753" t="s">
        <v>25</v>
      </c>
      <c r="W39" s="754">
        <f t="shared" si="14"/>
        <v>102</v>
      </c>
      <c r="X39" s="2753"/>
      <c r="Y39" s="3160"/>
      <c r="Z39" s="2754" t="str">
        <f t="shared" si="15"/>
        <v>层高</v>
      </c>
      <c r="AA39" s="2750">
        <f t="shared" si="3"/>
        <v>0.98039215686274506</v>
      </c>
      <c r="AB39" s="2750">
        <f t="shared" si="4"/>
        <v>0.98039215686274506</v>
      </c>
      <c r="AC39" s="2750">
        <f t="shared" si="5"/>
        <v>0.98039215686274506</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8"/>
      <c r="Q40" s="2752" t="str">
        <f t="shared" si="11"/>
        <v>单套建筑面积</v>
      </c>
      <c r="R40" s="753" t="s">
        <v>25</v>
      </c>
      <c r="S40" s="754">
        <f t="shared" si="12"/>
        <v>100</v>
      </c>
      <c r="T40" s="753" t="s">
        <v>25</v>
      </c>
      <c r="U40" s="754">
        <f t="shared" si="13"/>
        <v>100</v>
      </c>
      <c r="V40" s="753" t="s">
        <v>25</v>
      </c>
      <c r="W40" s="754">
        <f t="shared" si="14"/>
        <v>100</v>
      </c>
      <c r="X40" s="2753"/>
      <c r="Y40" s="3160"/>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8"/>
      <c r="Q41" s="755" t="str">
        <f t="shared" si="11"/>
        <v>进深比</v>
      </c>
      <c r="R41" s="756" t="s">
        <v>25</v>
      </c>
      <c r="S41" s="757">
        <f t="shared" si="12"/>
        <v>100</v>
      </c>
      <c r="T41" s="756" t="s">
        <v>25</v>
      </c>
      <c r="U41" s="757">
        <f t="shared" si="13"/>
        <v>100</v>
      </c>
      <c r="V41" s="756" t="s">
        <v>25</v>
      </c>
      <c r="W41" s="757">
        <f t="shared" si="14"/>
        <v>100</v>
      </c>
      <c r="X41" s="758"/>
      <c r="Y41" s="3160"/>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596">
        <v>5</v>
      </c>
      <c r="L42" s="1249"/>
      <c r="M42" s="1240"/>
      <c r="N42" s="1240"/>
      <c r="O42" s="1240"/>
      <c r="P42" s="3158"/>
      <c r="Q42" s="2752" t="str">
        <f t="shared" si="11"/>
        <v>内部装修</v>
      </c>
      <c r="R42" s="753" t="s">
        <v>25</v>
      </c>
      <c r="S42" s="754">
        <f t="shared" si="12"/>
        <v>95</v>
      </c>
      <c r="T42" s="753" t="s">
        <v>25</v>
      </c>
      <c r="U42" s="754">
        <f t="shared" si="13"/>
        <v>95</v>
      </c>
      <c r="V42" s="753" t="s">
        <v>25</v>
      </c>
      <c r="W42" s="754">
        <f t="shared" si="14"/>
        <v>100</v>
      </c>
      <c r="X42" s="2753"/>
      <c r="Y42" s="3160"/>
      <c r="Z42" s="2754" t="str">
        <f t="shared" si="15"/>
        <v>内部装修</v>
      </c>
      <c r="AA42" s="2750">
        <f t="shared" si="3"/>
        <v>1.0526315789473684</v>
      </c>
      <c r="AB42" s="2750">
        <f t="shared" si="4"/>
        <v>1.0526315789473684</v>
      </c>
      <c r="AC42" s="2750">
        <f t="shared" si="5"/>
        <v>1</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58"/>
      <c r="Q43" s="2752" t="str">
        <f t="shared" si="11"/>
        <v>内部装修维护情况</v>
      </c>
      <c r="R43" s="753" t="s">
        <v>25</v>
      </c>
      <c r="S43" s="754">
        <f t="shared" si="12"/>
        <v>100</v>
      </c>
      <c r="T43" s="753" t="s">
        <v>25</v>
      </c>
      <c r="U43" s="754">
        <f t="shared" si="13"/>
        <v>100</v>
      </c>
      <c r="V43" s="753" t="s">
        <v>25</v>
      </c>
      <c r="W43" s="754">
        <f t="shared" si="14"/>
        <v>100</v>
      </c>
      <c r="X43" s="2753"/>
      <c r="Y43" s="3160"/>
      <c r="Z43" s="2754" t="str">
        <f t="shared" si="15"/>
        <v>内部装修维护情况</v>
      </c>
      <c r="AA43" s="2750">
        <f t="shared" si="3"/>
        <v>1</v>
      </c>
      <c r="AB43" s="2750">
        <f t="shared" si="4"/>
        <v>1</v>
      </c>
      <c r="AC43" s="2750">
        <f t="shared" si="5"/>
        <v>1</v>
      </c>
    </row>
    <row r="44" spans="1:29" s="35" customFormat="1" ht="15">
      <c r="A44" s="454"/>
      <c r="B44" s="2845" t="s">
        <v>3067</v>
      </c>
      <c r="C44" s="2846" t="s">
        <v>3131</v>
      </c>
      <c r="D44" s="52">
        <v>100</v>
      </c>
      <c r="E44" s="2877" t="s">
        <v>3130</v>
      </c>
      <c r="F44" s="405">
        <f>SUMIF(126:126,E44,127:127)-SUMIF(126:126,C44,127:127)+100</f>
        <v>101</v>
      </c>
      <c r="G44" s="2877" t="s">
        <v>3130</v>
      </c>
      <c r="H44" s="52">
        <f>SUMIF(126:126,G44,127:127)-SUMIF(126:126,C44,127:127)+100</f>
        <v>101</v>
      </c>
      <c r="I44" s="2877" t="s">
        <v>3130</v>
      </c>
      <c r="J44" s="52">
        <f>SUMIF(126:126,I44,127:127)-SUMIF(126:126,C44,127:127)+100</f>
        <v>101</v>
      </c>
      <c r="K44" s="597"/>
      <c r="L44" s="1241"/>
      <c r="M44" s="1242"/>
      <c r="N44" s="1242"/>
      <c r="O44" s="1242"/>
      <c r="P44" s="3158"/>
      <c r="Q44" s="2748" t="str">
        <f t="shared" si="11"/>
        <v>是否可做餐饮</v>
      </c>
      <c r="R44" s="749" t="s">
        <v>25</v>
      </c>
      <c r="S44" s="750">
        <f t="shared" si="12"/>
        <v>101</v>
      </c>
      <c r="T44" s="749" t="s">
        <v>25</v>
      </c>
      <c r="U44" s="750">
        <f t="shared" si="13"/>
        <v>101</v>
      </c>
      <c r="V44" s="749" t="s">
        <v>25</v>
      </c>
      <c r="W44" s="750">
        <f t="shared" si="14"/>
        <v>101</v>
      </c>
      <c r="X44" s="751"/>
      <c r="Y44" s="3160"/>
      <c r="Z44" s="23" t="str">
        <f t="shared" si="15"/>
        <v>是否可做餐饮</v>
      </c>
      <c r="AA44" s="752">
        <f t="shared" si="3"/>
        <v>0.99009900990099009</v>
      </c>
      <c r="AB44" s="752">
        <f t="shared" si="4"/>
        <v>0.99009900990099009</v>
      </c>
      <c r="AC44" s="752">
        <f t="shared" si="5"/>
        <v>0.99009900990099009</v>
      </c>
    </row>
    <row r="45" spans="1:29" ht="15.75" thickBot="1">
      <c r="A45" s="453"/>
      <c r="B45" s="2845" t="s">
        <v>3132</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58"/>
      <c r="Q45" s="2752" t="str">
        <f t="shared" si="11"/>
        <v>建成年代</v>
      </c>
      <c r="R45" s="753" t="s">
        <v>25</v>
      </c>
      <c r="S45" s="754">
        <f t="shared" si="12"/>
        <v>100</v>
      </c>
      <c r="T45" s="753" t="s">
        <v>25</v>
      </c>
      <c r="U45" s="754">
        <f t="shared" si="13"/>
        <v>100</v>
      </c>
      <c r="V45" s="753" t="s">
        <v>25</v>
      </c>
      <c r="W45" s="754">
        <f t="shared" si="14"/>
        <v>100</v>
      </c>
      <c r="X45" s="2753"/>
      <c r="Y45" s="3160"/>
      <c r="Z45" s="2754" t="str">
        <f t="shared" si="15"/>
        <v>建成年代</v>
      </c>
      <c r="AA45" s="2750">
        <f t="shared" si="3"/>
        <v>1</v>
      </c>
      <c r="AB45" s="2750">
        <f t="shared" si="4"/>
        <v>1</v>
      </c>
      <c r="AC45" s="2750">
        <f t="shared" si="5"/>
        <v>1</v>
      </c>
    </row>
    <row r="46" spans="1:29" ht="16.5" thickTop="1" thickBot="1">
      <c r="A46" s="459"/>
      <c r="B46" s="2878" t="s">
        <v>3118</v>
      </c>
      <c r="C46" s="2843" t="s">
        <v>3119</v>
      </c>
      <c r="D46" s="417">
        <v>100</v>
      </c>
      <c r="E46" s="2843" t="s">
        <v>3119</v>
      </c>
      <c r="F46" s="418">
        <f>SUMIF(130:130,E46,131:131)-SUMIF(130:130,C46,131:131)+100</f>
        <v>100</v>
      </c>
      <c r="G46" s="2843" t="s">
        <v>3175</v>
      </c>
      <c r="H46" s="417">
        <f>SUMIF(130:130,G46,131:131)-SUMIF(130:130,C46,131:131)+100</f>
        <v>90</v>
      </c>
      <c r="I46" s="2843" t="s">
        <v>3175</v>
      </c>
      <c r="J46" s="417">
        <f>SUMIF(130:130,I46,131:131)-SUMIF(130:130,C46,131:131)+100</f>
        <v>90</v>
      </c>
      <c r="K46" s="597"/>
      <c r="L46" s="1249"/>
      <c r="M46" s="1240"/>
      <c r="N46" s="1240"/>
      <c r="O46" s="1240"/>
      <c r="P46" s="3159"/>
      <c r="Q46" s="2752" t="str">
        <f t="shared" si="11"/>
        <v>展示面宽</v>
      </c>
      <c r="R46" s="753" t="s">
        <v>25</v>
      </c>
      <c r="S46" s="754">
        <f t="shared" si="12"/>
        <v>100</v>
      </c>
      <c r="T46" s="753" t="s">
        <v>25</v>
      </c>
      <c r="U46" s="754">
        <f t="shared" si="13"/>
        <v>90</v>
      </c>
      <c r="V46" s="753" t="s">
        <v>25</v>
      </c>
      <c r="W46" s="754">
        <f t="shared" si="14"/>
        <v>90</v>
      </c>
      <c r="X46" s="2753"/>
      <c r="Y46" s="3161"/>
      <c r="Z46" s="2754" t="str">
        <f t="shared" si="15"/>
        <v>展示面宽</v>
      </c>
      <c r="AA46" s="2750">
        <f t="shared" si="3"/>
        <v>1</v>
      </c>
      <c r="AB46" s="2750">
        <f t="shared" si="4"/>
        <v>1.1111111111111112</v>
      </c>
      <c r="AC46" s="2750">
        <f t="shared" si="5"/>
        <v>1.1111111111111112</v>
      </c>
    </row>
    <row r="47" spans="1:29" ht="15">
      <c r="A47" s="460" t="s">
        <v>2375</v>
      </c>
      <c r="B47" s="461"/>
      <c r="C47" s="1498" t="s">
        <v>1</v>
      </c>
      <c r="D47" s="1499"/>
      <c r="E47" s="1500">
        <v>51900</v>
      </c>
      <c r="F47" s="1501"/>
      <c r="G47" s="1502">
        <v>51400</v>
      </c>
      <c r="H47" s="1503"/>
      <c r="I47" s="1500">
        <v>52000</v>
      </c>
      <c r="J47" s="1503"/>
      <c r="K47" s="762"/>
      <c r="L47" s="1252"/>
      <c r="M47" s="1253"/>
      <c r="N47" s="1240"/>
      <c r="O47" s="1253"/>
      <c r="P47" s="3152" t="str">
        <f>A47</f>
        <v>成交单价（元/平方米）</v>
      </c>
      <c r="Q47" s="3152"/>
      <c r="R47" s="3148">
        <f>E47</f>
        <v>51900</v>
      </c>
      <c r="S47" s="3148"/>
      <c r="T47" s="3148">
        <f>G47</f>
        <v>51400</v>
      </c>
      <c r="U47" s="3148"/>
      <c r="V47" s="3148">
        <f>I47</f>
        <v>52000</v>
      </c>
      <c r="W47" s="3148"/>
      <c r="X47" s="738"/>
      <c r="Y47" s="760"/>
      <c r="Z47" s="738"/>
      <c r="AA47" s="738"/>
      <c r="AB47" s="738"/>
      <c r="AC47" s="738"/>
    </row>
    <row r="48" spans="1:29" ht="15.75" thickBot="1">
      <c r="A48" s="467" t="s">
        <v>2376</v>
      </c>
      <c r="B48" s="468"/>
      <c r="C48" s="1504">
        <f>R49</f>
        <v>51083</v>
      </c>
      <c r="D48" s="1505"/>
      <c r="E48" s="1506">
        <f>R48</f>
        <v>46355</v>
      </c>
      <c r="F48" s="1506"/>
      <c r="G48" s="1504">
        <f>T48</f>
        <v>53694</v>
      </c>
      <c r="H48" s="1505"/>
      <c r="I48" s="1506">
        <f>V48</f>
        <v>53201</v>
      </c>
      <c r="J48" s="1505"/>
      <c r="K48" s="763"/>
      <c r="L48" s="1252"/>
      <c r="M48" s="1253"/>
      <c r="N48" s="1240"/>
      <c r="O48" s="1253"/>
      <c r="P48" s="3152" t="str">
        <f>A48</f>
        <v>比较价值（元/平方米）</v>
      </c>
      <c r="Q48" s="3152"/>
      <c r="R48" s="3148">
        <f>IF(E1="售价",ROUND(PRODUCT(R47,AA7:AA46),0),ROUND(PRODUCT(R47,AA7:AA46),1))</f>
        <v>46355</v>
      </c>
      <c r="S48" s="3148"/>
      <c r="T48" s="3148">
        <f>IF(E1="售价",ROUND(PRODUCT(T47,AB7:AB46),0),ROUND(PRODUCT(T47,AB7:AB46),1))</f>
        <v>53694</v>
      </c>
      <c r="U48" s="3148"/>
      <c r="V48" s="3148">
        <f>IF(E1="售价",ROUND(PRODUCT(V47,AC7:AC46),0),ROUND(PRODUCT(V47,AC7:AC46),1))</f>
        <v>53201</v>
      </c>
      <c r="W48" s="3148"/>
      <c r="X48" s="738"/>
      <c r="Y48" s="738"/>
      <c r="Z48" s="738"/>
      <c r="AA48" s="738"/>
      <c r="AB48" s="738"/>
      <c r="AC48" s="738"/>
    </row>
    <row r="49" spans="1:29" ht="15.75" thickBot="1">
      <c r="A49" s="473" t="s">
        <v>3088</v>
      </c>
      <c r="B49" s="474"/>
      <c r="C49" s="1508">
        <f>R49</f>
        <v>51083</v>
      </c>
      <c r="D49" s="1508"/>
      <c r="E49" s="1508"/>
      <c r="F49" s="1508"/>
      <c r="G49" s="1508"/>
      <c r="H49" s="1508"/>
      <c r="I49" s="1508"/>
      <c r="J49" s="1508"/>
      <c r="K49" s="764"/>
      <c r="L49" s="1252"/>
      <c r="M49" s="1253"/>
      <c r="N49" s="1240"/>
      <c r="O49" s="1253"/>
      <c r="P49" s="3149" t="str">
        <f>A49</f>
        <v>估价对象商业用房的比较价值（楼面单价，元/平方米）</v>
      </c>
      <c r="Q49" s="3150"/>
      <c r="R49" s="3151">
        <f>IF(E1="售价",ROUND(AVERAGE(R48:V48),0),ROUND(AVERAGE(R48:V48),1))</f>
        <v>51083</v>
      </c>
      <c r="S49" s="3151"/>
      <c r="T49" s="3151"/>
      <c r="U49" s="3151"/>
      <c r="V49" s="3151"/>
      <c r="W49" s="315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0.11962032143242363</v>
      </c>
      <c r="F52" s="481" t="str">
        <f>IF(OR(E52&gt;=0.3,E52&lt;=-0.3),"超过30%","")</f>
        <v/>
      </c>
      <c r="G52" s="480">
        <f>IF(G47&lt;G48,G48/G47-1,G47/G48-1)</f>
        <v>4.4630350194552637E-2</v>
      </c>
      <c r="H52" s="481" t="str">
        <f>IF(OR(G52&gt;=0.3,G52&lt;=-0.3),"超过30%","")</f>
        <v/>
      </c>
      <c r="I52" s="480">
        <f>IF(I47&lt;I48,I48/I47-1,I47/I48-1)</f>
        <v>2.3096153846153822E-2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0.15832164815014571</v>
      </c>
      <c r="F53" s="481" t="str">
        <f>IF(OR(E53&gt;=0.2,E53&lt;=-0.2),"超过20%","")</f>
        <v/>
      </c>
      <c r="G53" s="480">
        <f>IF(G48&lt;I48,I48/G48-1,G48/I48-1)</f>
        <v>9.2667431063326866E-3</v>
      </c>
      <c r="H53" s="481" t="str">
        <f>IF(OR(G53&gt;=0.2,G53&lt;=-0.2),"超过20%","")</f>
        <v/>
      </c>
      <c r="I53" s="480">
        <f>IF(I48&lt;E48,E48/I48-1,I48/E48-1)</f>
        <v>0.14768633372883189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9.7276264591439343E-3</v>
      </c>
      <c r="F54" s="481" t="str">
        <f>IF(OR(E54&gt;=0.3,E54&lt;=-0.3),"超过30%","")</f>
        <v/>
      </c>
      <c r="G54" s="480">
        <f>IF(G47&lt;I47,I47/G47-1,G47/I47-1)</f>
        <v>1.1673151750972721E-2</v>
      </c>
      <c r="H54" s="481" t="str">
        <f>IF(OR(G54&gt;=0.3,G54&lt;=-0.3),"超过30%","")</f>
        <v/>
      </c>
      <c r="I54" s="480">
        <f>IF(I47&lt;E47,E47/I47-1,I47/E47-1)</f>
        <v>1.9267822736031004E-3</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7.75" thickTop="1">
      <c r="A88" s="563"/>
      <c r="B88" s="521" t="str">
        <f>B26</f>
        <v>道路级别</v>
      </c>
      <c r="C88" s="2843" t="s">
        <v>3155</v>
      </c>
      <c r="D88" s="2843" t="s">
        <v>3156</v>
      </c>
      <c r="E88" s="2843" t="s">
        <v>3170</v>
      </c>
      <c r="F88" s="2426"/>
      <c r="G88" s="537"/>
      <c r="H88" s="537"/>
      <c r="I88" s="537"/>
      <c r="J88" s="537"/>
      <c r="K88" s="537"/>
      <c r="L88" s="537"/>
      <c r="M88" s="565"/>
      <c r="N88" s="1262"/>
      <c r="O88" s="1262"/>
      <c r="P88" s="2421"/>
      <c r="Q88" s="485"/>
    </row>
    <row r="89" spans="1:17" s="35" customFormat="1" ht="15.75" thickBot="1">
      <c r="A89" s="563"/>
      <c r="B89" s="526"/>
      <c r="C89" s="544">
        <v>100</v>
      </c>
      <c r="D89" s="518">
        <v>95</v>
      </c>
      <c r="E89" s="518">
        <v>95</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3126</v>
      </c>
      <c r="D94" s="537" t="s">
        <v>3127</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t="s">
        <v>3173</v>
      </c>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300(含)-500</v>
      </c>
      <c r="E102" s="562" t="str">
        <f t="shared" si="22"/>
        <v>500(含)-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500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3128</v>
      </c>
      <c r="D112" s="2843" t="s">
        <v>3129</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3158</v>
      </c>
      <c r="D116" s="2843" t="s">
        <v>3159</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3136</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3130</v>
      </c>
      <c r="D126" s="2843" t="s">
        <v>3131</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2843" t="s">
        <v>3174</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election activeCell="Q158" sqref="Q158"/>
    </sheetView>
  </sheetViews>
  <sheetFormatPr defaultRowHeight="13.5"/>
  <sheetData>
    <row r="1" spans="1:1">
      <c r="A1" s="1904" t="s">
        <v>3108</v>
      </c>
    </row>
    <row r="50" spans="1:1">
      <c r="A50" s="1904" t="s">
        <v>3123</v>
      </c>
    </row>
    <row r="100" spans="1:1">
      <c r="A100" s="1904" t="s">
        <v>3124</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146484</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146484</v>
      </c>
      <c r="D10" s="1534">
        <f>IF('数据-取费表'!B10&lt;&gt;"住宅",IF(B1="仅计算典型户型",'数据-取费表'!E5,'数据-取费表'!B5),0)</f>
        <v>732.42</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732.42</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3266593</v>
      </c>
      <c r="D33" s="183"/>
      <c r="E33" s="1528"/>
      <c r="F33" s="191"/>
      <c r="G33" s="184"/>
    </row>
    <row r="34" spans="1:7" s="206" customFormat="1" ht="13.5" customHeight="1">
      <c r="A34" s="176" t="s">
        <v>2037</v>
      </c>
      <c r="B34" s="177" t="s">
        <v>2059</v>
      </c>
      <c r="C34" s="199">
        <f>IF(B1="仅计算典型户型",'数据-取费表'!F18,'数据-取费表'!E18)</f>
        <v>2929680</v>
      </c>
      <c r="D34" s="1529"/>
      <c r="E34" s="199"/>
      <c r="F34" s="1540" t="str">
        <f>IF('数据-取费表'!B25=0,"",'数据-取费表'!E20)</f>
        <v/>
      </c>
      <c r="G34" s="179"/>
    </row>
    <row r="35" spans="1:7" ht="13.5" customHeight="1">
      <c r="A35" s="176" t="s">
        <v>2011</v>
      </c>
      <c r="B35" s="177" t="s">
        <v>2060</v>
      </c>
      <c r="C35" s="199">
        <f>ROUND(C34*F35,0)</f>
        <v>146484</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146484</v>
      </c>
      <c r="D37" s="1529">
        <f>IF(B1="仅计算典型户型",'数据-取费表'!E5,'数据-取费表'!B5)</f>
        <v>732.42</v>
      </c>
      <c r="E37" s="199">
        <f>'数据-取费表'!E23</f>
        <v>200</v>
      </c>
      <c r="F37" s="1541"/>
      <c r="G37" s="208" t="s">
        <v>2065</v>
      </c>
    </row>
    <row r="38" spans="1:7" ht="13.5" customHeight="1">
      <c r="A38" s="176" t="s">
        <v>2066</v>
      </c>
      <c r="B38" s="177" t="s">
        <v>2067</v>
      </c>
      <c r="C38" s="199">
        <f>ROUND(C34*F38,0)</f>
        <v>43945</v>
      </c>
      <c r="D38" s="199"/>
      <c r="E38" s="199"/>
      <c r="F38" s="1541">
        <f>'数据-取费表'!E24</f>
        <v>1.4999999999999999E-2</v>
      </c>
      <c r="G38" s="179" t="s">
        <v>2061</v>
      </c>
    </row>
    <row r="39" spans="1:7" s="175" customFormat="1" ht="13.5" customHeight="1">
      <c r="A39" s="204" t="s">
        <v>2026</v>
      </c>
      <c r="B39" s="173" t="s">
        <v>2029</v>
      </c>
      <c r="C39" s="183">
        <f>ROUND(C33*F20,0)</f>
        <v>65332</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158266</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155163</v>
      </c>
      <c r="D42" s="188"/>
      <c r="E42" s="188"/>
      <c r="F42" s="189"/>
      <c r="G42" s="3251" t="s">
        <v>2071</v>
      </c>
    </row>
    <row r="43" spans="1:7" ht="13.5" customHeight="1">
      <c r="A43" s="176" t="s">
        <v>2011</v>
      </c>
      <c r="B43" s="177" t="s">
        <v>2040</v>
      </c>
      <c r="C43" s="188">
        <f ca="1">ROUND(IF('数据-取费表'!B23&lt;=1,C39*F22*'数据-取费表'!B22/2,C39*(POWER((1+F22),'数据-取费表'!B22/2)-1)),0)</f>
        <v>3103</v>
      </c>
      <c r="D43" s="188"/>
      <c r="E43" s="188"/>
      <c r="F43" s="189"/>
      <c r="G43" s="3252"/>
    </row>
    <row r="44" spans="1:7" ht="13.5" customHeight="1">
      <c r="A44" s="176" t="s">
        <v>2013</v>
      </c>
      <c r="B44" s="177" t="s">
        <v>2042</v>
      </c>
      <c r="C44" s="188">
        <f ca="1">ROUND(IF('数据-取费表'!B23&lt;=1,C40*F22*'数据-取费表'!B22/2,C40*(POWER((1+F22),'数据-取费表'!B22/2)-1)),4)</f>
        <v>1E-3</v>
      </c>
      <c r="D44" s="188"/>
      <c r="E44" s="188"/>
      <c r="F44" s="189"/>
      <c r="G44" s="3253"/>
    </row>
    <row r="45" spans="1:7" s="175" customFormat="1" ht="13.5" customHeight="1">
      <c r="A45" s="204" t="s">
        <v>2035</v>
      </c>
      <c r="B45" s="194" t="s">
        <v>2047</v>
      </c>
      <c r="C45" s="195">
        <f>C46</f>
        <v>666385</v>
      </c>
      <c r="D45" s="185">
        <f>C47</f>
        <v>4.0000000000000001E-3</v>
      </c>
      <c r="E45" s="186" t="s">
        <v>2069</v>
      </c>
      <c r="F45" s="196"/>
      <c r="G45" s="197" t="s">
        <v>2072</v>
      </c>
    </row>
    <row r="46" spans="1:7" s="175" customFormat="1" ht="13.5" customHeight="1">
      <c r="A46" s="176" t="s">
        <v>2037</v>
      </c>
      <c r="B46" s="198" t="s">
        <v>2073</v>
      </c>
      <c r="C46" s="199">
        <f>ROUND((C33+C39)*F27,0)</f>
        <v>666385</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4509684</v>
      </c>
      <c r="D49" s="183"/>
      <c r="E49" s="183"/>
      <c r="F49" s="210"/>
      <c r="G49" s="184" t="s">
        <v>2079</v>
      </c>
    </row>
    <row r="50" spans="1:7" s="206" customFormat="1" ht="24">
      <c r="A50" s="1301" t="s">
        <v>2080</v>
      </c>
      <c r="B50" s="173" t="s">
        <v>2081</v>
      </c>
      <c r="C50" s="183"/>
      <c r="D50" s="183"/>
      <c r="E50" s="183"/>
      <c r="F50" s="210">
        <f>IF('数据-取费表'!B25=0,'数据-取费表'!E20,1)</f>
        <v>0.82499999999999996</v>
      </c>
      <c r="G50" s="197" t="s">
        <v>2082</v>
      </c>
    </row>
    <row r="51" spans="1:7" ht="16.5" customHeight="1">
      <c r="A51" s="1301" t="s">
        <v>2083</v>
      </c>
      <c r="B51" s="173" t="s">
        <v>2084</v>
      </c>
      <c r="C51" s="183">
        <f ca="1">ROUND(C49*F50,0)</f>
        <v>3720489</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732.42</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57"/>
      <c r="B4" s="3258"/>
      <c r="C4" s="3258"/>
      <c r="D4" s="3259"/>
      <c r="E4" s="3259"/>
      <c r="F4" s="3259"/>
      <c r="G4" s="3259"/>
      <c r="H4" s="3259"/>
      <c r="I4" s="3259"/>
      <c r="J4" s="3260"/>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61">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62"/>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54" t="s">
        <v>2623</v>
      </c>
      <c r="X8" s="3255"/>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62"/>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56"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62"/>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56"/>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62"/>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56"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61"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56"/>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63"/>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56"/>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63"/>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64"/>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65">
        <f>IF(E2="办公",2,IF(E2="工业",2,IF(E2="住宅",3,IF(E2="商业",IF(C8="不临58条商业街",2,3)))))</f>
        <v>3</v>
      </c>
      <c r="B16" s="2728" t="s">
        <v>2668</v>
      </c>
      <c r="C16" s="2722">
        <f>ROUND(IF(F17="与级别开发程度一致",0,(G17-E17)/C17),0)</f>
        <v>0</v>
      </c>
      <c r="D16" s="3278" t="s">
        <v>2672</v>
      </c>
      <c r="E16" s="3279"/>
      <c r="F16" s="3278" t="s">
        <v>2669</v>
      </c>
      <c r="G16" s="3279"/>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66"/>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44202</v>
      </c>
      <c r="H19" s="2571" t="s">
        <v>2816</v>
      </c>
      <c r="I19" s="951" t="str">
        <f>IF(H19="季度增幅（自定义）",SUMIF(N21:N24,E2,O21:O24),"")</f>
        <v/>
      </c>
      <c r="J19" s="2567"/>
      <c r="K19" s="2568"/>
      <c r="L19" s="2572" t="s">
        <v>2680</v>
      </c>
      <c r="M19" s="1822">
        <f>ROUND(SUMIF(地价!B2:F2,E2,地价!B29:F29),0)</f>
        <v>258</v>
      </c>
      <c r="N19" s="1462" t="s">
        <v>2681</v>
      </c>
      <c r="O19" s="952">
        <f>ROUNDDOWN(DATEDIF(E19,G19,"M")/3,0)</f>
        <v>28</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0.87780000000000002</v>
      </c>
      <c r="D20" s="2578" t="s">
        <v>2684</v>
      </c>
      <c r="E20" s="1852">
        <f ca="1">存贷款利率!D4/100</f>
        <v>4.3499999999999997E-2</v>
      </c>
      <c r="F20" s="2578" t="s">
        <v>2673</v>
      </c>
      <c r="G20" s="959">
        <f ca="1">SUMIF(M26:P26,E2,M28:P28)</f>
        <v>5.3999999999999999E-2</v>
      </c>
      <c r="H20" s="2578" t="s">
        <v>2685</v>
      </c>
      <c r="I20" s="960">
        <f>'数据-取费表'!B13</f>
        <v>28</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732.42</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75"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76"/>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76"/>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77"/>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估价对象位于CBD商圈，周边商业氛围成熟，人流量大，商业繁华度好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估价对象周边公共交通包括：54路、58路、382路等公交线路，1公里以内有地铁1号线和14号线换乘站大望路地铁站。综合评价交通便捷度好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城市主干道—建国路</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区域自然环境：庆丰公园、惠水湾森林公园；人文环境：首都经济贸易大学（红庙校区）、中央电视台；综合评价环境状况好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估价对象周边公共交通包括：54路、58路、382路等公交线路，1公里以内有地铁1号线和14号线换乘站大望路地铁站。综合评价交通便捷度好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城市主干道—建国路</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区域自然环境：庆丰公园、惠水湾森林公园；人文环境：首都经济贸易大学（红庙校区）、中央电视台；综合评价环境状况好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估价对象周边公共交通包括：54路、58路、382路等公交线路，1公里以内有地铁1号线和14号线换乘站大望路地铁站。综合评价交通便捷度好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城市主干道—建国路</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区域自然环境：庆丰公园、惠水湾森林公园；人文环境：首都经济贸易大学（红庙校区）、中央电视台；综合评价环境状况好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67" t="s">
        <v>2766</v>
      </c>
      <c r="B90" s="3267"/>
      <c r="C90" s="3267"/>
      <c r="D90" s="3267"/>
      <c r="E90" s="3267"/>
      <c r="F90" s="3267"/>
      <c r="G90" s="3267"/>
      <c r="H90" s="3267"/>
      <c r="I90" s="3267"/>
      <c r="J90" s="3267"/>
      <c r="K90" s="2672"/>
      <c r="L90" s="2672"/>
      <c r="M90" s="2672"/>
      <c r="N90" s="2672"/>
    </row>
    <row r="91" spans="1:37">
      <c r="A91" s="3269" t="s">
        <v>2767</v>
      </c>
      <c r="B91" s="3269" t="s">
        <v>2768</v>
      </c>
      <c r="C91" s="2620" t="s">
        <v>2769</v>
      </c>
      <c r="D91" s="2621"/>
      <c r="E91" s="2621"/>
      <c r="F91" s="2621"/>
      <c r="G91" s="2621"/>
      <c r="H91" s="2621"/>
      <c r="I91" s="2621"/>
      <c r="J91" s="2673"/>
      <c r="K91" s="2674"/>
      <c r="L91" s="2674"/>
      <c r="M91" s="2674"/>
      <c r="N91" s="2674"/>
    </row>
    <row r="92" spans="1:37">
      <c r="A92" s="3269"/>
      <c r="B92" s="3269"/>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70"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71"/>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71"/>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71"/>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71"/>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71"/>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71"/>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72"/>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70"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71"/>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71"/>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71"/>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71"/>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71"/>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71"/>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71"/>
      <c r="B108" s="3273"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72"/>
      <c r="B109" s="3274"/>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68" t="s">
        <v>2774</v>
      </c>
      <c r="B110" s="3268"/>
      <c r="C110" s="3268"/>
      <c r="D110" s="3268"/>
      <c r="E110" s="3268"/>
      <c r="F110" s="3268"/>
      <c r="G110" s="3268"/>
      <c r="H110" s="3268"/>
      <c r="I110" s="3268"/>
      <c r="J110" s="3268"/>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80" t="s">
        <v>783</v>
      </c>
      <c r="B1" s="3280"/>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估价对象位于CBD商圈，周边商业氛围成熟，人流量大，商业繁华度好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估价对象周边公共交通包括：54路、58路、382路等公交线路，1公里以内有地铁1号线和14号线换乘站大望路地铁站。综合评价交通便捷度好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城市主干道—建国路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区域自然环境：庆丰公园、惠水湾森林公园；人文环境：首都经济贸易大学（红庙校区）、中央电视台；综合评价环境状况好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估价对象周边公共交通包括：54路、58路、382路等公交线路，1公里以内有地铁1号线和14号线换乘站大望路地铁站。综合评价交通便捷度好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区域自然环境：庆丰公园、惠水湾森林公园；人文环境：首都经济贸易大学（红庙校区）、中央电视台；综合评价环境状况好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估价对象周边公共交通包括：54路、58路、382路等公交线路，1公里以内有地铁1号线和14号线换乘站大望路地铁站。综合评价交通便捷度好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区域自然环境：庆丰公园、惠水湾森林公园；人文环境：首都经济贸易大学（红庙校区）、中央电视台；综合评价环境状况好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80" t="s">
        <v>105</v>
      </c>
      <c r="B1" s="3280"/>
      <c r="C1" s="3280"/>
      <c r="D1" s="3280"/>
      <c r="E1" s="3280"/>
      <c r="F1" s="328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81" t="s">
        <v>118</v>
      </c>
      <c r="B2" s="3281"/>
      <c r="C2" s="3281"/>
      <c r="D2" s="3281"/>
      <c r="E2" s="3281"/>
      <c r="F2" s="328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8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8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84" t="s">
        <v>132</v>
      </c>
      <c r="B18" s="907" t="s">
        <v>517</v>
      </c>
      <c r="C18" s="908" t="s">
        <v>518</v>
      </c>
      <c r="D18" s="909"/>
      <c r="E18" s="907">
        <v>1</v>
      </c>
      <c r="F18" s="910" t="s">
        <v>519</v>
      </c>
      <c r="G18" s="911"/>
      <c r="H18" s="903"/>
      <c r="I18" s="903"/>
    </row>
    <row r="19" spans="1:9" s="912" customFormat="1" ht="19.5" customHeight="1">
      <c r="A19" s="3284"/>
      <c r="B19" s="3284" t="s">
        <v>520</v>
      </c>
      <c r="C19" s="908" t="s">
        <v>521</v>
      </c>
      <c r="D19" s="909"/>
      <c r="E19" s="907">
        <v>0.9</v>
      </c>
      <c r="F19" s="910" t="s">
        <v>522</v>
      </c>
      <c r="G19" s="911"/>
      <c r="H19" s="903"/>
      <c r="I19" s="903"/>
    </row>
    <row r="20" spans="1:9" s="912" customFormat="1" ht="19.5" customHeight="1">
      <c r="A20" s="3284"/>
      <c r="B20" s="3284"/>
      <c r="C20" s="908" t="s">
        <v>523</v>
      </c>
      <c r="D20" s="909"/>
      <c r="E20" s="907">
        <v>1.1000000000000001</v>
      </c>
      <c r="F20" s="910" t="s">
        <v>524</v>
      </c>
      <c r="G20" s="911"/>
      <c r="H20" s="903"/>
      <c r="I20" s="903"/>
    </row>
    <row r="21" spans="1:9" s="912" customFormat="1" ht="19.5" customHeight="1">
      <c r="A21" s="3284"/>
      <c r="B21" s="3284"/>
      <c r="C21" s="908" t="s">
        <v>525</v>
      </c>
      <c r="D21" s="909"/>
      <c r="E21" s="907">
        <v>0.8</v>
      </c>
      <c r="F21" s="910" t="s">
        <v>526</v>
      </c>
      <c r="G21" s="911"/>
      <c r="H21" s="903"/>
      <c r="I21" s="903"/>
    </row>
    <row r="22" spans="1:9" s="912" customFormat="1" ht="19.5" customHeight="1">
      <c r="A22" s="3284"/>
      <c r="B22" s="3284"/>
      <c r="C22" s="908" t="s">
        <v>527</v>
      </c>
      <c r="D22" s="909"/>
      <c r="E22" s="907">
        <v>0.5</v>
      </c>
      <c r="F22" s="910"/>
      <c r="G22" s="911"/>
      <c r="H22" s="903"/>
      <c r="I22" s="903"/>
    </row>
    <row r="23" spans="1:9" s="912" customFormat="1" ht="19.5" customHeight="1">
      <c r="A23" s="3284" t="s">
        <v>133</v>
      </c>
      <c r="B23" s="907" t="s">
        <v>517</v>
      </c>
      <c r="C23" s="908" t="s">
        <v>528</v>
      </c>
      <c r="D23" s="909"/>
      <c r="E23" s="907">
        <v>1</v>
      </c>
      <c r="F23" s="910" t="s">
        <v>529</v>
      </c>
      <c r="G23" s="911"/>
      <c r="H23" s="903"/>
      <c r="I23" s="903"/>
    </row>
    <row r="24" spans="1:9" s="912" customFormat="1" ht="19.5" customHeight="1">
      <c r="A24" s="3284"/>
      <c r="B24" s="3284" t="s">
        <v>520</v>
      </c>
      <c r="C24" s="908" t="s">
        <v>530</v>
      </c>
      <c r="D24" s="909"/>
      <c r="E24" s="907">
        <v>0.5</v>
      </c>
      <c r="F24" s="910"/>
      <c r="G24" s="911"/>
      <c r="H24" s="903"/>
      <c r="I24" s="903"/>
    </row>
    <row r="25" spans="1:9" s="912" customFormat="1" ht="19.5" customHeight="1">
      <c r="A25" s="3284"/>
      <c r="B25" s="3284"/>
      <c r="C25" s="908" t="s">
        <v>531</v>
      </c>
      <c r="D25" s="909"/>
      <c r="E25" s="907">
        <v>1.1000000000000001</v>
      </c>
      <c r="F25" s="910"/>
      <c r="G25" s="911"/>
      <c r="H25" s="903"/>
      <c r="I25" s="903"/>
    </row>
    <row r="26" spans="1:9" s="912" customFormat="1" ht="19.5" customHeight="1">
      <c r="A26" s="3284"/>
      <c r="B26" s="3284"/>
      <c r="C26" s="908" t="s">
        <v>532</v>
      </c>
      <c r="D26" s="909"/>
      <c r="E26" s="907">
        <v>1.1000000000000001</v>
      </c>
      <c r="F26" s="910"/>
      <c r="G26" s="911"/>
      <c r="H26" s="903"/>
      <c r="I26" s="903"/>
    </row>
    <row r="27" spans="1:9" s="912" customFormat="1" ht="19.5" customHeight="1">
      <c r="A27" s="3284"/>
      <c r="B27" s="3284"/>
      <c r="C27" s="908" t="s">
        <v>533</v>
      </c>
      <c r="D27" s="909"/>
      <c r="E27" s="907">
        <v>0.9</v>
      </c>
      <c r="F27" s="910" t="s">
        <v>534</v>
      </c>
      <c r="G27" s="911"/>
      <c r="H27" s="903"/>
      <c r="I27" s="903"/>
    </row>
    <row r="28" spans="1:9" s="912" customFormat="1" ht="19.5" customHeight="1">
      <c r="A28" s="3284"/>
      <c r="B28" s="3284"/>
      <c r="C28" s="908" t="s">
        <v>535</v>
      </c>
      <c r="D28" s="909"/>
      <c r="E28" s="907">
        <v>0.9</v>
      </c>
      <c r="F28" s="910" t="s">
        <v>536</v>
      </c>
      <c r="G28" s="911"/>
      <c r="H28" s="903"/>
      <c r="I28" s="903"/>
    </row>
    <row r="29" spans="1:9" s="912" customFormat="1" ht="19.5" customHeight="1">
      <c r="A29" s="3284"/>
      <c r="B29" s="3284"/>
      <c r="C29" s="908" t="s">
        <v>537</v>
      </c>
      <c r="D29" s="909"/>
      <c r="E29" s="907">
        <v>0.9</v>
      </c>
      <c r="F29" s="910" t="s">
        <v>538</v>
      </c>
      <c r="G29" s="911"/>
      <c r="H29" s="903"/>
      <c r="I29" s="903"/>
    </row>
    <row r="30" spans="1:9" s="912" customFormat="1" ht="19.5" customHeight="1">
      <c r="A30" s="3284"/>
      <c r="B30" s="3284"/>
      <c r="C30" s="908" t="s">
        <v>539</v>
      </c>
      <c r="D30" s="909"/>
      <c r="E30" s="907">
        <v>0.9</v>
      </c>
      <c r="F30" s="910" t="s">
        <v>540</v>
      </c>
      <c r="G30" s="911"/>
      <c r="H30" s="903"/>
      <c r="I30" s="903"/>
    </row>
    <row r="31" spans="1:9" s="912" customFormat="1" ht="19.5" customHeight="1">
      <c r="A31" s="3284"/>
      <c r="B31" s="3284"/>
      <c r="C31" s="908" t="s">
        <v>541</v>
      </c>
      <c r="D31" s="909"/>
      <c r="E31" s="907">
        <v>0.8</v>
      </c>
      <c r="F31" s="910" t="s">
        <v>542</v>
      </c>
      <c r="G31" s="911"/>
      <c r="H31" s="903"/>
      <c r="I31" s="903"/>
    </row>
    <row r="32" spans="1:9" s="912" customFormat="1" ht="19.5" customHeight="1">
      <c r="A32" s="3284"/>
      <c r="B32" s="3284"/>
      <c r="C32" s="908" t="s">
        <v>543</v>
      </c>
      <c r="D32" s="909"/>
      <c r="E32" s="907">
        <v>0.8</v>
      </c>
      <c r="F32" s="910" t="s">
        <v>544</v>
      </c>
      <c r="G32" s="911"/>
      <c r="H32" s="903"/>
      <c r="I32" s="903"/>
    </row>
    <row r="33" spans="1:9" s="912" customFormat="1" ht="19.5" customHeight="1">
      <c r="A33" s="3284" t="s">
        <v>134</v>
      </c>
      <c r="B33" s="907" t="s">
        <v>517</v>
      </c>
      <c r="C33" s="908" t="s">
        <v>545</v>
      </c>
      <c r="D33" s="909"/>
      <c r="E33" s="907">
        <v>1</v>
      </c>
      <c r="F33" s="910" t="s">
        <v>546</v>
      </c>
      <c r="G33" s="911"/>
      <c r="H33" s="903"/>
      <c r="I33" s="903"/>
    </row>
    <row r="34" spans="1:9" s="912" customFormat="1" ht="19.5" customHeight="1">
      <c r="A34" s="3284"/>
      <c r="B34" s="907" t="s">
        <v>520</v>
      </c>
      <c r="C34" s="908" t="s">
        <v>547</v>
      </c>
      <c r="D34" s="909"/>
      <c r="E34" s="907">
        <v>1.5</v>
      </c>
      <c r="F34" s="910" t="s">
        <v>548</v>
      </c>
      <c r="G34" s="911"/>
      <c r="H34" s="903"/>
      <c r="I34" s="903"/>
    </row>
    <row r="35" spans="1:9" s="912" customFormat="1" ht="19.5" customHeight="1">
      <c r="A35" s="3284" t="s">
        <v>135</v>
      </c>
      <c r="B35" s="907" t="s">
        <v>517</v>
      </c>
      <c r="C35" s="908" t="s">
        <v>549</v>
      </c>
      <c r="D35" s="909"/>
      <c r="E35" s="907">
        <v>1</v>
      </c>
      <c r="F35" s="910" t="s">
        <v>550</v>
      </c>
      <c r="G35" s="911"/>
      <c r="H35" s="903"/>
      <c r="I35" s="903"/>
    </row>
    <row r="36" spans="1:9" s="912" customFormat="1" ht="19.5" customHeight="1">
      <c r="A36" s="3284"/>
      <c r="B36" s="3284" t="s">
        <v>520</v>
      </c>
      <c r="C36" s="908" t="s">
        <v>551</v>
      </c>
      <c r="D36" s="909"/>
      <c r="E36" s="907">
        <v>1</v>
      </c>
      <c r="F36" s="910" t="s">
        <v>552</v>
      </c>
      <c r="G36" s="911"/>
      <c r="H36" s="903"/>
      <c r="I36" s="903"/>
    </row>
    <row r="37" spans="1:9" s="912" customFormat="1" ht="19.5" customHeight="1">
      <c r="A37" s="3284"/>
      <c r="B37" s="3284"/>
      <c r="C37" s="908" t="s">
        <v>553</v>
      </c>
      <c r="D37" s="909"/>
      <c r="E37" s="907">
        <v>1.5</v>
      </c>
      <c r="F37" s="910" t="s">
        <v>554</v>
      </c>
      <c r="G37" s="911"/>
      <c r="H37" s="903"/>
      <c r="I37" s="903"/>
    </row>
    <row r="38" spans="1:9" s="912" customFormat="1" ht="19.5" customHeight="1">
      <c r="A38" s="3284"/>
      <c r="B38" s="3284"/>
      <c r="C38" s="908" t="s">
        <v>555</v>
      </c>
      <c r="D38" s="909"/>
      <c r="E38" s="907">
        <v>1</v>
      </c>
      <c r="F38" s="910" t="s">
        <v>556</v>
      </c>
      <c r="G38" s="911"/>
      <c r="H38" s="903"/>
      <c r="I38" s="903"/>
    </row>
    <row r="39" spans="1:9" s="912" customFormat="1" ht="19.5" customHeight="1">
      <c r="A39" s="3284"/>
      <c r="B39" s="328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84" t="s">
        <v>571</v>
      </c>
      <c r="C61" s="821" t="s">
        <v>572</v>
      </c>
      <c r="D61" s="821" t="s">
        <v>573</v>
      </c>
      <c r="E61" s="920">
        <v>0.5</v>
      </c>
      <c r="F61" s="907">
        <v>80</v>
      </c>
    </row>
    <row r="62" spans="1:8" s="903" customFormat="1" ht="24">
      <c r="A62" s="907">
        <v>2</v>
      </c>
      <c r="B62" s="3284"/>
      <c r="C62" s="821" t="s">
        <v>574</v>
      </c>
      <c r="D62" s="821" t="s">
        <v>575</v>
      </c>
      <c r="E62" s="920">
        <v>0.5</v>
      </c>
      <c r="F62" s="907">
        <v>80</v>
      </c>
    </row>
    <row r="63" spans="1:8" s="903" customFormat="1" ht="36">
      <c r="A63" s="907">
        <v>3</v>
      </c>
      <c r="B63" s="3284"/>
      <c r="C63" s="821" t="s">
        <v>576</v>
      </c>
      <c r="D63" s="821" t="s">
        <v>577</v>
      </c>
      <c r="E63" s="920">
        <v>0.5</v>
      </c>
      <c r="F63" s="907">
        <v>80</v>
      </c>
    </row>
    <row r="64" spans="1:8" s="903" customFormat="1" ht="36">
      <c r="A64" s="907">
        <v>4</v>
      </c>
      <c r="B64" s="3284"/>
      <c r="C64" s="821" t="s">
        <v>578</v>
      </c>
      <c r="D64" s="821" t="s">
        <v>579</v>
      </c>
      <c r="E64" s="920">
        <v>0.4</v>
      </c>
      <c r="F64" s="907">
        <v>60</v>
      </c>
    </row>
    <row r="65" spans="1:6" s="903" customFormat="1" ht="36">
      <c r="A65" s="907">
        <v>5</v>
      </c>
      <c r="B65" s="3284"/>
      <c r="C65" s="821" t="s">
        <v>580</v>
      </c>
      <c r="D65" s="821" t="s">
        <v>581</v>
      </c>
      <c r="E65" s="920">
        <v>0.2</v>
      </c>
      <c r="F65" s="907">
        <v>30</v>
      </c>
    </row>
    <row r="66" spans="1:6" s="903" customFormat="1" ht="36">
      <c r="A66" s="907">
        <v>6</v>
      </c>
      <c r="B66" s="3284"/>
      <c r="C66" s="821" t="s">
        <v>582</v>
      </c>
      <c r="D66" s="821" t="s">
        <v>583</v>
      </c>
      <c r="E66" s="920">
        <v>0.3</v>
      </c>
      <c r="F66" s="907">
        <v>50</v>
      </c>
    </row>
    <row r="67" spans="1:6" s="903" customFormat="1" ht="36">
      <c r="A67" s="907">
        <v>7</v>
      </c>
      <c r="B67" s="3284"/>
      <c r="C67" s="821" t="s">
        <v>584</v>
      </c>
      <c r="D67" s="821" t="s">
        <v>585</v>
      </c>
      <c r="E67" s="920">
        <v>0.2</v>
      </c>
      <c r="F67" s="907">
        <v>30</v>
      </c>
    </row>
    <row r="68" spans="1:6" s="903" customFormat="1" ht="36">
      <c r="A68" s="907">
        <v>8</v>
      </c>
      <c r="B68" s="3284"/>
      <c r="C68" s="821" t="s">
        <v>586</v>
      </c>
      <c r="D68" s="821" t="s">
        <v>587</v>
      </c>
      <c r="E68" s="920">
        <v>0.2</v>
      </c>
      <c r="F68" s="907">
        <v>30</v>
      </c>
    </row>
    <row r="69" spans="1:6" s="903" customFormat="1" ht="36">
      <c r="A69" s="907">
        <v>9</v>
      </c>
      <c r="B69" s="3284"/>
      <c r="C69" s="821" t="s">
        <v>588</v>
      </c>
      <c r="D69" s="821" t="s">
        <v>589</v>
      </c>
      <c r="E69" s="920">
        <v>0.2</v>
      </c>
      <c r="F69" s="907">
        <v>30</v>
      </c>
    </row>
    <row r="70" spans="1:6" s="903" customFormat="1" ht="48">
      <c r="A70" s="907">
        <v>10</v>
      </c>
      <c r="B70" s="3284"/>
      <c r="C70" s="821" t="s">
        <v>590</v>
      </c>
      <c r="D70" s="821" t="s">
        <v>591</v>
      </c>
      <c r="E70" s="920">
        <v>0.2</v>
      </c>
      <c r="F70" s="907">
        <v>30</v>
      </c>
    </row>
    <row r="71" spans="1:6" s="903" customFormat="1" ht="48">
      <c r="A71" s="907">
        <v>11</v>
      </c>
      <c r="B71" s="3284"/>
      <c r="C71" s="821" t="s">
        <v>592</v>
      </c>
      <c r="D71" s="821" t="s">
        <v>593</v>
      </c>
      <c r="E71" s="920">
        <v>0.2</v>
      </c>
      <c r="F71" s="907">
        <v>30</v>
      </c>
    </row>
    <row r="72" spans="1:6" s="903" customFormat="1" ht="36">
      <c r="A72" s="907">
        <v>12</v>
      </c>
      <c r="B72" s="3284"/>
      <c r="C72" s="821" t="s">
        <v>594</v>
      </c>
      <c r="D72" s="821" t="s">
        <v>595</v>
      </c>
      <c r="E72" s="920">
        <v>0.5</v>
      </c>
      <c r="F72" s="907">
        <v>80</v>
      </c>
    </row>
    <row r="73" spans="1:6" s="903" customFormat="1" ht="24">
      <c r="A73" s="907">
        <v>13</v>
      </c>
      <c r="B73" s="3284"/>
      <c r="C73" s="821" t="s">
        <v>596</v>
      </c>
      <c r="D73" s="821" t="s">
        <v>597</v>
      </c>
      <c r="E73" s="920">
        <v>0.4</v>
      </c>
      <c r="F73" s="907">
        <v>60</v>
      </c>
    </row>
    <row r="74" spans="1:6" s="903" customFormat="1" ht="24">
      <c r="A74" s="907">
        <v>14</v>
      </c>
      <c r="B74" s="3284"/>
      <c r="C74" s="821" t="s">
        <v>598</v>
      </c>
      <c r="D74" s="821" t="s">
        <v>599</v>
      </c>
      <c r="E74" s="920">
        <v>0.2</v>
      </c>
      <c r="F74" s="907">
        <v>30</v>
      </c>
    </row>
    <row r="75" spans="1:6" s="903" customFormat="1" ht="24">
      <c r="A75" s="907">
        <v>15</v>
      </c>
      <c r="B75" s="3284"/>
      <c r="C75" s="821" t="s">
        <v>600</v>
      </c>
      <c r="D75" s="821" t="s">
        <v>601</v>
      </c>
      <c r="E75" s="920">
        <v>0.2</v>
      </c>
      <c r="F75" s="907">
        <v>30</v>
      </c>
    </row>
    <row r="76" spans="1:6" s="903" customFormat="1" ht="24">
      <c r="A76" s="907">
        <v>16</v>
      </c>
      <c r="B76" s="3284" t="s">
        <v>602</v>
      </c>
      <c r="C76" s="821" t="s">
        <v>603</v>
      </c>
      <c r="D76" s="821" t="s">
        <v>604</v>
      </c>
      <c r="E76" s="920">
        <v>0.5</v>
      </c>
      <c r="F76" s="907">
        <v>80</v>
      </c>
    </row>
    <row r="77" spans="1:6" s="903" customFormat="1" ht="24">
      <c r="A77" s="907">
        <v>17</v>
      </c>
      <c r="B77" s="3284"/>
      <c r="C77" s="821" t="s">
        <v>605</v>
      </c>
      <c r="D77" s="821" t="s">
        <v>606</v>
      </c>
      <c r="E77" s="920">
        <v>0.5</v>
      </c>
      <c r="F77" s="907">
        <v>80</v>
      </c>
    </row>
    <row r="78" spans="1:6" s="903" customFormat="1" ht="24">
      <c r="A78" s="907">
        <v>18</v>
      </c>
      <c r="B78" s="3284"/>
      <c r="C78" s="821" t="s">
        <v>607</v>
      </c>
      <c r="D78" s="821" t="s">
        <v>608</v>
      </c>
      <c r="E78" s="920">
        <v>0.2</v>
      </c>
      <c r="F78" s="907">
        <v>30</v>
      </c>
    </row>
    <row r="79" spans="1:6" s="903" customFormat="1" ht="24">
      <c r="A79" s="907">
        <v>19</v>
      </c>
      <c r="B79" s="3284"/>
      <c r="C79" s="821" t="s">
        <v>609</v>
      </c>
      <c r="D79" s="821" t="s">
        <v>610</v>
      </c>
      <c r="E79" s="920">
        <v>0.5</v>
      </c>
      <c r="F79" s="907">
        <v>80</v>
      </c>
    </row>
    <row r="80" spans="1:6" s="903" customFormat="1" ht="36">
      <c r="A80" s="907">
        <v>20</v>
      </c>
      <c r="B80" s="3284"/>
      <c r="C80" s="821" t="s">
        <v>611</v>
      </c>
      <c r="D80" s="821" t="s">
        <v>612</v>
      </c>
      <c r="E80" s="920">
        <v>0.2</v>
      </c>
      <c r="F80" s="907">
        <v>30</v>
      </c>
    </row>
    <row r="81" spans="1:6" s="903" customFormat="1" ht="36">
      <c r="A81" s="907">
        <v>21</v>
      </c>
      <c r="B81" s="3284"/>
      <c r="C81" s="821" t="s">
        <v>613</v>
      </c>
      <c r="D81" s="821" t="s">
        <v>614</v>
      </c>
      <c r="E81" s="920">
        <v>0.2</v>
      </c>
      <c r="F81" s="907">
        <v>30</v>
      </c>
    </row>
    <row r="82" spans="1:6" s="903" customFormat="1" ht="48">
      <c r="A82" s="907">
        <v>22</v>
      </c>
      <c r="B82" s="3284"/>
      <c r="C82" s="821" t="s">
        <v>615</v>
      </c>
      <c r="D82" s="821" t="s">
        <v>616</v>
      </c>
      <c r="E82" s="920">
        <v>0.2</v>
      </c>
      <c r="F82" s="907">
        <v>30</v>
      </c>
    </row>
    <row r="83" spans="1:6" s="903" customFormat="1" ht="48">
      <c r="A83" s="907">
        <v>23</v>
      </c>
      <c r="B83" s="3284"/>
      <c r="C83" s="821" t="s">
        <v>617</v>
      </c>
      <c r="D83" s="821" t="s">
        <v>618</v>
      </c>
      <c r="E83" s="920">
        <v>0.2</v>
      </c>
      <c r="F83" s="907">
        <v>30</v>
      </c>
    </row>
    <row r="84" spans="1:6" s="903" customFormat="1" ht="36">
      <c r="A84" s="907">
        <v>24</v>
      </c>
      <c r="B84" s="3284"/>
      <c r="C84" s="821" t="s">
        <v>619</v>
      </c>
      <c r="D84" s="821" t="s">
        <v>620</v>
      </c>
      <c r="E84" s="920">
        <v>0.2</v>
      </c>
      <c r="F84" s="907">
        <v>30</v>
      </c>
    </row>
    <row r="85" spans="1:6" s="903" customFormat="1" ht="36">
      <c r="A85" s="907">
        <v>25</v>
      </c>
      <c r="B85" s="3284"/>
      <c r="C85" s="821" t="s">
        <v>621</v>
      </c>
      <c r="D85" s="821" t="s">
        <v>622</v>
      </c>
      <c r="E85" s="920">
        <v>0.5</v>
      </c>
      <c r="F85" s="907">
        <v>80</v>
      </c>
    </row>
    <row r="86" spans="1:6" s="903" customFormat="1" ht="36">
      <c r="A86" s="907">
        <v>26</v>
      </c>
      <c r="B86" s="3284"/>
      <c r="C86" s="821" t="s">
        <v>623</v>
      </c>
      <c r="D86" s="821" t="s">
        <v>624</v>
      </c>
      <c r="E86" s="920">
        <v>0.2</v>
      </c>
      <c r="F86" s="907">
        <v>30</v>
      </c>
    </row>
    <row r="87" spans="1:6" s="903" customFormat="1" ht="36">
      <c r="A87" s="907">
        <v>27</v>
      </c>
      <c r="B87" s="3284"/>
      <c r="C87" s="821" t="s">
        <v>625</v>
      </c>
      <c r="D87" s="821" t="s">
        <v>626</v>
      </c>
      <c r="E87" s="920">
        <v>0.2</v>
      </c>
      <c r="F87" s="907">
        <v>30</v>
      </c>
    </row>
    <row r="88" spans="1:6" s="903" customFormat="1" ht="36">
      <c r="A88" s="907">
        <v>28</v>
      </c>
      <c r="B88" s="3284"/>
      <c r="C88" s="821" t="s">
        <v>627</v>
      </c>
      <c r="D88" s="821" t="s">
        <v>628</v>
      </c>
      <c r="E88" s="920">
        <v>0.2</v>
      </c>
      <c r="F88" s="907">
        <v>30</v>
      </c>
    </row>
    <row r="89" spans="1:6" s="903" customFormat="1" ht="24">
      <c r="A89" s="907">
        <v>29</v>
      </c>
      <c r="B89" s="3284"/>
      <c r="C89" s="821" t="s">
        <v>629</v>
      </c>
      <c r="D89" s="821" t="s">
        <v>630</v>
      </c>
      <c r="E89" s="920">
        <v>0.2</v>
      </c>
      <c r="F89" s="907">
        <v>30</v>
      </c>
    </row>
    <row r="90" spans="1:6" s="903" customFormat="1" ht="24">
      <c r="A90" s="907">
        <v>30</v>
      </c>
      <c r="B90" s="3284"/>
      <c r="C90" s="821" t="s">
        <v>631</v>
      </c>
      <c r="D90" s="821" t="s">
        <v>632</v>
      </c>
      <c r="E90" s="920">
        <v>0.2</v>
      </c>
      <c r="F90" s="907">
        <v>30</v>
      </c>
    </row>
    <row r="91" spans="1:6" s="903" customFormat="1" ht="36">
      <c r="A91" s="907">
        <v>31</v>
      </c>
      <c r="B91" s="3284"/>
      <c r="C91" s="821" t="s">
        <v>633</v>
      </c>
      <c r="D91" s="821" t="s">
        <v>634</v>
      </c>
      <c r="E91" s="920">
        <v>0.2</v>
      </c>
      <c r="F91" s="907">
        <v>30</v>
      </c>
    </row>
    <row r="92" spans="1:6" s="903" customFormat="1" ht="24">
      <c r="A92" s="907">
        <v>32</v>
      </c>
      <c r="B92" s="3284" t="s">
        <v>635</v>
      </c>
      <c r="C92" s="907" t="s">
        <v>636</v>
      </c>
      <c r="D92" s="821" t="s">
        <v>637</v>
      </c>
      <c r="E92" s="920">
        <v>0.2</v>
      </c>
      <c r="F92" s="907">
        <v>30</v>
      </c>
    </row>
    <row r="93" spans="1:6" s="903" customFormat="1" ht="36">
      <c r="A93" s="907">
        <v>33</v>
      </c>
      <c r="B93" s="3284"/>
      <c r="C93" s="907" t="s">
        <v>638</v>
      </c>
      <c r="D93" s="821" t="s">
        <v>639</v>
      </c>
      <c r="E93" s="920">
        <v>0.2</v>
      </c>
      <c r="F93" s="907">
        <v>30</v>
      </c>
    </row>
    <row r="94" spans="1:6" s="903" customFormat="1" ht="48">
      <c r="A94" s="907">
        <v>34</v>
      </c>
      <c r="B94" s="3284"/>
      <c r="C94" s="907" t="s">
        <v>640</v>
      </c>
      <c r="D94" s="821" t="s">
        <v>641</v>
      </c>
      <c r="E94" s="920">
        <v>0.2</v>
      </c>
      <c r="F94" s="907">
        <v>30</v>
      </c>
    </row>
    <row r="95" spans="1:6" s="903" customFormat="1" ht="36">
      <c r="A95" s="907">
        <v>35</v>
      </c>
      <c r="B95" s="3284"/>
      <c r="C95" s="907" t="s">
        <v>642</v>
      </c>
      <c r="D95" s="821" t="s">
        <v>643</v>
      </c>
      <c r="E95" s="920">
        <v>0.2</v>
      </c>
      <c r="F95" s="907">
        <v>30</v>
      </c>
    </row>
    <row r="96" spans="1:6" s="903" customFormat="1" ht="48">
      <c r="A96" s="907">
        <v>36</v>
      </c>
      <c r="B96" s="3284"/>
      <c r="C96" s="821" t="s">
        <v>644</v>
      </c>
      <c r="D96" s="821" t="s">
        <v>645</v>
      </c>
      <c r="E96" s="920">
        <v>0.2</v>
      </c>
      <c r="F96" s="907">
        <v>30</v>
      </c>
    </row>
    <row r="97" spans="1:6" s="903" customFormat="1" ht="36">
      <c r="A97" s="907">
        <v>37</v>
      </c>
      <c r="B97" s="3284"/>
      <c r="C97" s="907" t="s">
        <v>646</v>
      </c>
      <c r="D97" s="821" t="s">
        <v>647</v>
      </c>
      <c r="E97" s="920">
        <v>0.2</v>
      </c>
      <c r="F97" s="907">
        <v>30</v>
      </c>
    </row>
    <row r="98" spans="1:6" s="903" customFormat="1" ht="36">
      <c r="A98" s="907">
        <v>38</v>
      </c>
      <c r="B98" s="3284"/>
      <c r="C98" s="907" t="s">
        <v>648</v>
      </c>
      <c r="D98" s="821" t="s">
        <v>649</v>
      </c>
      <c r="E98" s="920">
        <v>0.2</v>
      </c>
      <c r="F98" s="907">
        <v>30</v>
      </c>
    </row>
    <row r="99" spans="1:6" s="903" customFormat="1" ht="36">
      <c r="A99" s="907">
        <v>39</v>
      </c>
      <c r="B99" s="3284" t="s">
        <v>650</v>
      </c>
      <c r="C99" s="907" t="s">
        <v>651</v>
      </c>
      <c r="D99" s="821" t="s">
        <v>652</v>
      </c>
      <c r="E99" s="920">
        <v>0.3</v>
      </c>
      <c r="F99" s="907">
        <v>50</v>
      </c>
    </row>
    <row r="100" spans="1:6" s="903" customFormat="1" ht="24">
      <c r="A100" s="907">
        <v>40</v>
      </c>
      <c r="B100" s="3284"/>
      <c r="C100" s="907" t="s">
        <v>653</v>
      </c>
      <c r="D100" s="821" t="s">
        <v>654</v>
      </c>
      <c r="E100" s="920">
        <v>0.2</v>
      </c>
      <c r="F100" s="907">
        <v>30</v>
      </c>
    </row>
    <row r="101" spans="1:6" s="903" customFormat="1" ht="36">
      <c r="A101" s="907">
        <v>41</v>
      </c>
      <c r="B101" s="328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84" t="s">
        <v>665</v>
      </c>
      <c r="C105" s="907" t="s">
        <v>666</v>
      </c>
      <c r="D105" s="821" t="s">
        <v>667</v>
      </c>
      <c r="E105" s="920">
        <v>0.2</v>
      </c>
      <c r="F105" s="907">
        <v>30</v>
      </c>
    </row>
    <row r="106" spans="1:6" s="903" customFormat="1" ht="36">
      <c r="A106" s="907">
        <v>46</v>
      </c>
      <c r="B106" s="3284"/>
      <c r="C106" s="907" t="s">
        <v>668</v>
      </c>
      <c r="D106" s="821" t="s">
        <v>669</v>
      </c>
      <c r="E106" s="920">
        <v>0.2</v>
      </c>
      <c r="F106" s="907">
        <v>30</v>
      </c>
    </row>
    <row r="107" spans="1:6" s="903" customFormat="1" ht="36">
      <c r="A107" s="907">
        <v>47</v>
      </c>
      <c r="B107" s="3284" t="s">
        <v>670</v>
      </c>
      <c r="C107" s="907" t="s">
        <v>671</v>
      </c>
      <c r="D107" s="821" t="s">
        <v>672</v>
      </c>
      <c r="E107" s="920">
        <v>0.3</v>
      </c>
      <c r="F107" s="907">
        <v>50</v>
      </c>
    </row>
    <row r="108" spans="1:6" s="903" customFormat="1" ht="36">
      <c r="A108" s="907">
        <v>48</v>
      </c>
      <c r="B108" s="328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84" t="s">
        <v>681</v>
      </c>
      <c r="C111" s="907" t="s">
        <v>682</v>
      </c>
      <c r="D111" s="821" t="s">
        <v>683</v>
      </c>
      <c r="E111" s="920">
        <v>0.2</v>
      </c>
      <c r="F111" s="907">
        <v>30</v>
      </c>
    </row>
    <row r="112" spans="1:6" s="903" customFormat="1" ht="24">
      <c r="A112" s="907">
        <v>52</v>
      </c>
      <c r="B112" s="3284"/>
      <c r="C112" s="907" t="s">
        <v>684</v>
      </c>
      <c r="D112" s="821" t="s">
        <v>685</v>
      </c>
      <c r="E112" s="920">
        <v>0.2</v>
      </c>
      <c r="F112" s="907">
        <v>30</v>
      </c>
    </row>
    <row r="113" spans="1:6" s="903" customFormat="1" ht="24">
      <c r="A113" s="907">
        <v>53</v>
      </c>
      <c r="B113" s="328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84" t="s">
        <v>694</v>
      </c>
      <c r="C116" s="907" t="s">
        <v>695</v>
      </c>
      <c r="D116" s="821" t="s">
        <v>696</v>
      </c>
      <c r="E116" s="920">
        <v>0.2</v>
      </c>
      <c r="F116" s="907">
        <v>30</v>
      </c>
    </row>
    <row r="117" spans="1:6" ht="36">
      <c r="A117" s="907">
        <v>57</v>
      </c>
      <c r="B117" s="328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9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02"/>
      <c r="C2" s="2902"/>
      <c r="D2" s="2902"/>
      <c r="E2" s="2902"/>
    </row>
    <row r="3" spans="1:5" ht="13.5" customHeight="1">
      <c r="A3" s="1925"/>
      <c r="B3" s="1925"/>
      <c r="C3" s="1925"/>
      <c r="D3" s="1925"/>
      <c r="E3" s="1925"/>
    </row>
    <row r="4" spans="1:5" ht="19.5" thickBot="1">
      <c r="A4" s="2903" t="str">
        <f>IF(项目基本情况!D5="房地产市场价值","估价结果一览表（市场价值不需本页表格)","估价结果一览表")</f>
        <v>估价结果一览表（市场价值不需本页表格)</v>
      </c>
      <c r="B4" s="2903"/>
      <c r="C4" s="2903"/>
      <c r="D4" s="2903"/>
      <c r="E4" s="2903"/>
    </row>
    <row r="5" spans="1:5" ht="14.25" customHeight="1" thickTop="1">
      <c r="A5" s="1922"/>
      <c r="B5" s="1926" t="s">
        <v>742</v>
      </c>
      <c r="C5" s="2904" t="s">
        <v>779</v>
      </c>
      <c r="D5" s="2905"/>
      <c r="E5" s="1922"/>
    </row>
    <row r="6" spans="1:5" ht="14.25">
      <c r="A6" s="1922"/>
      <c r="B6" s="1927" t="str">
        <f>项目基本情况!I1</f>
        <v>北京市房地产</v>
      </c>
      <c r="C6" s="2906">
        <f>项目基本情况!C12</f>
        <v>732.42</v>
      </c>
      <c r="D6" s="2906"/>
      <c r="E6" s="1922"/>
    </row>
    <row r="7" spans="1:5" ht="14.25">
      <c r="A7" s="1922"/>
      <c r="B7" s="2900" t="s">
        <v>780</v>
      </c>
      <c r="C7" s="1928" t="str">
        <f>IF('数据-取费表'!B3="万元","总价（万元）","总价（元）")</f>
        <v>总价（元）</v>
      </c>
      <c r="D7" s="1929" t="e">
        <f ca="1">IF('数据-取费表'!E3="否",结果表!I102,'结果表 (1修多)'!I103)</f>
        <v>#REF!</v>
      </c>
      <c r="E7" s="1922"/>
    </row>
    <row r="8" spans="1:5" ht="14.25">
      <c r="A8" s="1922"/>
      <c r="B8" s="2900"/>
      <c r="C8" s="1930" t="s">
        <v>1169</v>
      </c>
      <c r="D8" s="1931" t="e">
        <f ca="1">IF('数据-取费表'!B3="万元",NUMBERSTRING(INT(D7*10000),2)&amp;"元整",NUMBERSTRING(INT(D7),2)&amp;"元整")</f>
        <v>#REF!</v>
      </c>
      <c r="E8" s="1922"/>
    </row>
    <row r="9" spans="1:5" ht="14.25">
      <c r="A9" s="1922"/>
      <c r="B9" s="2900"/>
      <c r="C9" s="1932" t="s">
        <v>1266</v>
      </c>
      <c r="D9" s="1929" t="e">
        <f ca="1">IF('数据-取费表'!E3="否",结果表!I103,'结果表 (1修多)'!I104)</f>
        <v>#REF!</v>
      </c>
      <c r="E9" s="1922"/>
    </row>
    <row r="10" spans="1:5" ht="14.25">
      <c r="A10" s="1922"/>
      <c r="B10" s="290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907"/>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907" t="str">
        <f>IF('数据-取费表'!E3="否",结果表!F110,'结果表 (1修多)'!F111)</f>
        <v>3.房地产抵押价值</v>
      </c>
      <c r="C15" s="1923" t="str">
        <f>C7</f>
        <v>总价（元）</v>
      </c>
      <c r="D15" s="1929" t="e">
        <f ca="1">IF('数据-取费表'!E3="否",结果表!I110,'结果表 (1修多)'!I111)</f>
        <v>#REF!</v>
      </c>
      <c r="E15" s="1922"/>
    </row>
    <row r="16" spans="1:5" ht="14.25">
      <c r="A16" s="1922"/>
      <c r="B16" s="2907"/>
      <c r="C16" s="1930" t="s">
        <v>1169</v>
      </c>
      <c r="D16" s="1929" t="e">
        <f ca="1">IF('数据-取费表'!B3="万元",NUMBERSTRING(INT(D15*10000),2)&amp;"元整",NUMBERSTRING(INT(D15),2)&amp;"元整")</f>
        <v>#REF!</v>
      </c>
      <c r="E16" s="1922"/>
    </row>
    <row r="17" spans="1:5" ht="14.25">
      <c r="A17" s="1922"/>
      <c r="B17" s="2907"/>
      <c r="C17" s="1932" t="s">
        <v>1266</v>
      </c>
      <c r="D17" s="1929" t="e">
        <f ca="1">IF('数据-取费表'!E3="否",结果表!I111,'结果表 (1修多)'!I112)</f>
        <v>#REF!</v>
      </c>
      <c r="E17" s="1922"/>
    </row>
    <row r="18" spans="1:5" ht="14.25">
      <c r="A18" s="1922"/>
      <c r="B18" s="2907" t="str">
        <f>IF('数据-取费表'!E3="否",结果表!F112,'结果表 (1修多)'!F113)</f>
        <v>——</v>
      </c>
      <c r="C18" s="1923" t="str">
        <f>C7</f>
        <v>总价（元）</v>
      </c>
      <c r="D18" s="1929" t="str">
        <f>IF('数据-取费表'!E3="否",结果表!I112,'结果表 (1修多)'!I113)</f>
        <v>——</v>
      </c>
      <c r="E18" s="1922"/>
    </row>
    <row r="19" spans="1:5" ht="14.25">
      <c r="A19" s="1922"/>
      <c r="B19" s="2907"/>
      <c r="C19" s="1930" t="s">
        <v>1169</v>
      </c>
      <c r="D19" s="1929" t="e">
        <f>IF('数据-取费表'!B3="万元",NUMBERSTRING(INT(D18*10000),2)&amp;"元整",NUMBERSTRING(INT(D18),2)&amp;"元整")</f>
        <v>#VALUE!</v>
      </c>
      <c r="E19" s="1922"/>
    </row>
    <row r="20" spans="1:5" ht="14.25">
      <c r="A20" s="1922"/>
      <c r="B20" s="2907"/>
      <c r="C20" s="1932" t="s">
        <v>1266</v>
      </c>
      <c r="D20" s="1929" t="str">
        <f>IF('数据-取费表'!E3="否",结果表!I113,'结果表 (1修多)'!I114)</f>
        <v>——</v>
      </c>
      <c r="E20" s="1922"/>
    </row>
    <row r="21" spans="1:5" ht="14.25">
      <c r="A21" s="1922"/>
      <c r="B21" s="2900" t="str">
        <f>IF('数据-取费表'!E3="否",结果表!F114,'结果表 (1修多)'!F115)</f>
        <v>——</v>
      </c>
      <c r="C21" s="1928" t="str">
        <f>C7</f>
        <v>总价（元）</v>
      </c>
      <c r="D21" s="1929" t="str">
        <f>IF('数据-取费表'!E3="否",结果表!I114,'结果表 (1修多)'!I115)</f>
        <v>——</v>
      </c>
      <c r="E21" s="1922"/>
    </row>
    <row r="22" spans="1:5" ht="14.25">
      <c r="A22" s="1922"/>
      <c r="B22" s="2900"/>
      <c r="C22" s="1930" t="s">
        <v>1169</v>
      </c>
      <c r="D22" s="1931" t="e">
        <f>IF('数据-取费表'!B3="万元",NUMBERSTRING(INT(D21*10000),2)&amp;"元整",NUMBERSTRING(INT(D21),2)&amp;"元整")</f>
        <v>#VALUE!</v>
      </c>
      <c r="E22" s="1922"/>
    </row>
    <row r="23" spans="1:5" ht="15" thickBot="1">
      <c r="A23" s="1922"/>
      <c r="B23" s="2901"/>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892" t="s">
        <v>1267</v>
      </c>
      <c r="C25" s="2892"/>
      <c r="D25" s="2892"/>
      <c r="E25" s="1922"/>
    </row>
    <row r="26" spans="1:5" ht="18.75" customHeight="1" thickTop="1">
      <c r="A26" s="1922"/>
      <c r="B26" s="2895" t="s">
        <v>1168</v>
      </c>
      <c r="C26" s="2896"/>
      <c r="D26" s="2893" t="s">
        <v>1167</v>
      </c>
      <c r="E26" s="1922"/>
    </row>
    <row r="27" spans="1:5" ht="18.75" customHeight="1">
      <c r="A27" s="1922"/>
      <c r="B27" s="2897"/>
      <c r="C27" s="2898"/>
      <c r="D27" s="2894"/>
      <c r="E27" s="1922"/>
    </row>
    <row r="28" spans="1:5" ht="14.25">
      <c r="A28" s="1922"/>
      <c r="B28" s="2885" t="s">
        <v>780</v>
      </c>
      <c r="C28" s="1939" t="s">
        <v>1170</v>
      </c>
      <c r="D28" s="1940" t="e">
        <f ca="1">IF('数据-取费表'!E3="否",结果表!I102,'结果表 (1修多)'!I103)</f>
        <v>#REF!</v>
      </c>
      <c r="E28" s="1922"/>
    </row>
    <row r="29" spans="1:5" ht="14.25">
      <c r="A29" s="1922"/>
      <c r="B29" s="2886"/>
      <c r="C29" s="1941" t="s">
        <v>1169</v>
      </c>
      <c r="D29" s="1942" t="e">
        <f ca="1">IF('数据-取费表'!B3="万元",NUMBERSTRING(INT(D28*10000),2)&amp;"元整",NUMBERSTRING(INT(D28),2)&amp;"元整")</f>
        <v>#REF!</v>
      </c>
      <c r="E29" s="1922"/>
    </row>
    <row r="30" spans="1:5" ht="14.25">
      <c r="A30" s="1922"/>
      <c r="B30" s="2887"/>
      <c r="C30" s="1932" t="s">
        <v>1172</v>
      </c>
      <c r="D30" s="1943" t="e">
        <f ca="1">IF('数据-取费表'!E3="否",结果表!I103,'结果表 (1修多)'!I104)</f>
        <v>#REF!</v>
      </c>
      <c r="E30" s="1922"/>
    </row>
    <row r="31" spans="1:5" ht="14.25">
      <c r="A31" s="1922"/>
      <c r="B31" s="2890" t="str">
        <f>B10</f>
        <v>2.估价师所知悉的法定优先受偿款</v>
      </c>
      <c r="C31" s="1944" t="s">
        <v>1171</v>
      </c>
      <c r="D31" s="1945">
        <f>IF('数据-取费表'!E3="否",结果表!I105,'结果表 (1修多)'!I106)</f>
        <v>0</v>
      </c>
      <c r="E31" s="1922"/>
    </row>
    <row r="32" spans="1:5" ht="14.25">
      <c r="A32" s="1922"/>
      <c r="B32" s="2899"/>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88" t="str">
        <f>B15</f>
        <v>3.房地产抵押价值</v>
      </c>
      <c r="C36" s="1944" t="str">
        <f>C28</f>
        <v>总价</v>
      </c>
      <c r="D36" s="1945" t="e">
        <f ca="1">IF('数据-取费表'!E3="否",结果表!I110,'结果表 (1修多)'!I111)</f>
        <v>#REF!</v>
      </c>
      <c r="E36" s="1922"/>
    </row>
    <row r="37" spans="1:5" ht="14.25">
      <c r="A37" s="1922"/>
      <c r="B37" s="2888"/>
      <c r="C37" s="1941" t="s">
        <v>1169</v>
      </c>
      <c r="D37" s="1946" t="e">
        <f ca="1">IF('数据-取费表'!B3="万元",NUMBERSTRING(INT(D36*10000),2)&amp;"元整",NUMBERSTRING(INT(D36),2)&amp;"元整")</f>
        <v>#REF!</v>
      </c>
      <c r="E37" s="1922"/>
    </row>
    <row r="38" spans="1:5" ht="14.25">
      <c r="A38" s="1922"/>
      <c r="B38" s="2888"/>
      <c r="C38" s="1932" t="s">
        <v>1173</v>
      </c>
      <c r="D38" s="1943" t="e">
        <f ca="1">IF('数据-取费表'!E3="否",结果表!D113,'结果表 (1修多)'!D116)</f>
        <v>#REF!</v>
      </c>
      <c r="E38" s="1922"/>
    </row>
    <row r="39" spans="1:5" ht="14.25">
      <c r="A39" s="1922"/>
      <c r="B39" s="2889" t="str">
        <f>B18</f>
        <v>——</v>
      </c>
      <c r="C39" s="1944" t="str">
        <f>C28</f>
        <v>总价</v>
      </c>
      <c r="D39" s="1945" t="str">
        <f>IF('数据-取费表'!E3="否",结果表!I112,'结果表 (1修多)'!I113)</f>
        <v>——</v>
      </c>
      <c r="E39" s="1922"/>
    </row>
    <row r="40" spans="1:5" ht="14.25">
      <c r="A40" s="1922"/>
      <c r="B40" s="2889"/>
      <c r="C40" s="1941" t="s">
        <v>1169</v>
      </c>
      <c r="D40" s="1946" t="e">
        <f>IF('数据-取费表'!B3="万元",NUMBERSTRING(INT(D39*10000),2)&amp;"元整",NUMBERSTRING(INT(D39),2)&amp;"元整")</f>
        <v>#VALUE!</v>
      </c>
      <c r="E40" s="1922"/>
    </row>
    <row r="41" spans="1:5" ht="14.25">
      <c r="A41" s="1922"/>
      <c r="B41" s="2889"/>
      <c r="C41" s="1932" t="s">
        <v>1173</v>
      </c>
      <c r="D41" s="1943" t="str">
        <f>IF('数据-取费表'!E3="否",结果表!D115,'结果表 (1修多)'!D118)</f>
        <v>——</v>
      </c>
      <c r="E41" s="1922"/>
    </row>
    <row r="42" spans="1:5" ht="14.25">
      <c r="A42" s="1922"/>
      <c r="B42" s="2888" t="str">
        <f>B21</f>
        <v>——</v>
      </c>
      <c r="C42" s="1944" t="str">
        <f>C28</f>
        <v>总价</v>
      </c>
      <c r="D42" s="1945" t="str">
        <f>IF('数据-取费表'!E3="否",结果表!I114,'结果表 (1修多)'!I115)</f>
        <v>——</v>
      </c>
      <c r="E42" s="1922"/>
    </row>
    <row r="43" spans="1:5" ht="14.25">
      <c r="A43" s="1922"/>
      <c r="B43" s="2890"/>
      <c r="C43" s="1941" t="s">
        <v>1169</v>
      </c>
      <c r="D43" s="1947" t="e">
        <f>IF('数据-取费表'!B3="万元",NUMBERSTRING(INT(D42*10000),2)&amp;"元整",NUMBERSTRING(INT(D42),2)&amp;"元整")</f>
        <v>#VALUE!</v>
      </c>
      <c r="E43" s="1922"/>
    </row>
    <row r="44" spans="1:5" ht="15" thickBot="1">
      <c r="A44" s="1922"/>
      <c r="B44" s="2891"/>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290" t="s">
        <v>1027</v>
      </c>
      <c r="C1" s="3290"/>
      <c r="D1" s="3290"/>
      <c r="E1" s="3290"/>
      <c r="F1" s="3290"/>
      <c r="G1" s="3286" t="s">
        <v>1028</v>
      </c>
      <c r="H1" s="3286"/>
      <c r="I1" s="3286"/>
      <c r="J1" s="3286"/>
      <c r="K1" s="3286"/>
      <c r="L1" s="3286"/>
      <c r="N1" s="3286" t="s">
        <v>1029</v>
      </c>
      <c r="O1" s="3286"/>
      <c r="P1" s="3286"/>
      <c r="Q1" s="3286"/>
      <c r="R1" s="1544"/>
      <c r="S1" s="3286" t="s">
        <v>1030</v>
      </c>
      <c r="T1" s="3286"/>
      <c r="U1" s="3286"/>
      <c r="V1" s="3286"/>
      <c r="X1" s="3285" t="s">
        <v>1031</v>
      </c>
      <c r="Y1" s="3286"/>
      <c r="Z1" s="3286"/>
      <c r="AA1" s="3286"/>
      <c r="AB1" s="3286"/>
      <c r="AD1" s="3285" t="s">
        <v>1032</v>
      </c>
      <c r="AE1" s="3286"/>
      <c r="AF1" s="3286"/>
      <c r="AG1" s="3286"/>
      <c r="AH1" s="3286"/>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88">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88"/>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88"/>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295"/>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291">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88"/>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88"/>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295"/>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291">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88"/>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88"/>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89"/>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87">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88"/>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88"/>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89"/>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87">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88"/>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88"/>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89"/>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292">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293"/>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293"/>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294"/>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87">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88"/>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88"/>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89"/>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87">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88">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88">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89">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87">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88">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88">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89">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87">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88">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88">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89">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87">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88">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88">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89">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87">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88">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88">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89">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87">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88">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88">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89">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87">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88">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88">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89">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87">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88">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88">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89">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87">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88">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88">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89">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87">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88">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88">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89">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abSelected="1" view="pageBreakPreview" zoomScale="130" zoomScaleNormal="100" zoomScaleSheetLayoutView="130" workbookViewId="0">
      <selection activeCell="H36" sqref="H36"/>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329" t="s">
        <v>2905</v>
      </c>
      <c r="B1" s="3329"/>
      <c r="C1" s="3329"/>
      <c r="D1" s="3329"/>
      <c r="E1" s="3329"/>
      <c r="F1" s="3329"/>
      <c r="G1" s="3329"/>
      <c r="H1" s="3329"/>
      <c r="I1" s="3329"/>
      <c r="K1" s="3330" t="s">
        <v>2906</v>
      </c>
      <c r="L1" s="2770" t="s">
        <v>2907</v>
      </c>
      <c r="M1" s="2771">
        <v>0</v>
      </c>
      <c r="N1" s="2772"/>
      <c r="O1" s="2772"/>
    </row>
    <row r="2" spans="1:16" ht="15.75" customHeight="1">
      <c r="A2" s="2774" t="s">
        <v>2908</v>
      </c>
      <c r="B2" s="2775" t="s">
        <v>2909</v>
      </c>
      <c r="C2" s="3297" t="s">
        <v>2910</v>
      </c>
      <c r="D2" s="3298"/>
      <c r="E2" s="3298"/>
      <c r="F2" s="3299"/>
      <c r="G2" s="2776" t="s">
        <v>2911</v>
      </c>
      <c r="H2" s="3313" t="s">
        <v>2912</v>
      </c>
      <c r="I2" s="3313"/>
      <c r="K2" s="3330"/>
      <c r="L2" s="2770" t="s">
        <v>2913</v>
      </c>
      <c r="M2" s="2777" t="s">
        <v>2914</v>
      </c>
      <c r="N2" s="2778"/>
      <c r="O2" s="2778"/>
    </row>
    <row r="3" spans="1:16">
      <c r="A3" s="2779" t="s">
        <v>2915</v>
      </c>
      <c r="B3" s="2780" t="s">
        <v>2916</v>
      </c>
      <c r="C3" s="3331">
        <f>'比较法-售价'!B2</f>
        <v>37414211</v>
      </c>
      <c r="D3" s="3332"/>
      <c r="E3" s="3332"/>
      <c r="F3" s="3333"/>
      <c r="G3" s="2779" t="s">
        <v>2917</v>
      </c>
      <c r="H3" s="2839" t="s">
        <v>3039</v>
      </c>
      <c r="I3" s="2884">
        <v>732.42</v>
      </c>
      <c r="K3" s="3330"/>
      <c r="L3" s="2770" t="s">
        <v>2918</v>
      </c>
      <c r="M3" s="2777" t="s">
        <v>2919</v>
      </c>
      <c r="N3" s="2778"/>
      <c r="O3" s="2781"/>
    </row>
    <row r="4" spans="1:16">
      <c r="A4" s="3300" t="s">
        <v>2920</v>
      </c>
      <c r="B4" s="3306" t="s">
        <v>2921</v>
      </c>
      <c r="C4" s="3334">
        <f>ROUND(C3*(I4-I6)/(1-((1+I6)/(1+I4))^I5),0)</f>
        <v>2144981</v>
      </c>
      <c r="D4" s="3335"/>
      <c r="E4" s="3335"/>
      <c r="F4" s="3336"/>
      <c r="G4" s="3300" t="s">
        <v>2922</v>
      </c>
      <c r="H4" s="2782" t="s">
        <v>2923</v>
      </c>
      <c r="I4" s="2783">
        <v>0.06</v>
      </c>
      <c r="K4" s="3330"/>
      <c r="L4" s="2770" t="s">
        <v>2924</v>
      </c>
      <c r="M4" s="2784">
        <f>ROUND(1-(1-M1)*M2/M3,2)</f>
        <v>0.75</v>
      </c>
      <c r="N4" s="2778"/>
      <c r="O4" s="2778"/>
    </row>
    <row r="5" spans="1:16" s="2788" customFormat="1" ht="18" customHeight="1">
      <c r="A5" s="3300"/>
      <c r="B5" s="3306"/>
      <c r="C5" s="3337"/>
      <c r="D5" s="3338"/>
      <c r="E5" s="3338"/>
      <c r="F5" s="3339"/>
      <c r="G5" s="3300"/>
      <c r="H5" s="2780" t="s">
        <v>2925</v>
      </c>
      <c r="I5" s="2785">
        <v>24</v>
      </c>
      <c r="J5" s="2786"/>
      <c r="K5" s="3330"/>
      <c r="L5" s="2770" t="s">
        <v>2926</v>
      </c>
      <c r="M5" s="2787">
        <v>0.5</v>
      </c>
      <c r="N5" s="2778"/>
      <c r="O5" s="2778"/>
    </row>
    <row r="6" spans="1:16" s="2788" customFormat="1" ht="18" customHeight="1">
      <c r="A6" s="3300"/>
      <c r="B6" s="3306"/>
      <c r="C6" s="3340"/>
      <c r="D6" s="3341"/>
      <c r="E6" s="3341"/>
      <c r="F6" s="3342"/>
      <c r="G6" s="3300"/>
      <c r="H6" s="2780" t="s">
        <v>2927</v>
      </c>
      <c r="I6" s="2783">
        <v>3.5000000000000003E-2</v>
      </c>
      <c r="J6" s="2789"/>
      <c r="K6" s="3343" t="s">
        <v>2928</v>
      </c>
      <c r="L6" s="2790" t="s">
        <v>2929</v>
      </c>
      <c r="M6" s="2791" t="s">
        <v>2930</v>
      </c>
      <c r="N6" s="2791" t="s">
        <v>2931</v>
      </c>
      <c r="O6" s="2791" t="s">
        <v>2932</v>
      </c>
      <c r="P6" s="2791" t="s">
        <v>2933</v>
      </c>
    </row>
    <row r="7" spans="1:16" s="2788" customFormat="1" ht="18" customHeight="1">
      <c r="A7" s="2779" t="s">
        <v>2934</v>
      </c>
      <c r="B7" s="2780" t="s">
        <v>2935</v>
      </c>
      <c r="C7" s="3297">
        <f ca="1">ROUND(C23*I7,0)</f>
        <v>5861082</v>
      </c>
      <c r="D7" s="3298"/>
      <c r="E7" s="3298"/>
      <c r="F7" s="3299"/>
      <c r="G7" s="2776" t="s">
        <v>2936</v>
      </c>
      <c r="H7" s="2780" t="s">
        <v>2937</v>
      </c>
      <c r="I7" s="2792">
        <v>0.83</v>
      </c>
      <c r="K7" s="3343"/>
      <c r="L7" s="2790" t="s">
        <v>2938</v>
      </c>
      <c r="M7" s="2791">
        <v>100</v>
      </c>
      <c r="N7" s="2791" t="s">
        <v>2939</v>
      </c>
      <c r="O7" s="2791">
        <v>75</v>
      </c>
      <c r="P7" s="2793">
        <v>0.3</v>
      </c>
    </row>
    <row r="8" spans="1:16" s="2788" customFormat="1" ht="18" customHeight="1">
      <c r="A8" s="2774" t="s">
        <v>2940</v>
      </c>
      <c r="B8" s="2780" t="s">
        <v>2941</v>
      </c>
      <c r="C8" s="3297">
        <f>ROUND(I8*I3,0)</f>
        <v>4394520</v>
      </c>
      <c r="D8" s="3298"/>
      <c r="E8" s="3298"/>
      <c r="F8" s="3299"/>
      <c r="G8" s="2776" t="s">
        <v>2942</v>
      </c>
      <c r="H8" s="2780" t="s">
        <v>2943</v>
      </c>
      <c r="I8" s="2776">
        <v>6000</v>
      </c>
      <c r="J8" s="2794">
        <f>D35</f>
        <v>57.2</v>
      </c>
      <c r="K8" s="3343"/>
      <c r="L8" s="2790" t="s">
        <v>2944</v>
      </c>
      <c r="M8" s="2791">
        <v>100</v>
      </c>
      <c r="N8" s="2791" t="s">
        <v>2945</v>
      </c>
      <c r="O8" s="2791">
        <f>O7</f>
        <v>75</v>
      </c>
      <c r="P8" s="2793">
        <v>0.5</v>
      </c>
    </row>
    <row r="9" spans="1:16" s="2788" customFormat="1" ht="18" customHeight="1">
      <c r="A9" s="2774" t="s">
        <v>2946</v>
      </c>
      <c r="B9" s="2780" t="s">
        <v>2947</v>
      </c>
      <c r="C9" s="3297">
        <f>ROUND(C8*H9,0)</f>
        <v>219726</v>
      </c>
      <c r="D9" s="3298"/>
      <c r="E9" s="3298"/>
      <c r="F9" s="3299"/>
      <c r="G9" s="2776" t="s">
        <v>2948</v>
      </c>
      <c r="H9" s="3326">
        <f>'数据-取费表'!E21</f>
        <v>0.05</v>
      </c>
      <c r="I9" s="3326"/>
      <c r="J9" s="2794">
        <f ca="1">D36</f>
        <v>28.41</v>
      </c>
      <c r="K9" s="3343"/>
      <c r="L9" s="2790" t="s">
        <v>2949</v>
      </c>
      <c r="M9" s="2791">
        <v>100</v>
      </c>
      <c r="N9" s="2791" t="s">
        <v>2945</v>
      </c>
      <c r="O9" s="2791">
        <f>O7</f>
        <v>75</v>
      </c>
      <c r="P9" s="2793">
        <f>1-P7-P8</f>
        <v>0.19999999999999996</v>
      </c>
    </row>
    <row r="10" spans="1:16" s="2788" customFormat="1" ht="18" customHeight="1">
      <c r="A10" s="2774" t="s">
        <v>2950</v>
      </c>
      <c r="B10" s="2780" t="s">
        <v>2951</v>
      </c>
      <c r="C10" s="3297">
        <f>ROUND(C8*H10,0)</f>
        <v>0</v>
      </c>
      <c r="D10" s="3298"/>
      <c r="E10" s="3298"/>
      <c r="F10" s="3299"/>
      <c r="G10" s="2776" t="s">
        <v>2948</v>
      </c>
      <c r="H10" s="3326">
        <v>0</v>
      </c>
      <c r="I10" s="3326"/>
      <c r="J10" s="2794">
        <f ca="1">D37</f>
        <v>48.6</v>
      </c>
      <c r="K10" s="3343"/>
      <c r="L10" s="2795" t="s">
        <v>2952</v>
      </c>
      <c r="M10" s="2796">
        <f>1-M5</f>
        <v>0.5</v>
      </c>
      <c r="N10" s="2791" t="s">
        <v>2953</v>
      </c>
      <c r="O10" s="2797">
        <f>ROUND((O7*P7+O8*P8+O9*P9)/100,2)</f>
        <v>0.75</v>
      </c>
      <c r="P10" s="2798"/>
    </row>
    <row r="11" spans="1:16" s="2788" customFormat="1" ht="29.25" customHeight="1">
      <c r="A11" s="2774" t="s">
        <v>2954</v>
      </c>
      <c r="B11" s="2780" t="s">
        <v>2955</v>
      </c>
      <c r="C11" s="3297">
        <f>ROUND(I11*I3,0)</f>
        <v>219726</v>
      </c>
      <c r="D11" s="3298"/>
      <c r="E11" s="3298"/>
      <c r="F11" s="3299"/>
      <c r="G11" s="2776" t="s">
        <v>2956</v>
      </c>
      <c r="H11" s="2780" t="s">
        <v>2957</v>
      </c>
      <c r="I11" s="2776">
        <v>300</v>
      </c>
      <c r="J11" s="2786"/>
      <c r="K11" s="2799"/>
      <c r="L11" s="2799"/>
    </row>
    <row r="12" spans="1:16" s="2788" customFormat="1" ht="18" customHeight="1">
      <c r="A12" s="2774" t="s">
        <v>2958</v>
      </c>
      <c r="B12" s="2780" t="s">
        <v>2959</v>
      </c>
      <c r="C12" s="3297">
        <f>ROUND(C8*H12,0)</f>
        <v>65918</v>
      </c>
      <c r="D12" s="3298"/>
      <c r="E12" s="3298"/>
      <c r="F12" s="3299"/>
      <c r="G12" s="2776" t="s">
        <v>2948</v>
      </c>
      <c r="H12" s="3326">
        <f>'数据-取费表'!E24</f>
        <v>1.4999999999999999E-2</v>
      </c>
      <c r="I12" s="3326"/>
      <c r="J12" s="2800" t="s">
        <v>2960</v>
      </c>
      <c r="L12" s="2801"/>
    </row>
    <row r="13" spans="1:16" s="2788" customFormat="1" ht="18" customHeight="1">
      <c r="A13" s="2774" t="s">
        <v>2878</v>
      </c>
      <c r="B13" s="2780" t="s">
        <v>2961</v>
      </c>
      <c r="C13" s="3297">
        <f>SUM(C8:F12)</f>
        <v>4899890</v>
      </c>
      <c r="D13" s="3298"/>
      <c r="E13" s="3298"/>
      <c r="F13" s="3299"/>
      <c r="G13" s="3313" t="s">
        <v>2962</v>
      </c>
      <c r="H13" s="3313"/>
      <c r="I13" s="3313"/>
      <c r="J13" s="2800" t="s">
        <v>2963</v>
      </c>
      <c r="L13" s="2801"/>
    </row>
    <row r="14" spans="1:16" s="2788" customFormat="1" ht="18" customHeight="1">
      <c r="A14" s="2774" t="s">
        <v>2964</v>
      </c>
      <c r="B14" s="2780" t="s">
        <v>2965</v>
      </c>
      <c r="C14" s="3297">
        <f>ROUND(C13*H14,0)</f>
        <v>146997</v>
      </c>
      <c r="D14" s="3298"/>
      <c r="E14" s="3298"/>
      <c r="F14" s="3299"/>
      <c r="G14" s="2776" t="s">
        <v>2966</v>
      </c>
      <c r="H14" s="3326">
        <v>0.03</v>
      </c>
      <c r="I14" s="3326"/>
      <c r="J14" s="2786"/>
      <c r="L14" s="2801"/>
    </row>
    <row r="15" spans="1:16" s="2788" customFormat="1" ht="18" customHeight="1">
      <c r="A15" s="2774" t="s">
        <v>2967</v>
      </c>
      <c r="B15" s="2780" t="s">
        <v>2968</v>
      </c>
      <c r="C15" s="3314">
        <f>H15</f>
        <v>0.03</v>
      </c>
      <c r="D15" s="3315"/>
      <c r="E15" s="3324" t="str">
        <f>E18</f>
        <v>V</v>
      </c>
      <c r="F15" s="3325"/>
      <c r="G15" s="2776" t="s">
        <v>2969</v>
      </c>
      <c r="H15" s="3326">
        <v>0.03</v>
      </c>
      <c r="I15" s="3326"/>
      <c r="J15" s="2802"/>
      <c r="K15" s="2803"/>
    </row>
    <row r="16" spans="1:16" s="2788" customFormat="1" ht="18" customHeight="1">
      <c r="A16" s="2804" t="s">
        <v>2970</v>
      </c>
      <c r="B16" s="2805" t="s">
        <v>2971</v>
      </c>
      <c r="C16" s="2806">
        <f ca="1">C17</f>
        <v>359591</v>
      </c>
      <c r="D16" s="2807" t="s">
        <v>2972</v>
      </c>
      <c r="E16" s="2808">
        <f ca="1">C18</f>
        <v>2.1375000000000001E-3</v>
      </c>
      <c r="F16" s="2809" t="str">
        <f>E18</f>
        <v>V</v>
      </c>
      <c r="G16" s="3297" t="s">
        <v>2973</v>
      </c>
      <c r="H16" s="3298"/>
      <c r="I16" s="3299"/>
      <c r="J16" s="2786"/>
      <c r="K16" s="2799"/>
    </row>
    <row r="17" spans="1:12" s="2788" customFormat="1" ht="18" customHeight="1">
      <c r="A17" s="2774" t="s">
        <v>2974</v>
      </c>
      <c r="B17" s="2780" t="s">
        <v>2975</v>
      </c>
      <c r="C17" s="3297">
        <f ca="1">ROUND((C13+C14)*I18*(I17/2),0)</f>
        <v>359591</v>
      </c>
      <c r="D17" s="3298"/>
      <c r="E17" s="3298"/>
      <c r="F17" s="3299"/>
      <c r="G17" s="2806" t="s">
        <v>2976</v>
      </c>
      <c r="H17" s="2780" t="s">
        <v>2977</v>
      </c>
      <c r="I17" s="2810">
        <v>3</v>
      </c>
      <c r="J17" s="2800" t="s">
        <v>2978</v>
      </c>
      <c r="K17" s="2799"/>
      <c r="L17" s="2799"/>
    </row>
    <row r="18" spans="1:12" s="2788" customFormat="1" ht="18" customHeight="1">
      <c r="A18" s="2774" t="s">
        <v>2979</v>
      </c>
      <c r="B18" s="2780" t="s">
        <v>2980</v>
      </c>
      <c r="C18" s="3327">
        <f ca="1">H15*I18*I17/2</f>
        <v>2.1375000000000001E-3</v>
      </c>
      <c r="D18" s="3328"/>
      <c r="E18" s="3324" t="s">
        <v>2981</v>
      </c>
      <c r="F18" s="3325"/>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1009377</v>
      </c>
      <c r="D19" s="2807" t="s">
        <v>2972</v>
      </c>
      <c r="E19" s="2807">
        <f>C21</f>
        <v>6.0000000000000001E-3</v>
      </c>
      <c r="F19" s="2809" t="str">
        <f>E21</f>
        <v>V</v>
      </c>
      <c r="G19" s="3297" t="s">
        <v>2987</v>
      </c>
      <c r="H19" s="3298"/>
      <c r="I19" s="3299"/>
      <c r="J19" s="2786"/>
      <c r="K19" s="2799"/>
      <c r="L19" s="2799"/>
    </row>
    <row r="20" spans="1:12" s="2788" customFormat="1" ht="26.25" customHeight="1">
      <c r="A20" s="2774" t="s">
        <v>2988</v>
      </c>
      <c r="B20" s="2780" t="s">
        <v>2989</v>
      </c>
      <c r="C20" s="3297">
        <f>ROUND((C13+C14)*I20,0)</f>
        <v>1009377</v>
      </c>
      <c r="D20" s="3298"/>
      <c r="E20" s="3298"/>
      <c r="F20" s="3299"/>
      <c r="G20" s="2776" t="s">
        <v>2990</v>
      </c>
      <c r="H20" s="3319" t="s">
        <v>2991</v>
      </c>
      <c r="I20" s="3321">
        <f>'数据-取费表'!E28</f>
        <v>0.2</v>
      </c>
      <c r="J20" s="2800" t="s">
        <v>2992</v>
      </c>
      <c r="K20" s="2799"/>
      <c r="L20" s="2799"/>
    </row>
    <row r="21" spans="1:12" s="2788" customFormat="1" ht="27" customHeight="1">
      <c r="A21" s="2774" t="s">
        <v>2988</v>
      </c>
      <c r="B21" s="2780" t="s">
        <v>2993</v>
      </c>
      <c r="C21" s="3322">
        <f>H15*I20</f>
        <v>6.0000000000000001E-3</v>
      </c>
      <c r="D21" s="3323"/>
      <c r="E21" s="3324" t="s">
        <v>2981</v>
      </c>
      <c r="F21" s="3325"/>
      <c r="G21" s="2776" t="s">
        <v>2994</v>
      </c>
      <c r="H21" s="3320"/>
      <c r="I21" s="3321"/>
      <c r="J21" s="2786"/>
      <c r="K21" s="2799"/>
      <c r="L21" s="2799"/>
    </row>
    <row r="22" spans="1:12" s="2788" customFormat="1" ht="18" customHeight="1">
      <c r="A22" s="2774" t="s">
        <v>2995</v>
      </c>
      <c r="B22" s="2780" t="s">
        <v>2996</v>
      </c>
      <c r="C22" s="3322">
        <f>ROUND(H22/1.05,4)</f>
        <v>5.33E-2</v>
      </c>
      <c r="D22" s="3323"/>
      <c r="E22" s="3324" t="s">
        <v>2997</v>
      </c>
      <c r="F22" s="3325"/>
      <c r="G22" s="2776" t="s">
        <v>2998</v>
      </c>
      <c r="H22" s="3326">
        <f>'数据-取费表'!E29</f>
        <v>5.6000000000000001E-2</v>
      </c>
      <c r="I22" s="3326"/>
      <c r="J22" s="2812"/>
      <c r="K22" s="2799"/>
      <c r="L22" s="2799"/>
    </row>
    <row r="23" spans="1:12" s="2788" customFormat="1" ht="18" customHeight="1">
      <c r="A23" s="2774" t="s">
        <v>2999</v>
      </c>
      <c r="B23" s="2780" t="s">
        <v>3000</v>
      </c>
      <c r="C23" s="3297">
        <f ca="1">ROUND((C13+C14+C17+C20)/(1-H15-C18-C21-C22),0)</f>
        <v>7061545</v>
      </c>
      <c r="D23" s="3298"/>
      <c r="E23" s="3298"/>
      <c r="F23" s="3299"/>
      <c r="G23" s="3297" t="s">
        <v>3001</v>
      </c>
      <c r="H23" s="3298"/>
      <c r="I23" s="3299"/>
      <c r="J23" s="2812"/>
      <c r="K23" s="2799"/>
      <c r="L23" s="2799"/>
    </row>
    <row r="24" spans="1:12" s="2788" customFormat="1" ht="18" customHeight="1">
      <c r="A24" s="2774" t="s">
        <v>3002</v>
      </c>
      <c r="B24" s="2780" t="s">
        <v>3003</v>
      </c>
      <c r="C24" s="2813">
        <f ca="1">C26+C27</f>
        <v>229429</v>
      </c>
      <c r="D24" s="2814" t="s">
        <v>3004</v>
      </c>
      <c r="E24" s="3316">
        <f>H25+H28</f>
        <v>0.20330000000000001</v>
      </c>
      <c r="F24" s="3317"/>
      <c r="G24" s="3313" t="s">
        <v>3005</v>
      </c>
      <c r="H24" s="3313"/>
      <c r="I24" s="3313"/>
      <c r="J24" s="2812"/>
      <c r="K24" s="2799"/>
      <c r="L24" s="2799"/>
    </row>
    <row r="25" spans="1:12" s="2788" customFormat="1" ht="18" customHeight="1">
      <c r="A25" s="2774" t="s">
        <v>3006</v>
      </c>
      <c r="B25" s="2780" t="s">
        <v>3007</v>
      </c>
      <c r="C25" s="3314" t="s">
        <v>3008</v>
      </c>
      <c r="D25" s="3315"/>
      <c r="E25" s="3316">
        <f>H25</f>
        <v>0.17330000000000001</v>
      </c>
      <c r="F25" s="3317"/>
      <c r="G25" s="2776" t="s">
        <v>3009</v>
      </c>
      <c r="H25" s="3296">
        <f>ROUND(H22/1.05+12%,4)</f>
        <v>0.17330000000000001</v>
      </c>
      <c r="I25" s="3296"/>
      <c r="J25" s="2802"/>
      <c r="K25" s="2799"/>
      <c r="L25" s="2799"/>
    </row>
    <row r="26" spans="1:12" s="2788" customFormat="1" ht="18" customHeight="1">
      <c r="A26" s="2774" t="s">
        <v>2964</v>
      </c>
      <c r="B26" s="2780" t="s">
        <v>3010</v>
      </c>
      <c r="C26" s="3297">
        <f ca="1">ROUND(C23*H26,0)</f>
        <v>211846</v>
      </c>
      <c r="D26" s="3298"/>
      <c r="E26" s="3298"/>
      <c r="F26" s="3299"/>
      <c r="G26" s="2776" t="s">
        <v>3011</v>
      </c>
      <c r="H26" s="3296">
        <v>0.03</v>
      </c>
      <c r="I26" s="3296"/>
      <c r="J26" s="2802"/>
      <c r="K26" s="2799"/>
      <c r="L26" s="2799"/>
    </row>
    <row r="27" spans="1:12" s="2788" customFormat="1" ht="18" customHeight="1">
      <c r="A27" s="2774" t="s">
        <v>2967</v>
      </c>
      <c r="B27" s="2780" t="s">
        <v>3012</v>
      </c>
      <c r="C27" s="3297">
        <f ca="1">ROUND(C7*H27,0)</f>
        <v>17583</v>
      </c>
      <c r="D27" s="3298"/>
      <c r="E27" s="3298"/>
      <c r="F27" s="3299"/>
      <c r="G27" s="2776" t="s">
        <v>3013</v>
      </c>
      <c r="H27" s="3318">
        <v>3.0000000000000001E-3</v>
      </c>
      <c r="I27" s="3318"/>
      <c r="J27" s="2786"/>
      <c r="K27" s="2799"/>
      <c r="L27" s="2799"/>
    </row>
    <row r="28" spans="1:12" s="2788" customFormat="1" ht="18" customHeight="1">
      <c r="A28" s="2774" t="s">
        <v>2970</v>
      </c>
      <c r="B28" s="2780" t="s">
        <v>3014</v>
      </c>
      <c r="C28" s="3314" t="s">
        <v>3015</v>
      </c>
      <c r="D28" s="3315"/>
      <c r="E28" s="3316">
        <f>H28</f>
        <v>0.03</v>
      </c>
      <c r="F28" s="3317"/>
      <c r="G28" s="2776" t="s">
        <v>3016</v>
      </c>
      <c r="H28" s="3296">
        <v>0.03</v>
      </c>
      <c r="I28" s="3296"/>
      <c r="J28" s="2815"/>
      <c r="K28" s="2799"/>
      <c r="L28" s="2799"/>
    </row>
    <row r="29" spans="1:12" s="2788" customFormat="1" ht="18" customHeight="1">
      <c r="A29" s="2779" t="s">
        <v>3017</v>
      </c>
      <c r="B29" s="2780" t="s">
        <v>3018</v>
      </c>
      <c r="C29" s="3297">
        <f ca="1">ROUND((C4+C24)/(1-E24),0)</f>
        <v>2980306</v>
      </c>
      <c r="D29" s="3298"/>
      <c r="E29" s="3298"/>
      <c r="F29" s="3299"/>
      <c r="G29" s="3300" t="s">
        <v>3019</v>
      </c>
      <c r="H29" s="3300"/>
      <c r="I29" s="3300"/>
      <c r="J29" s="2816" t="s">
        <v>3020</v>
      </c>
      <c r="K29" s="2799"/>
      <c r="L29" s="2799"/>
    </row>
    <row r="30" spans="1:12" s="2788" customFormat="1" ht="18" customHeight="1">
      <c r="A30" s="3300" t="s">
        <v>3021</v>
      </c>
      <c r="B30" s="3306" t="s">
        <v>3164</v>
      </c>
      <c r="C30" s="3307">
        <f ca="1">ROUND(C29/I30/I31/I3*732.42/410.61,2)</f>
        <v>28.41</v>
      </c>
      <c r="D30" s="3308"/>
      <c r="E30" s="3308"/>
      <c r="F30" s="3309"/>
      <c r="G30" s="3313" t="s">
        <v>3022</v>
      </c>
      <c r="H30" s="2780" t="s">
        <v>3023</v>
      </c>
      <c r="I30" s="2776">
        <v>365</v>
      </c>
      <c r="J30" s="2817"/>
      <c r="K30" s="2799"/>
      <c r="L30" s="2799"/>
    </row>
    <row r="31" spans="1:12" s="2788" customFormat="1" ht="18" customHeight="1">
      <c r="A31" s="3300"/>
      <c r="B31" s="3306"/>
      <c r="C31" s="3310"/>
      <c r="D31" s="3311"/>
      <c r="E31" s="3311"/>
      <c r="F31" s="3312"/>
      <c r="G31" s="3313"/>
      <c r="H31" s="2780" t="s">
        <v>3024</v>
      </c>
      <c r="I31" s="2818">
        <v>0.7</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302" t="s">
        <v>3137</v>
      </c>
      <c r="C33" s="3302"/>
      <c r="D33" s="3302"/>
      <c r="E33" s="3302"/>
      <c r="F33" s="3302"/>
      <c r="G33" s="2825"/>
      <c r="H33" s="2826"/>
      <c r="I33" s="2773"/>
      <c r="J33" s="2786"/>
      <c r="K33" s="2799"/>
      <c r="L33" s="2799"/>
      <c r="M33" s="2773"/>
    </row>
    <row r="34" spans="1:13" s="2788" customFormat="1" ht="18" customHeight="1">
      <c r="A34" s="2773"/>
      <c r="B34" s="2827" t="s">
        <v>3025</v>
      </c>
      <c r="C34" s="2828" t="s">
        <v>2933</v>
      </c>
      <c r="D34" s="3303" t="s">
        <v>3026</v>
      </c>
      <c r="E34" s="3303"/>
      <c r="F34" s="3303"/>
      <c r="G34" s="2825"/>
      <c r="H34" s="2826"/>
      <c r="I34" s="2773"/>
      <c r="J34" s="2812"/>
      <c r="K34" s="2773"/>
      <c r="L34" s="2773"/>
      <c r="M34" s="2773"/>
    </row>
    <row r="35" spans="1:13">
      <c r="B35" s="2827" t="s">
        <v>3027</v>
      </c>
      <c r="C35" s="2829">
        <v>0.7</v>
      </c>
      <c r="D35" s="3304">
        <f>'比较法-租金'!C49</f>
        <v>57.2</v>
      </c>
      <c r="E35" s="3304"/>
      <c r="F35" s="3304"/>
      <c r="G35" s="2825">
        <f ca="1">(D35-D36)/D36</f>
        <v>1.0133755719816966</v>
      </c>
      <c r="H35" s="2826"/>
      <c r="K35" s="2773"/>
      <c r="L35" s="2773"/>
    </row>
    <row r="36" spans="1:13" ht="20.100000000000001" customHeight="1">
      <c r="B36" s="2827" t="s">
        <v>3028</v>
      </c>
      <c r="C36" s="2829">
        <f>1-C35</f>
        <v>0.30000000000000004</v>
      </c>
      <c r="D36" s="3304">
        <f ca="1">C30</f>
        <v>28.41</v>
      </c>
      <c r="E36" s="3304"/>
      <c r="F36" s="3304"/>
      <c r="G36" s="2825"/>
      <c r="H36" s="2826"/>
      <c r="J36" s="2773"/>
      <c r="K36" s="2773"/>
      <c r="L36" s="2773"/>
    </row>
    <row r="37" spans="1:13" ht="22.5" customHeight="1">
      <c r="B37" s="3305" t="s">
        <v>3029</v>
      </c>
      <c r="C37" s="3305"/>
      <c r="D37" s="3301">
        <f ca="1">ROUND(C35*D35+C36*D36,1)</f>
        <v>48.6</v>
      </c>
      <c r="E37" s="3301"/>
      <c r="F37" s="3301"/>
      <c r="G37" s="2825"/>
      <c r="H37" s="2826"/>
      <c r="J37" s="2773"/>
      <c r="K37" s="2773"/>
      <c r="L37" s="2773"/>
    </row>
    <row r="38" spans="1:13" ht="22.5" customHeight="1">
      <c r="B38" s="2827" t="s">
        <v>3030</v>
      </c>
      <c r="C38" s="2827">
        <f ca="1">ROUND(D37*0.9,1)</f>
        <v>43.7</v>
      </c>
      <c r="D38" s="2830" t="s">
        <v>3031</v>
      </c>
      <c r="E38" s="3301">
        <f ca="1">ROUND(D37*1.1,1)</f>
        <v>53.5</v>
      </c>
      <c r="F38" s="3301"/>
      <c r="G38" s="2825" t="s">
        <v>3032</v>
      </c>
      <c r="H38" s="2831">
        <v>50.1</v>
      </c>
      <c r="J38" s="2773"/>
      <c r="K38" s="2773"/>
      <c r="L38" s="2773"/>
    </row>
    <row r="39" spans="1:13" ht="18" customHeight="1">
      <c r="B39" s="2827" t="s">
        <v>3033</v>
      </c>
      <c r="C39" s="2827">
        <f ca="1">ROUND(C38+H39,1)</f>
        <v>45.8</v>
      </c>
      <c r="D39" s="2830" t="s">
        <v>3031</v>
      </c>
      <c r="E39" s="3301">
        <f ca="1">ROUND(E38+H39,1)</f>
        <v>55.6</v>
      </c>
      <c r="F39" s="3301"/>
      <c r="G39" s="2832" t="s">
        <v>3034</v>
      </c>
      <c r="H39" s="2832">
        <v>2.1</v>
      </c>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44202</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8.4071376598732317E-5</v>
      </c>
      <c r="C5">
        <f t="shared" si="1"/>
        <v>42.648084223505755</v>
      </c>
    </row>
    <row r="6" spans="1:3">
      <c r="A6">
        <f>A5*1.05/'比较法-租金'!C33/365*12</f>
        <v>44.78048843468104</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14" t="str">
        <f>IF(项目基本情况!D5="房地产市场价值","估价结果一览表","结果表-2")</f>
        <v>估价结果一览表</v>
      </c>
      <c r="B1" s="2914"/>
      <c r="C1" s="2914"/>
      <c r="D1" s="2914"/>
      <c r="E1" s="2914"/>
      <c r="F1" s="2914"/>
      <c r="G1" s="2914"/>
      <c r="H1" s="2914"/>
      <c r="I1" s="2914"/>
    </row>
    <row r="2" spans="1:9" ht="30" customHeight="1" thickTop="1">
      <c r="A2" s="2915" t="s">
        <v>1268</v>
      </c>
      <c r="B2" s="2915" t="s">
        <v>1269</v>
      </c>
      <c r="C2" s="2915" t="s">
        <v>1270</v>
      </c>
      <c r="D2" s="2915" t="str">
        <f>IF('数据-取费表'!E3="否",结果表!D119,'结果表 (1修多)'!D122)</f>
        <v>出让国有建设用地使用权价值</v>
      </c>
      <c r="E2" s="2915"/>
      <c r="F2" s="2915" t="s">
        <v>1271</v>
      </c>
      <c r="G2" s="2915"/>
      <c r="H2" s="2915" t="s">
        <v>1272</v>
      </c>
      <c r="I2" s="2915"/>
    </row>
    <row r="3" spans="1:9" ht="15">
      <c r="A3" s="2908"/>
      <c r="B3" s="2908"/>
      <c r="C3" s="2908"/>
      <c r="D3" s="1045" t="s">
        <v>1273</v>
      </c>
      <c r="E3" s="1045" t="s">
        <v>1274</v>
      </c>
      <c r="F3" s="1045" t="s">
        <v>1273</v>
      </c>
      <c r="G3" s="1045" t="s">
        <v>1275</v>
      </c>
      <c r="H3" s="1045" t="s">
        <v>1273</v>
      </c>
      <c r="I3" s="1045" t="s">
        <v>1275</v>
      </c>
    </row>
    <row r="4" spans="1:9" ht="46.5" customHeight="1">
      <c r="A4" s="1045" t="str">
        <f>项目基本情况!I1</f>
        <v>北京市房地产</v>
      </c>
      <c r="B4" s="1045">
        <f>结果表!B121</f>
        <v>732.42</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08" t="s">
        <v>1276</v>
      </c>
      <c r="B5" s="2908"/>
      <c r="C5" s="2908"/>
      <c r="D5" s="2909" t="e">
        <f ca="1">IF('数据-取费表'!E3="否",结果表!D122,'结果表 (1修多)'!D125)</f>
        <v>#REF!</v>
      </c>
      <c r="E5" s="2909"/>
      <c r="F5" s="2909" t="e">
        <f ca="1">IF('数据-取费表'!E3="否",结果表!F122,'结果表 (1修多)'!F125)</f>
        <v>#REF!</v>
      </c>
      <c r="G5" s="2909"/>
      <c r="H5" s="2909" t="e">
        <f ca="1">IF('数据-取费表'!E3="否",结果表!H122,'结果表 (1修多)'!H125)</f>
        <v>#REF!</v>
      </c>
      <c r="I5" s="2909"/>
    </row>
    <row r="6" spans="1:9" ht="15.75">
      <c r="A6" s="2910" t="str">
        <f>IF('数据-取费表'!E3="否",结果表!A123,'结果表 (1修多)'!A126)</f>
        <v>——</v>
      </c>
      <c r="B6" s="2910"/>
      <c r="C6" s="2910"/>
      <c r="D6" s="2910">
        <f>IF('数据-取费表'!E3="否",结果表!D123,'结果表 (1修多)'!D126)</f>
        <v>0</v>
      </c>
      <c r="E6" s="2910"/>
      <c r="F6" s="2910"/>
      <c r="G6" s="2910"/>
      <c r="H6" s="2910"/>
      <c r="I6" s="2910"/>
    </row>
    <row r="7" spans="1:9" ht="15">
      <c r="A7" s="2908" t="s">
        <v>1276</v>
      </c>
      <c r="B7" s="2908"/>
      <c r="C7" s="2908"/>
      <c r="D7" s="2916">
        <f>IF('数据-取费表'!E3="否",结果表!D124,'结果表 (1修多)'!D127)</f>
        <v>0</v>
      </c>
      <c r="E7" s="2917"/>
      <c r="F7" s="2917"/>
      <c r="G7" s="2917"/>
      <c r="H7" s="2917"/>
      <c r="I7" s="2918"/>
    </row>
    <row r="8" spans="1:9" ht="15.75">
      <c r="A8" s="2910" t="str">
        <f>IF('数据-取费表'!E3="否",结果表!A125,'结果表 (1修多)'!A128)</f>
        <v>——</v>
      </c>
      <c r="B8" s="2910"/>
      <c r="C8" s="2910"/>
      <c r="D8" s="2910" t="e">
        <f ca="1">IF('数据-取费表'!E3="否",结果表!D125,'结果表 (1修多)'!D128)</f>
        <v>#REF!</v>
      </c>
      <c r="E8" s="2910"/>
      <c r="F8" s="2910"/>
      <c r="G8" s="2910"/>
      <c r="H8" s="2910"/>
      <c r="I8" s="2910"/>
    </row>
    <row r="9" spans="1:9" ht="15">
      <c r="A9" s="2908" t="s">
        <v>1276</v>
      </c>
      <c r="B9" s="2908"/>
      <c r="C9" s="2908"/>
      <c r="D9" s="2909" t="e">
        <f ca="1">IF('数据-取费表'!E3="否",结果表!D126,'结果表 (1修多)'!D129)</f>
        <v>#REF!</v>
      </c>
      <c r="E9" s="2909"/>
      <c r="F9" s="2909"/>
      <c r="G9" s="2909"/>
      <c r="H9" s="2909"/>
      <c r="I9" s="2909"/>
    </row>
    <row r="10" spans="1:9" ht="15.75">
      <c r="A10" s="2910" t="str">
        <f>IF('数据-取费表'!E3="否",结果表!A127,'结果表 (1修多)'!A130)</f>
        <v>——</v>
      </c>
      <c r="B10" s="2910"/>
      <c r="C10" s="2910"/>
      <c r="D10" s="2910" t="str">
        <f>IF('数据-取费表'!E3="否",结果表!D127,'结果表 (1修多)'!D129)</f>
        <v>——</v>
      </c>
      <c r="E10" s="2910"/>
      <c r="F10" s="2910"/>
      <c r="G10" s="2910"/>
      <c r="H10" s="2910"/>
      <c r="I10" s="2910"/>
    </row>
    <row r="11" spans="1:9" ht="15">
      <c r="A11" s="2908" t="s">
        <v>1276</v>
      </c>
      <c r="B11" s="2908"/>
      <c r="C11" s="2908"/>
      <c r="D11" s="2909" t="str">
        <f>IF('数据-取费表'!E3="否",结果表!D128,'结果表 (1修多)'!D131)</f>
        <v>——</v>
      </c>
      <c r="E11" s="2909"/>
      <c r="F11" s="2909"/>
      <c r="G11" s="2909"/>
      <c r="H11" s="2909"/>
      <c r="I11" s="2909"/>
    </row>
    <row r="12" spans="1:9" ht="15.75">
      <c r="A12" s="2910" t="str">
        <f>IF('数据-取费表'!E3="否",结果表!A129,'结果表 (1修多)'!A132)</f>
        <v>——</v>
      </c>
      <c r="B12" s="2910"/>
      <c r="C12" s="2910"/>
      <c r="D12" s="2910" t="str">
        <f>IF('数据-取费表'!E3="否",结果表!D129,'结果表 (1修多)'!D132)</f>
        <v>——</v>
      </c>
      <c r="E12" s="2910"/>
      <c r="F12" s="2910"/>
      <c r="G12" s="2910"/>
      <c r="H12" s="2910"/>
      <c r="I12" s="2910"/>
    </row>
    <row r="13" spans="1:9" ht="15.75" thickBot="1">
      <c r="A13" s="2911" t="s">
        <v>1276</v>
      </c>
      <c r="B13" s="2911"/>
      <c r="C13" s="2911"/>
      <c r="D13" s="2912">
        <f>IF('数据-取费表'!E3="否",结果表!D130,'结果表 (1修多)'!D133)</f>
        <v>0</v>
      </c>
      <c r="E13" s="2912"/>
      <c r="F13" s="2912"/>
      <c r="G13" s="2912"/>
      <c r="H13" s="2912"/>
      <c r="I13" s="2912"/>
    </row>
    <row r="14" spans="1:9" ht="15" thickTop="1">
      <c r="A14" s="2913" t="str">
        <f>IF('数据-取费表'!E3="否",结果表!A131,'结果表 (1修多)'!A134)</f>
        <v>单位：平方米、元、元/平方米（币种：人民币）</v>
      </c>
      <c r="B14" s="2913"/>
      <c r="C14" s="2913"/>
      <c r="D14" s="2913"/>
      <c r="E14" s="2913"/>
      <c r="F14" s="2913"/>
      <c r="G14" s="2913"/>
      <c r="H14" s="2913"/>
      <c r="I14" s="2913"/>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20" t="s">
        <v>1290</v>
      </c>
      <c r="B1" s="2920"/>
      <c r="C1" s="2920"/>
      <c r="D1" s="2920"/>
    </row>
    <row r="2" spans="1:4" ht="18">
      <c r="A2" s="2919" t="s">
        <v>1278</v>
      </c>
      <c r="B2" s="2919"/>
      <c r="C2" s="2919"/>
      <c r="D2" s="2919"/>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19" t="s">
        <v>1283</v>
      </c>
      <c r="B7" s="2919"/>
      <c r="C7" s="2919"/>
      <c r="D7" s="2919"/>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21" t="s">
        <v>1292</v>
      </c>
      <c r="B12" s="2922"/>
      <c r="C12" s="2922"/>
      <c r="D12" s="2922"/>
    </row>
    <row r="13" spans="1:4" ht="15.75">
      <c r="A13" s="29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22"/>
      <c r="C13" s="2922"/>
      <c r="D13" s="2922"/>
    </row>
    <row r="14" spans="1:4" ht="30" customHeight="1">
      <c r="A14" s="2921" t="str">
        <f>IF(项目基本情况!D4="抵押","3.抵押双方在办理抵押登记手续时，应使用本公司出具的正式《房地产评估报告》，特提醒报告使用者注意。","——")</f>
        <v>——</v>
      </c>
      <c r="B14" s="2922"/>
      <c r="C14" s="2922"/>
      <c r="D14" s="2922"/>
    </row>
    <row r="15" spans="1:4" ht="15.75" customHeight="1">
      <c r="A15" s="2921" t="str">
        <f>IF(项目基本情况!D4="抵押","4.本次评估估价师所知悉的法定优先受偿款情况说明如下：","——")</f>
        <v>——</v>
      </c>
      <c r="B15" s="2922"/>
      <c r="C15" s="2922"/>
      <c r="D15" s="2922"/>
    </row>
    <row r="16" spans="1:4" ht="75" customHeight="1">
      <c r="A16" s="2921" t="str">
        <f>IF(项目基本情况!D4="抵押",CONCATENATE(项目基本情况!J13,项目基本情况!J14,项目基本情况!J15),"——")</f>
        <v>——</v>
      </c>
      <c r="B16" s="2921"/>
      <c r="C16" s="2921"/>
      <c r="D16" s="2921"/>
    </row>
    <row r="17" spans="1:4" ht="63.75" customHeight="1">
      <c r="A17" s="2923" t="s">
        <v>1293</v>
      </c>
      <c r="B17" s="2923"/>
      <c r="C17" s="2923"/>
      <c r="D17" s="2923"/>
    </row>
    <row r="18" spans="1:4" ht="15.75" customHeight="1">
      <c r="A18" s="2921" t="str">
        <f>IF(项目基本情况!D4="抵押",结果表!K106,"——")</f>
        <v>——</v>
      </c>
      <c r="B18" s="2921"/>
      <c r="C18" s="2921"/>
      <c r="D18" s="2921"/>
    </row>
    <row r="19" spans="1:4" ht="46.5" customHeight="1">
      <c r="A19" s="29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21"/>
      <c r="C19" s="2921"/>
      <c r="D19" s="2921"/>
    </row>
    <row r="20" spans="1:4" ht="15">
      <c r="A20" s="2923" t="s">
        <v>1286</v>
      </c>
      <c r="B20" s="2923"/>
      <c r="C20" s="2923"/>
      <c r="D20" s="2923"/>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29" t="s">
        <v>1372</v>
      </c>
      <c r="B15" s="2924" t="s">
        <v>1373</v>
      </c>
      <c r="C15" s="2925"/>
    </row>
    <row r="16" spans="1:7" ht="14.25">
      <c r="A16" s="2930"/>
      <c r="B16" s="2924" t="s">
        <v>1374</v>
      </c>
      <c r="C16" s="2925"/>
    </row>
    <row r="17" spans="1:3" ht="14.25">
      <c r="A17" s="2930"/>
      <c r="B17" s="2924" t="s">
        <v>1375</v>
      </c>
      <c r="C17" s="2925"/>
    </row>
    <row r="18" spans="1:3" ht="14.25">
      <c r="A18" s="2931"/>
      <c r="B18" s="2926" t="s">
        <v>1376</v>
      </c>
      <c r="C18" s="2925"/>
    </row>
    <row r="19" spans="1:3" ht="14.25">
      <c r="A19" s="1975" t="s">
        <v>1377</v>
      </c>
      <c r="B19" s="1976"/>
      <c r="C19" s="1977"/>
    </row>
    <row r="20" spans="1:3" ht="14.25">
      <c r="A20" s="2927" t="s">
        <v>1378</v>
      </c>
      <c r="B20" s="2926" t="s">
        <v>1379</v>
      </c>
      <c r="C20" s="2925"/>
    </row>
    <row r="21" spans="1:3" ht="14.25">
      <c r="A21" s="2927"/>
      <c r="B21" s="2926" t="s">
        <v>1380</v>
      </c>
      <c r="C21" s="2925"/>
    </row>
    <row r="22" spans="1:3" ht="14.25">
      <c r="A22" s="2927"/>
      <c r="B22" s="2926" t="s">
        <v>1381</v>
      </c>
      <c r="C22" s="2925"/>
    </row>
    <row r="23" spans="1:3" ht="14.25">
      <c r="A23" s="2927"/>
      <c r="B23" s="2928" t="s">
        <v>1382</v>
      </c>
      <c r="C23" s="1978" t="s">
        <v>1383</v>
      </c>
    </row>
    <row r="24" spans="1:3" ht="14.25">
      <c r="A24" s="2927"/>
      <c r="B24" s="2928"/>
      <c r="C24" s="1978" t="s">
        <v>1384</v>
      </c>
    </row>
    <row r="25" spans="1:3" ht="14.25">
      <c r="A25" s="2927"/>
      <c r="B25" s="2928"/>
      <c r="C25" s="1978" t="s">
        <v>1385</v>
      </c>
    </row>
    <row r="26" spans="1:3" ht="14.25">
      <c r="A26" s="2927"/>
      <c r="B26" s="2928"/>
      <c r="C26" s="1978" t="s">
        <v>1386</v>
      </c>
    </row>
    <row r="27" spans="1:3" ht="14.25">
      <c r="A27" s="2927"/>
      <c r="B27" s="2928"/>
      <c r="C27" s="1978" t="s">
        <v>1387</v>
      </c>
    </row>
    <row r="28" spans="1:3" ht="14.25">
      <c r="A28" s="2927"/>
      <c r="B28" s="2928"/>
      <c r="C28" s="1978" t="s">
        <v>1388</v>
      </c>
    </row>
    <row r="29" spans="1:3" ht="14.25">
      <c r="A29" s="2927"/>
      <c r="B29" s="2928"/>
      <c r="C29" s="1978" t="s">
        <v>1389</v>
      </c>
    </row>
    <row r="30" spans="1:3" ht="14.25">
      <c r="A30" s="2927"/>
      <c r="B30" s="2928"/>
      <c r="C30" s="1978" t="s">
        <v>1390</v>
      </c>
    </row>
    <row r="31" spans="1:3" ht="14.25">
      <c r="A31" s="2927"/>
      <c r="B31" s="2928"/>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44203</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32" t="s">
        <v>764</v>
      </c>
      <c r="B25" s="2932"/>
      <c r="C25" s="2932"/>
      <c r="D25" s="2932"/>
      <c r="E25" s="2932"/>
      <c r="F25" s="2932"/>
      <c r="G25" s="2932"/>
      <c r="H25" s="2932"/>
    </row>
    <row r="26" spans="1:8" s="1030" customFormat="1" ht="24" customHeight="1">
      <c r="A26" s="2933" t="s">
        <v>765</v>
      </c>
      <c r="B26" s="2933"/>
      <c r="C26" s="2933"/>
      <c r="D26" s="1058"/>
      <c r="E26" s="1058"/>
      <c r="F26" s="2933" t="s">
        <v>766</v>
      </c>
      <c r="G26" s="2933"/>
      <c r="H26" s="293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row>
    <row r="54" spans="1:4">
      <c r="A54" s="2934"/>
      <c r="B54" s="9" t="s">
        <v>1528</v>
      </c>
      <c r="C54" s="9" t="s">
        <v>1529</v>
      </c>
    </row>
    <row r="55" spans="1:4">
      <c r="A55" s="2934"/>
      <c r="B55" s="9" t="s">
        <v>1530</v>
      </c>
      <c r="C55" s="9" t="s">
        <v>1531</v>
      </c>
    </row>
    <row r="56" spans="1:4">
      <c r="A56" s="2934"/>
      <c r="B56" s="9" t="s">
        <v>1532</v>
      </c>
      <c r="C56" s="9" t="s">
        <v>1533</v>
      </c>
    </row>
    <row r="57" spans="1:4">
      <c r="A57" s="2934"/>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159</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2021-01-07T06:09:53Z</dcterms:modified>
</cp:coreProperties>
</file>