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年期修正系数" sheetId="70"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69"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42" hidden="1">案例!$A$1:$R$51</definedName>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19">[1]定义!$F$2:$F$4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36" i="68" l="1"/>
  <c r="R36" i="68"/>
  <c r="S36" i="68"/>
  <c r="T36" i="68"/>
  <c r="D18" i="66" l="1"/>
  <c r="I18" i="66" l="1"/>
  <c r="D16" i="66" l="1"/>
  <c r="I16" i="66" l="1"/>
  <c r="E73" i="39" l="1"/>
  <c r="F73" i="39" s="1"/>
  <c r="G73" i="39" s="1"/>
  <c r="H73" i="39" s="1"/>
  <c r="I73" i="39" s="1"/>
  <c r="J73" i="39" s="1"/>
  <c r="K73" i="39" s="1"/>
  <c r="L73" i="39" s="1"/>
  <c r="M73" i="39" s="1"/>
  <c r="D73" i="39"/>
  <c r="C106" i="9" l="1"/>
  <c r="C18" i="66" l="1"/>
  <c r="B18" i="66"/>
  <c r="C17" i="66" l="1"/>
  <c r="B17" i="66"/>
  <c r="C16" i="66"/>
  <c r="B16" i="66"/>
  <c r="C15" i="66"/>
  <c r="B15" i="66"/>
  <c r="I13" i="3" l="1"/>
  <c r="K13" i="3" l="1"/>
  <c r="A3" i="3"/>
  <c r="F12" i="4"/>
  <c r="I15" i="39" l="1"/>
  <c r="G15" i="39"/>
  <c r="E15" i="39"/>
  <c r="F12" i="39"/>
  <c r="J12" i="39"/>
  <c r="H12" i="39"/>
  <c r="B9" i="70"/>
  <c r="D10" i="70"/>
  <c r="D9" i="70"/>
  <c r="F9" i="70" s="1"/>
  <c r="E3" i="70"/>
  <c r="B3" i="70"/>
  <c r="B1" i="70"/>
  <c r="C5" i="70" s="1"/>
  <c r="D5" i="70" s="1"/>
  <c r="F10" i="70"/>
  <c r="C4" i="70"/>
  <c r="D4" i="70" s="1"/>
  <c r="K15" i="21"/>
  <c r="K17" i="21"/>
  <c r="D79" i="21" s="1"/>
  <c r="E79" i="21" s="1"/>
  <c r="K19" i="21"/>
  <c r="D81" i="21" s="1"/>
  <c r="E81" i="21" s="1"/>
  <c r="K21" i="21"/>
  <c r="K23" i="21"/>
  <c r="D85" i="21" s="1"/>
  <c r="E85" i="21" s="1"/>
  <c r="D68" i="21"/>
  <c r="C67" i="21" s="1"/>
  <c r="C11" i="21"/>
  <c r="M18" i="39"/>
  <c r="N18" i="39"/>
  <c r="O18" i="39"/>
  <c r="M20" i="39"/>
  <c r="N20" i="39"/>
  <c r="O20" i="39"/>
  <c r="M22" i="39"/>
  <c r="N22" i="39"/>
  <c r="O22" i="39"/>
  <c r="M24" i="39"/>
  <c r="N24" i="39"/>
  <c r="O24" i="39"/>
  <c r="M26" i="39"/>
  <c r="N26" i="39"/>
  <c r="O26" i="39"/>
  <c r="M28" i="39"/>
  <c r="N28" i="39"/>
  <c r="O28" i="39"/>
  <c r="M30" i="39"/>
  <c r="N30" i="39"/>
  <c r="O30" i="39"/>
  <c r="M32" i="39"/>
  <c r="N32" i="39"/>
  <c r="O32" i="39"/>
  <c r="M35" i="39"/>
  <c r="N35" i="39"/>
  <c r="O35" i="39"/>
  <c r="D120" i="39"/>
  <c r="E120" i="39" s="1"/>
  <c r="F120" i="39" s="1"/>
  <c r="G120" i="39" s="1"/>
  <c r="D119" i="39"/>
  <c r="E119" i="39" s="1"/>
  <c r="F119" i="39" s="1"/>
  <c r="G119" i="39" s="1"/>
  <c r="I40" i="39"/>
  <c r="G40" i="39"/>
  <c r="E40" i="39"/>
  <c r="C40" i="39"/>
  <c r="C13" i="39"/>
  <c r="I7" i="39"/>
  <c r="G7" i="39"/>
  <c r="E7" i="39"/>
  <c r="I9" i="39"/>
  <c r="G9" i="39"/>
  <c r="E9" i="39"/>
  <c r="D82" i="39"/>
  <c r="E82" i="39" s="1"/>
  <c r="F82" i="39" s="1"/>
  <c r="G82" i="39" s="1"/>
  <c r="H82" i="39" s="1"/>
  <c r="I82" i="39" s="1"/>
  <c r="J82" i="39" s="1"/>
  <c r="K82" i="39" s="1"/>
  <c r="L82" i="39" s="1"/>
  <c r="V48" i="39"/>
  <c r="R48" i="39"/>
  <c r="F19" i="6"/>
  <c r="I8" i="68"/>
  <c r="I6" i="68"/>
  <c r="O10" i="68"/>
  <c r="I10" i="68"/>
  <c r="O9" i="68"/>
  <c r="O8" i="68"/>
  <c r="O7" i="68"/>
  <c r="O6" i="68"/>
  <c r="F20" i="6" s="1"/>
  <c r="L3" i="59"/>
  <c r="K3" i="59"/>
  <c r="J3" i="59"/>
  <c r="I3" i="59"/>
  <c r="AH5" i="59"/>
  <c r="AG5" i="59"/>
  <c r="AE5" i="59"/>
  <c r="AF5" i="59"/>
  <c r="AD5" i="59"/>
  <c r="Q5" i="59"/>
  <c r="Q6" i="59"/>
  <c r="P5" i="59"/>
  <c r="P6" i="59"/>
  <c r="O5" i="59"/>
  <c r="O6" i="59"/>
  <c r="N5" i="59"/>
  <c r="N6" i="59"/>
  <c r="AH6" i="59"/>
  <c r="AG6" i="59"/>
  <c r="AE6" i="59"/>
  <c r="AF6" i="59" s="1"/>
  <c r="AD6" i="59"/>
  <c r="Q7" i="59"/>
  <c r="P7" i="59"/>
  <c r="O7" i="59"/>
  <c r="N7" i="59"/>
  <c r="B2" i="1"/>
  <c r="G19" i="46" s="1"/>
  <c r="M19" i="46"/>
  <c r="I20" i="46"/>
  <c r="A6" i="1"/>
  <c r="A7" i="1"/>
  <c r="G1" i="15" s="1"/>
  <c r="F8" i="1"/>
  <c r="AP8" i="1" s="1"/>
  <c r="J50" i="15"/>
  <c r="J51" i="15" s="1"/>
  <c r="C1" i="65"/>
  <c r="H1" i="65"/>
  <c r="K5" i="3"/>
  <c r="D9" i="59"/>
  <c r="AH7" i="59"/>
  <c r="AG7" i="59"/>
  <c r="AE7" i="59"/>
  <c r="AF7" i="59" s="1"/>
  <c r="AD7" i="59"/>
  <c r="BB13" i="3"/>
  <c r="BD13" i="3"/>
  <c r="BE13" i="3"/>
  <c r="BF13" i="3"/>
  <c r="BG13" i="3"/>
  <c r="BH13" i="3"/>
  <c r="BI13" i="3"/>
  <c r="BJ13" i="3"/>
  <c r="BK13" i="3"/>
  <c r="BM13" i="3"/>
  <c r="BN13" i="3"/>
  <c r="BO13" i="3"/>
  <c r="BP13" i="3"/>
  <c r="BQ13" i="3"/>
  <c r="BR13" i="3"/>
  <c r="BS13" i="3"/>
  <c r="BT13" i="3"/>
  <c r="BL13" i="3"/>
  <c r="H13" i="3"/>
  <c r="AE8" i="59"/>
  <c r="AF8" i="59" s="1"/>
  <c r="AG8" i="59"/>
  <c r="AH8" i="59"/>
  <c r="AD8" i="59"/>
  <c r="Q8" i="59"/>
  <c r="P8" i="59"/>
  <c r="O8" i="59"/>
  <c r="N8" i="59"/>
  <c r="N9" i="59"/>
  <c r="Q9" i="59"/>
  <c r="P9" i="59"/>
  <c r="O9" i="59"/>
  <c r="L4" i="9"/>
  <c r="A30" i="51" s="1"/>
  <c r="M4" i="9"/>
  <c r="A30" i="64"/>
  <c r="K59" i="15"/>
  <c r="P75" i="15" s="1"/>
  <c r="Q74" i="44"/>
  <c r="Q61" i="44"/>
  <c r="Q60" i="44"/>
  <c r="Q53" i="44"/>
  <c r="J51" i="44"/>
  <c r="J52" i="44"/>
  <c r="M48" i="44"/>
  <c r="A16" i="55"/>
  <c r="A15" i="55"/>
  <c r="A10" i="55"/>
  <c r="A9" i="55"/>
  <c r="A8" i="55"/>
  <c r="A6" i="54"/>
  <c r="A8" i="54"/>
  <c r="A7" i="54"/>
  <c r="A27" i="51"/>
  <c r="D5" i="46"/>
  <c r="Q10" i="59"/>
  <c r="O10" i="59"/>
  <c r="N11" i="59"/>
  <c r="O11" i="59"/>
  <c r="P11" i="59"/>
  <c r="Q11" i="59"/>
  <c r="N10" i="59"/>
  <c r="P10" i="59"/>
  <c r="K75" i="9"/>
  <c r="K6" i="4"/>
  <c r="O76" i="9"/>
  <c r="L76" i="9"/>
  <c r="K76" i="9"/>
  <c r="B22" i="31"/>
  <c r="E19" i="66"/>
  <c r="F19" i="66"/>
  <c r="E20" i="66"/>
  <c r="F20" i="66"/>
  <c r="E21" i="66"/>
  <c r="F21" i="66"/>
  <c r="E22" i="66"/>
  <c r="F22" i="66"/>
  <c r="E23" i="66"/>
  <c r="F23" i="66"/>
  <c r="B3" i="66"/>
  <c r="B8" i="59"/>
  <c r="B7" i="59" s="1"/>
  <c r="B6" i="59" s="1"/>
  <c r="B5" i="59" s="1"/>
  <c r="E8" i="59"/>
  <c r="E7" i="59" s="1"/>
  <c r="E6" i="59" s="1"/>
  <c r="E5" i="59" s="1"/>
  <c r="F8" i="59"/>
  <c r="F7" i="59" s="1"/>
  <c r="F6" i="59" s="1"/>
  <c r="F5" i="59" s="1"/>
  <c r="V8"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8" i="59"/>
  <c r="C7" i="59" s="1"/>
  <c r="C3" i="65"/>
  <c r="N1" i="65"/>
  <c r="T8" i="59"/>
  <c r="D8"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c r="B40" i="50"/>
  <c r="B3" i="63"/>
  <c r="B67" i="63"/>
  <c r="I19" i="46"/>
  <c r="Q12" i="59"/>
  <c r="F12" i="59" s="1"/>
  <c r="P12" i="59"/>
  <c r="O12" i="59"/>
  <c r="C12" i="59" s="1"/>
  <c r="N12" i="59"/>
  <c r="D73" i="59"/>
  <c r="F72" i="59"/>
  <c r="F71" i="59" s="1"/>
  <c r="E72" i="59"/>
  <c r="E71" i="59"/>
  <c r="E70" i="59" s="1"/>
  <c r="C72" i="59"/>
  <c r="D72" i="59" s="1"/>
  <c r="B72" i="59"/>
  <c r="B71" i="59" s="1"/>
  <c r="F70" i="59"/>
  <c r="B70" i="59"/>
  <c r="D69" i="59"/>
  <c r="F68" i="59"/>
  <c r="F67" i="59" s="1"/>
  <c r="F66" i="59" s="1"/>
  <c r="E68" i="59"/>
  <c r="E67" i="59"/>
  <c r="E66" i="59" s="1"/>
  <c r="C68" i="59"/>
  <c r="D68" i="59" s="1"/>
  <c r="B68" i="59"/>
  <c r="B67" i="59" s="1"/>
  <c r="B66"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P25" i="59"/>
  <c r="E26" i="59"/>
  <c r="E27" i="59" s="1"/>
  <c r="E28" i="59" s="1"/>
  <c r="U28" i="59" s="1"/>
  <c r="O25" i="59"/>
  <c r="C26" i="59" s="1"/>
  <c r="N25" i="59"/>
  <c r="B26" i="59" s="1"/>
  <c r="B27" i="59" s="1"/>
  <c r="B28" i="59" s="1"/>
  <c r="S28" i="59" s="1"/>
  <c r="D25" i="59"/>
  <c r="Q24" i="59"/>
  <c r="P24" i="59"/>
  <c r="O24" i="59"/>
  <c r="N24" i="59"/>
  <c r="Q23" i="59"/>
  <c r="AB23" i="59" s="1"/>
  <c r="P23" i="59"/>
  <c r="O23" i="59"/>
  <c r="Y23" i="59"/>
  <c r="Z23" i="59" s="1"/>
  <c r="N23" i="59"/>
  <c r="X23" i="59" s="1"/>
  <c r="Q22" i="59"/>
  <c r="AB22" i="59" s="1"/>
  <c r="P22" i="59"/>
  <c r="O22" i="59"/>
  <c r="Y22" i="59" s="1"/>
  <c r="N22" i="59"/>
  <c r="X22" i="59" s="1"/>
  <c r="Q21" i="59"/>
  <c r="AB21" i="59" s="1"/>
  <c r="P21" i="59"/>
  <c r="AA21" i="59" s="1"/>
  <c r="O21" i="59"/>
  <c r="Y21" i="59" s="1"/>
  <c r="Z21" i="59" s="1"/>
  <c r="C22" i="59"/>
  <c r="N21" i="59"/>
  <c r="X21" i="59" s="1"/>
  <c r="B22" i="59"/>
  <c r="B23" i="59" s="1"/>
  <c r="B24" i="59" s="1"/>
  <c r="S24"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AB17" i="59" s="1"/>
  <c r="F18" i="59"/>
  <c r="P17" i="59"/>
  <c r="AA17" i="59" s="1"/>
  <c r="O17" i="59"/>
  <c r="Y17" i="59" s="1"/>
  <c r="Z17" i="59" s="1"/>
  <c r="C18" i="59"/>
  <c r="N17" i="59"/>
  <c r="X17" i="59" s="1"/>
  <c r="B18" i="59"/>
  <c r="B19" i="59"/>
  <c r="B20" i="59" s="1"/>
  <c r="S20" i="59" s="1"/>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C14" i="59"/>
  <c r="N13" i="59"/>
  <c r="X13" i="59" s="1"/>
  <c r="B14" i="59"/>
  <c r="D1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B15" i="59"/>
  <c r="B16" i="59"/>
  <c r="S16" i="59" s="1"/>
  <c r="E14" i="59"/>
  <c r="E15" i="59" s="1"/>
  <c r="E16" i="59" s="1"/>
  <c r="U16" i="59" s="1"/>
  <c r="B35" i="59"/>
  <c r="B36" i="59" s="1"/>
  <c r="S36" i="59" s="1"/>
  <c r="E35" i="59"/>
  <c r="E36" i="59"/>
  <c r="U36" i="59" s="1"/>
  <c r="S52" i="59"/>
  <c r="Z22" i="59"/>
  <c r="AA23" i="59"/>
  <c r="F19" i="59"/>
  <c r="F20" i="59" s="1"/>
  <c r="V20" i="59" s="1"/>
  <c r="F27" i="59"/>
  <c r="F28" i="59" s="1"/>
  <c r="V28" i="59" s="1"/>
  <c r="F39" i="59"/>
  <c r="F40" i="59" s="1"/>
  <c r="V40" i="59" s="1"/>
  <c r="F47" i="59"/>
  <c r="F48" i="59" s="1"/>
  <c r="V48" i="59" s="1"/>
  <c r="C15" i="59"/>
  <c r="D14" i="59"/>
  <c r="C23" i="59"/>
  <c r="D22" i="59"/>
  <c r="C31" i="59"/>
  <c r="D31" i="59"/>
  <c r="D30" i="59"/>
  <c r="C35" i="59"/>
  <c r="D34" i="59"/>
  <c r="C43" i="59"/>
  <c r="D42" i="59"/>
  <c r="C19" i="59"/>
  <c r="D18" i="59"/>
  <c r="E50" i="59"/>
  <c r="N51" i="59"/>
  <c r="B50" i="59"/>
  <c r="Q51" i="59"/>
  <c r="T52" i="59"/>
  <c r="O52" i="59"/>
  <c r="D52" i="59"/>
  <c r="C51" i="59"/>
  <c r="P52" i="59"/>
  <c r="U52" i="59"/>
  <c r="Q52" i="59"/>
  <c r="C55" i="59"/>
  <c r="E55" i="59"/>
  <c r="E54" i="59" s="1"/>
  <c r="D56" i="59"/>
  <c r="C59" i="59"/>
  <c r="E59" i="59"/>
  <c r="E58" i="59" s="1"/>
  <c r="D60" i="59"/>
  <c r="C63" i="59"/>
  <c r="E63" i="59"/>
  <c r="E62" i="59" s="1"/>
  <c r="D64" i="59"/>
  <c r="C67" i="59"/>
  <c r="C71" i="59"/>
  <c r="U16" i="4"/>
  <c r="S16" i="4"/>
  <c r="Q16" i="4"/>
  <c r="O16" i="4"/>
  <c r="M16" i="4"/>
  <c r="K16" i="4"/>
  <c r="P49" i="59"/>
  <c r="P50" i="59"/>
  <c r="D71" i="59"/>
  <c r="C70" i="59"/>
  <c r="D70" i="59" s="1"/>
  <c r="D63" i="59"/>
  <c r="C62" i="59"/>
  <c r="D62" i="59"/>
  <c r="D55" i="59"/>
  <c r="C54" i="59"/>
  <c r="D54" i="59" s="1"/>
  <c r="C50" i="59"/>
  <c r="O51" i="59"/>
  <c r="D51" i="59"/>
  <c r="D67" i="59"/>
  <c r="C66" i="59"/>
  <c r="D66" i="59" s="1"/>
  <c r="D59" i="59"/>
  <c r="C58" i="59"/>
  <c r="D58" i="59"/>
  <c r="N49" i="59"/>
  <c r="N50" i="59"/>
  <c r="C20" i="59"/>
  <c r="D19" i="59"/>
  <c r="D43" i="59"/>
  <c r="C44" i="59"/>
  <c r="T44" i="59" s="1"/>
  <c r="C36" i="59"/>
  <c r="D35" i="59"/>
  <c r="C24" i="59"/>
  <c r="D23" i="59"/>
  <c r="C16" i="59"/>
  <c r="D15" i="59"/>
  <c r="N16" i="4"/>
  <c r="L16" i="4"/>
  <c r="D44" i="59"/>
  <c r="T16" i="59"/>
  <c r="D16" i="59"/>
  <c r="T24" i="59"/>
  <c r="D24" i="59"/>
  <c r="T36" i="59"/>
  <c r="D36"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AA31" i="39" s="1"/>
  <c r="M31" i="39" s="1"/>
  <c r="G20" i="20"/>
  <c r="B85" i="46"/>
  <c r="C22" i="20"/>
  <c r="B65" i="46"/>
  <c r="S18" i="36"/>
  <c r="S18" i="35"/>
  <c r="S21" i="37"/>
  <c r="S21" i="34"/>
  <c r="S27" i="40"/>
  <c r="C27" i="40"/>
  <c r="C31" i="39"/>
  <c r="B54" i="46"/>
  <c r="B74" i="46"/>
  <c r="E66" i="36"/>
  <c r="H18" i="35"/>
  <c r="J18" i="35"/>
  <c r="H21" i="37"/>
  <c r="J21" i="37"/>
  <c r="E84" i="34"/>
  <c r="F84" i="34"/>
  <c r="G84" i="34" s="1"/>
  <c r="J21" i="34"/>
  <c r="H21" i="34"/>
  <c r="F21" i="33"/>
  <c r="H21" i="33"/>
  <c r="J21" i="33"/>
  <c r="H21" i="21"/>
  <c r="U21" i="21" s="1"/>
  <c r="J21" i="21"/>
  <c r="AC21" i="21" s="1"/>
  <c r="F96" i="40"/>
  <c r="H27" i="40"/>
  <c r="H31" i="39"/>
  <c r="AB31" i="39" s="1"/>
  <c r="N31" i="39" s="1"/>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G8" i="1" s="1"/>
  <c r="D9" i="1"/>
  <c r="F10" i="1"/>
  <c r="AP10" i="1" s="1"/>
  <c r="D10" i="1"/>
  <c r="C42" i="1"/>
  <c r="A12" i="1"/>
  <c r="R12" i="1"/>
  <c r="A13" i="1"/>
  <c r="B13" i="1"/>
  <c r="E13" i="1" s="1"/>
  <c r="A8" i="1"/>
  <c r="G1" i="44" s="1"/>
  <c r="A9" i="1"/>
  <c r="A10" i="1"/>
  <c r="R10" i="1" s="1"/>
  <c r="A11"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E19" i="4"/>
  <c r="F7" i="1"/>
  <c r="AP7" i="1" s="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M10" i="39" s="1"/>
  <c r="F11" i="39"/>
  <c r="AA11" i="39" s="1"/>
  <c r="M11" i="39" s="1"/>
  <c r="C25" i="39"/>
  <c r="F36" i="39"/>
  <c r="S36" i="39" s="1"/>
  <c r="F42" i="39"/>
  <c r="AA42" i="39" s="1"/>
  <c r="M42" i="39" s="1"/>
  <c r="H10" i="39"/>
  <c r="AB10" i="39" s="1"/>
  <c r="N10" i="39" s="1"/>
  <c r="H11" i="39"/>
  <c r="AB11" i="39" s="1"/>
  <c r="N11" i="39" s="1"/>
  <c r="H36" i="39"/>
  <c r="AB36" i="39" s="1"/>
  <c r="N36" i="39" s="1"/>
  <c r="H42" i="39"/>
  <c r="AB42" i="39" s="1"/>
  <c r="N42" i="39" s="1"/>
  <c r="J10" i="39"/>
  <c r="AC10" i="39"/>
  <c r="O10" i="39" s="1"/>
  <c r="J11" i="39"/>
  <c r="AC11" i="39" s="1"/>
  <c r="O11" i="39" s="1"/>
  <c r="J36" i="39"/>
  <c r="AC36" i="39" s="1"/>
  <c r="O36" i="39" s="1"/>
  <c r="J42" i="39"/>
  <c r="AC42" i="39"/>
  <c r="O42" i="39" s="1"/>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G5" i="3" s="1"/>
  <c r="BH569" i="3"/>
  <c r="BI569" i="3"/>
  <c r="BJ569" i="3"/>
  <c r="BK569" i="3"/>
  <c r="BM569" i="3"/>
  <c r="BN569" i="3"/>
  <c r="BO569" i="3"/>
  <c r="BP569" i="3"/>
  <c r="BQ569" i="3"/>
  <c r="BR569" i="3"/>
  <c r="BS569" i="3"/>
  <c r="BT569" i="3"/>
  <c r="H9" i="12"/>
  <c r="I9" i="12"/>
  <c r="J9" i="12"/>
  <c r="K9" i="12"/>
  <c r="G111" i="21"/>
  <c r="H111" i="21"/>
  <c r="B112" i="39"/>
  <c r="B114" i="39"/>
  <c r="H38" i="39" s="1"/>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E103" i="39" s="1"/>
  <c r="D101" i="39"/>
  <c r="E101" i="39" s="1"/>
  <c r="Q41" i="39"/>
  <c r="Z41" i="39"/>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B133" i="39"/>
  <c r="B131" i="39"/>
  <c r="H46" i="39" s="1"/>
  <c r="B129" i="39"/>
  <c r="D128" i="39"/>
  <c r="D124" i="39"/>
  <c r="E124" i="39" s="1"/>
  <c r="F124" i="39" s="1"/>
  <c r="G124" i="39" s="1"/>
  <c r="H124" i="39" s="1"/>
  <c r="I124" i="39" s="1"/>
  <c r="J124" i="39" s="1"/>
  <c r="K124" i="39" s="1"/>
  <c r="L124" i="39" s="1"/>
  <c r="M124" i="39" s="1"/>
  <c r="B106" i="39"/>
  <c r="F33" i="39" s="1"/>
  <c r="D99" i="39"/>
  <c r="E99" i="39" s="1"/>
  <c r="D97" i="39"/>
  <c r="E97" i="39" s="1"/>
  <c r="D95" i="39"/>
  <c r="E95" i="39" s="1"/>
  <c r="F95" i="39" s="1"/>
  <c r="G95" i="39" s="1"/>
  <c r="D93" i="39"/>
  <c r="E93" i="39" s="1"/>
  <c r="D91" i="39"/>
  <c r="E91" i="39" s="1"/>
  <c r="F91" i="39" s="1"/>
  <c r="G91" i="39" s="1"/>
  <c r="B88" i="39"/>
  <c r="F16" i="39" s="1"/>
  <c r="B86" i="39"/>
  <c r="B84" i="39"/>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U27" i="33" s="1"/>
  <c r="D87" i="33"/>
  <c r="E87" i="33" s="1"/>
  <c r="D85" i="33"/>
  <c r="E85" i="33" s="1"/>
  <c r="D81" i="33"/>
  <c r="E81" i="33" s="1"/>
  <c r="F81" i="33"/>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J67" i="21"/>
  <c r="K67" i="21"/>
  <c r="L67" i="21"/>
  <c r="M67" i="21"/>
  <c r="D69" i="21"/>
  <c r="E69" i="21" s="1"/>
  <c r="F69" i="21" s="1"/>
  <c r="G69" i="21" s="1"/>
  <c r="H69" i="21" s="1"/>
  <c r="I69" i="21" s="1"/>
  <c r="J69" i="21" s="1"/>
  <c r="K69" i="21" s="1"/>
  <c r="L69" i="21" s="1"/>
  <c r="M69" i="21" s="1"/>
  <c r="D66" i="21"/>
  <c r="E66" i="21" s="1"/>
  <c r="F66" i="21" s="1"/>
  <c r="D111" i="21"/>
  <c r="E111" i="21"/>
  <c r="F111" i="21"/>
  <c r="C111" i="21"/>
  <c r="D77" i="21"/>
  <c r="H15" i="21" s="1"/>
  <c r="B130" i="21"/>
  <c r="B128" i="21"/>
  <c r="J45" i="21" s="1"/>
  <c r="B126" i="21"/>
  <c r="J44" i="21" s="1"/>
  <c r="B98" i="21"/>
  <c r="H31" i="21" s="1"/>
  <c r="B96" i="21"/>
  <c r="B94" i="21"/>
  <c r="J29" i="21" s="1"/>
  <c r="B92" i="21"/>
  <c r="J28" i="21" s="1"/>
  <c r="B90" i="21"/>
  <c r="F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I5"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G13" i="3" s="1"/>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F38" i="21"/>
  <c r="S38" i="21" s="1"/>
  <c r="F36" i="21"/>
  <c r="S36" i="21" s="1"/>
  <c r="F39" i="21"/>
  <c r="S39" i="21" s="1"/>
  <c r="J40" i="21"/>
  <c r="W40" i="21" s="1"/>
  <c r="H35" i="21"/>
  <c r="AB35" i="21" s="1"/>
  <c r="J8" i="21"/>
  <c r="AC8" i="21" s="1"/>
  <c r="J9" i="21"/>
  <c r="AC9" i="21" s="1"/>
  <c r="H8" i="21"/>
  <c r="U8" i="21" s="1"/>
  <c r="H9" i="21"/>
  <c r="AB9" i="21" s="1"/>
  <c r="H39" i="21"/>
  <c r="AB39" i="21" s="1"/>
  <c r="J34" i="21"/>
  <c r="W34" i="21" s="1"/>
  <c r="H36" i="21"/>
  <c r="U36" i="21" s="1"/>
  <c r="F35" i="21"/>
  <c r="AA35" i="21" s="1"/>
  <c r="H26" i="21"/>
  <c r="J12" i="21"/>
  <c r="W12" i="21" s="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s="1"/>
  <c r="AB27" i="35"/>
  <c r="S10" i="40"/>
  <c r="W10" i="40"/>
  <c r="S11" i="40"/>
  <c r="U11" i="40"/>
  <c r="S36" i="40"/>
  <c r="U36" i="40"/>
  <c r="AC40" i="21"/>
  <c r="C29" i="39"/>
  <c r="U36" i="39"/>
  <c r="S42" i="39"/>
  <c r="H32" i="33"/>
  <c r="AB32" i="33" s="1"/>
  <c r="F100" i="40"/>
  <c r="F86" i="40"/>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J28" i="34"/>
  <c r="W28" i="34" s="1"/>
  <c r="S38" i="33"/>
  <c r="E113" i="33"/>
  <c r="F36" i="33"/>
  <c r="S36" i="33" s="1"/>
  <c r="F19" i="33"/>
  <c r="S19" i="33" s="1"/>
  <c r="J19"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J14" i="21"/>
  <c r="F14" i="21"/>
  <c r="AA14" i="21" s="1"/>
  <c r="H14" i="21"/>
  <c r="U14" i="21" s="1"/>
  <c r="H28" i="21"/>
  <c r="U28" i="21" s="1"/>
  <c r="H30" i="21"/>
  <c r="AB30" i="21" s="1"/>
  <c r="F30" i="21"/>
  <c r="S30" i="21" s="1"/>
  <c r="J30" i="21"/>
  <c r="W30" i="21" s="1"/>
  <c r="H46" i="21"/>
  <c r="AB46" i="21"/>
  <c r="J46" i="21"/>
  <c r="W46" i="21" s="1"/>
  <c r="F46" i="21"/>
  <c r="S46" i="21" s="1"/>
  <c r="H26" i="33"/>
  <c r="U26" i="33" s="1"/>
  <c r="H28" i="33"/>
  <c r="U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H27" i="21"/>
  <c r="AB27" i="21" s="1"/>
  <c r="J27" i="21"/>
  <c r="W27" i="21" s="1"/>
  <c r="J31" i="21"/>
  <c r="W31" i="21" s="1"/>
  <c r="F31" i="21"/>
  <c r="S31"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U46" i="21"/>
  <c r="W14" i="21"/>
  <c r="AC14" i="21"/>
  <c r="W31" i="34"/>
  <c r="S46" i="33"/>
  <c r="U36" i="37"/>
  <c r="AC13" i="36"/>
  <c r="AB45" i="33"/>
  <c r="AB31" i="33"/>
  <c r="AA27" i="33"/>
  <c r="AB27" i="33"/>
  <c r="S4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S27" i="37"/>
  <c r="U39" i="37"/>
  <c r="AC8" i="37"/>
  <c r="S25" i="37"/>
  <c r="AC36" i="34"/>
  <c r="AB8" i="34"/>
  <c r="AA13" i="33"/>
  <c r="S39" i="33"/>
  <c r="F43" i="33"/>
  <c r="AA43" i="33"/>
  <c r="AA23" i="37"/>
  <c r="S10" i="35"/>
  <c r="AB44"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54" i="3"/>
  <c r="AA36" i="35"/>
  <c r="H11" i="37"/>
  <c r="AB11" i="37"/>
  <c r="W37" i="37"/>
  <c r="AA30" i="33"/>
  <c r="S42" i="33"/>
  <c r="U32" i="33"/>
  <c r="AB17" i="37"/>
  <c r="AZ524" i="3"/>
  <c r="AZ546" i="3"/>
  <c r="AC29" i="33"/>
  <c r="AA45" i="33"/>
  <c r="AC11" i="36"/>
  <c r="AC10" i="36"/>
  <c r="AB45" i="34"/>
  <c r="AC14" i="37"/>
  <c r="AB35" i="35"/>
  <c r="S25" i="35"/>
  <c r="W44" i="33"/>
  <c r="AC30" i="33"/>
  <c r="AC29" i="37"/>
  <c r="AC32" i="36"/>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AB12" i="21"/>
  <c r="AB26" i="21"/>
  <c r="U26" i="21"/>
  <c r="F40" i="21"/>
  <c r="S40" i="21" s="1"/>
  <c r="H40" i="21"/>
  <c r="U40" i="21" s="1"/>
  <c r="E119" i="21"/>
  <c r="F119" i="21" s="1"/>
  <c r="G119" i="21" s="1"/>
  <c r="H119" i="21" s="1"/>
  <c r="I119" i="21" s="1"/>
  <c r="J119" i="21" s="1"/>
  <c r="K119" i="21" s="1"/>
  <c r="L119" i="21" s="1"/>
  <c r="M119" i="21" s="1"/>
  <c r="AA8" i="33"/>
  <c r="S8" i="33"/>
  <c r="AC8" i="33"/>
  <c r="H66" i="33"/>
  <c r="I66" i="33" s="1"/>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c r="F19" i="39"/>
  <c r="AA19" i="39" s="1"/>
  <c r="M19" i="39" s="1"/>
  <c r="F43" i="39"/>
  <c r="S43" i="39" s="1"/>
  <c r="H43" i="39"/>
  <c r="AB43" i="39" s="1"/>
  <c r="N43" i="39" s="1"/>
  <c r="J43" i="39"/>
  <c r="AC43" i="39" s="1"/>
  <c r="O43" i="39" s="1"/>
  <c r="F99" i="37"/>
  <c r="AC27" i="37"/>
  <c r="U25" i="35"/>
  <c r="S45" i="34"/>
  <c r="U31" i="34"/>
  <c r="AC40" i="37"/>
  <c r="W40" i="37"/>
  <c r="W27"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S17" i="39" s="1"/>
  <c r="H17" i="39"/>
  <c r="U17" i="39" s="1"/>
  <c r="J17" i="39"/>
  <c r="W17" i="39" s="1"/>
  <c r="F21" i="39"/>
  <c r="S21" i="39"/>
  <c r="H21" i="39"/>
  <c r="AB21" i="39" s="1"/>
  <c r="N21" i="39" s="1"/>
  <c r="J21" i="39"/>
  <c r="W21" i="39" s="1"/>
  <c r="H33" i="39"/>
  <c r="U33" i="39" s="1"/>
  <c r="J33" i="39"/>
  <c r="W33" i="39" s="1"/>
  <c r="F44" i="39"/>
  <c r="AA44" i="39" s="1"/>
  <c r="M44" i="39" s="1"/>
  <c r="S44" i="39"/>
  <c r="H44" i="39"/>
  <c r="AB44" i="39" s="1"/>
  <c r="N44" i="39" s="1"/>
  <c r="J44" i="39"/>
  <c r="AC44" i="39" s="1"/>
  <c r="O44" i="39" s="1"/>
  <c r="E128" i="39"/>
  <c r="F128" i="39"/>
  <c r="G128" i="39" s="1"/>
  <c r="H128" i="39" s="1"/>
  <c r="I128" i="39" s="1"/>
  <c r="J128" i="39" s="1"/>
  <c r="K128" i="39" s="1"/>
  <c r="L128" i="39" s="1"/>
  <c r="M128" i="39" s="1"/>
  <c r="F34" i="39"/>
  <c r="AA34" i="39" s="1"/>
  <c r="M34" i="39" s="1"/>
  <c r="H34" i="39"/>
  <c r="AB34" i="39" s="1"/>
  <c r="N34" i="39" s="1"/>
  <c r="J34" i="39"/>
  <c r="AC34" i="39" s="1"/>
  <c r="O34" i="39" s="1"/>
  <c r="F39" i="39"/>
  <c r="H39" i="39"/>
  <c r="AB39" i="39" s="1"/>
  <c r="N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S35" i="21"/>
  <c r="AB8"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M14" i="39" s="1"/>
  <c r="H14" i="39"/>
  <c r="AB14" i="39" s="1"/>
  <c r="N14" i="39" s="1"/>
  <c r="J14" i="39"/>
  <c r="AC14" i="39" s="1"/>
  <c r="O14" i="39" s="1"/>
  <c r="F15" i="40"/>
  <c r="AA15" i="40"/>
  <c r="J15" i="40"/>
  <c r="H15" i="40"/>
  <c r="AB15" i="40" s="1"/>
  <c r="E92" i="40"/>
  <c r="F92" i="40" s="1"/>
  <c r="G92" i="40" s="1"/>
  <c r="H23" i="40"/>
  <c r="U23" i="40" s="1"/>
  <c r="H41" i="40"/>
  <c r="AB41" i="40" s="1"/>
  <c r="F41" i="40"/>
  <c r="AA41" i="40" s="1"/>
  <c r="J41" i="40"/>
  <c r="W41" i="40" s="1"/>
  <c r="H36" i="33"/>
  <c r="AB36" i="33"/>
  <c r="H37" i="34"/>
  <c r="F45" i="39"/>
  <c r="AA45" i="39" s="1"/>
  <c r="H45" i="39"/>
  <c r="U45" i="39" s="1"/>
  <c r="J45" i="39"/>
  <c r="AC45" i="39" s="1"/>
  <c r="F47" i="39"/>
  <c r="AA47" i="39" s="1"/>
  <c r="H47" i="39"/>
  <c r="AB47" i="39" s="1"/>
  <c r="J47" i="39"/>
  <c r="W47" i="39" s="1"/>
  <c r="F41" i="39"/>
  <c r="S41" i="39" s="1"/>
  <c r="H41" i="39"/>
  <c r="AB41" i="39" s="1"/>
  <c r="N41" i="39" s="1"/>
  <c r="J41" i="39"/>
  <c r="AC41" i="39" s="1"/>
  <c r="O41" i="39" s="1"/>
  <c r="E94" i="40"/>
  <c r="J25" i="40"/>
  <c r="AC25" i="40" s="1"/>
  <c r="J32" i="40"/>
  <c r="AC32" i="40" s="1"/>
  <c r="H32" i="40"/>
  <c r="U32" i="40" s="1"/>
  <c r="H33" i="40"/>
  <c r="AB33" i="40" s="1"/>
  <c r="F33" i="40"/>
  <c r="AA33" i="40" s="1"/>
  <c r="J33" i="40"/>
  <c r="AC33" i="40" s="1"/>
  <c r="H35" i="40"/>
  <c r="AB35" i="40" s="1"/>
  <c r="F35" i="40"/>
  <c r="AA35" i="40" s="1"/>
  <c r="J35" i="40"/>
  <c r="AC35" i="40" s="1"/>
  <c r="J38" i="39"/>
  <c r="AC38" i="39" s="1"/>
  <c r="O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S33" i="40"/>
  <c r="AC47" i="39"/>
  <c r="U37" i="34"/>
  <c r="AB37" i="34"/>
  <c r="AC41" i="40"/>
  <c r="U41" i="40"/>
  <c r="J23" i="40"/>
  <c r="AC23" i="40"/>
  <c r="F23" i="40"/>
  <c r="S23" i="40" s="1"/>
  <c r="AC15" i="40"/>
  <c r="W15" i="40"/>
  <c r="W14"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504" i="3"/>
  <c r="AZ529" i="3"/>
  <c r="AZ537" i="3"/>
  <c r="AZ548" i="3"/>
  <c r="AB37" i="39"/>
  <c r="N37" i="39" s="1"/>
  <c r="U39" i="39"/>
  <c r="AB33" i="36"/>
  <c r="AA11" i="36"/>
  <c r="AA14" i="35"/>
  <c r="S14" i="35"/>
  <c r="G99" i="37"/>
  <c r="F33" i="37"/>
  <c r="AA33" i="37" s="1"/>
  <c r="U46" i="34"/>
  <c r="AC30" i="34"/>
  <c r="AA14" i="34"/>
  <c r="W12" i="34"/>
  <c r="U29" i="33"/>
  <c r="AC13" i="33"/>
  <c r="AA11" i="34"/>
  <c r="W32" i="33"/>
  <c r="H15" i="33"/>
  <c r="U15" i="33" s="1"/>
  <c r="AA11" i="33"/>
  <c r="U16" i="40"/>
  <c r="AB34" i="40"/>
  <c r="AB42" i="40"/>
  <c r="U42" i="40"/>
  <c r="AC16" i="40"/>
  <c r="W32" i="40"/>
  <c r="H25" i="40"/>
  <c r="AB25" i="40"/>
  <c r="F94" i="40"/>
  <c r="G94" i="40"/>
  <c r="J37" i="34"/>
  <c r="AC37" i="34" s="1"/>
  <c r="J36" i="33"/>
  <c r="W36" i="33" s="1"/>
  <c r="S41" i="40"/>
  <c r="S15" i="34"/>
  <c r="AA15" i="34"/>
  <c r="AA41" i="33"/>
  <c r="F106" i="33"/>
  <c r="G106" i="33" s="1"/>
  <c r="H106" i="33" s="1"/>
  <c r="I106" i="33" s="1"/>
  <c r="J106" i="33" s="1"/>
  <c r="K106" i="33" s="1"/>
  <c r="L106" i="33" s="1"/>
  <c r="M106" i="33" s="1"/>
  <c r="J34" i="33"/>
  <c r="AC34" i="33" s="1"/>
  <c r="U30" i="40"/>
  <c r="W29" i="35"/>
  <c r="AA39" i="39"/>
  <c r="M39" i="39" s="1"/>
  <c r="S39" i="39"/>
  <c r="F80" i="35"/>
  <c r="G80" i="35" s="1"/>
  <c r="H80" i="35" s="1"/>
  <c r="I80" i="35" s="1"/>
  <c r="J80" i="35" s="1"/>
  <c r="K80" i="35" s="1"/>
  <c r="L80" i="35" s="1"/>
  <c r="M80" i="35" s="1"/>
  <c r="W14" i="35"/>
  <c r="F90" i="34"/>
  <c r="G90" i="34"/>
  <c r="H90" i="34" s="1"/>
  <c r="I90" i="34" s="1"/>
  <c r="J90" i="34" s="1"/>
  <c r="K90" i="34" s="1"/>
  <c r="L90" i="34" s="1"/>
  <c r="M90" i="34" s="1"/>
  <c r="F27" i="34"/>
  <c r="S27" i="34"/>
  <c r="F32" i="37"/>
  <c r="S32" i="37" s="1"/>
  <c r="U11" i="35"/>
  <c r="AB11" i="35"/>
  <c r="S46" i="34"/>
  <c r="U32" i="34"/>
  <c r="U14" i="34"/>
  <c r="AC14" i="34"/>
  <c r="U12" i="34"/>
  <c r="AB13" i="33"/>
  <c r="F17" i="34"/>
  <c r="AA17" i="34"/>
  <c r="J17" i="34"/>
  <c r="AC17" i="34"/>
  <c r="H11" i="34"/>
  <c r="AB11" i="34"/>
  <c r="J35" i="33"/>
  <c r="W35" i="33"/>
  <c r="S32" i="33"/>
  <c r="AC15" i="33"/>
  <c r="H11" i="33"/>
  <c r="U11" i="33"/>
  <c r="H10" i="33"/>
  <c r="U10" i="33"/>
  <c r="J10" i="33"/>
  <c r="AC10" i="33" s="1"/>
  <c r="U11" i="37"/>
  <c r="AC16" i="35"/>
  <c r="AC13" i="40"/>
  <c r="J11" i="34"/>
  <c r="W11" i="34"/>
  <c r="S17" i="34"/>
  <c r="AC36" i="33"/>
  <c r="F25" i="40"/>
  <c r="AA25" i="40"/>
  <c r="J11" i="33"/>
  <c r="W11" i="33"/>
  <c r="H33" i="37"/>
  <c r="AB33" i="37"/>
  <c r="AC15" i="34"/>
  <c r="U20" i="35"/>
  <c r="AB20" i="35"/>
  <c r="W23" i="40"/>
  <c r="AP11" i="1"/>
  <c r="B11" i="1"/>
  <c r="E11" i="1"/>
  <c r="K11" i="1"/>
  <c r="M11" i="1" s="1"/>
  <c r="O11" i="1" s="1"/>
  <c r="P11" i="1" s="1"/>
  <c r="B9" i="1"/>
  <c r="E9" i="1"/>
  <c r="K9" i="1"/>
  <c r="M9" i="1" s="1"/>
  <c r="O9" i="1" s="1"/>
  <c r="P9" i="1" s="1"/>
  <c r="B7" i="1"/>
  <c r="E7" i="1"/>
  <c r="K7" i="1"/>
  <c r="M7" i="1" s="1"/>
  <c r="C20" i="43"/>
  <c r="G11" i="1"/>
  <c r="M22" i="44"/>
  <c r="F32" i="15"/>
  <c r="F59" i="15" s="1"/>
  <c r="F29" i="12"/>
  <c r="F70" i="9"/>
  <c r="D86" i="9"/>
  <c r="M20" i="44"/>
  <c r="F31" i="43"/>
  <c r="C31" i="43" s="1"/>
  <c r="F30" i="44"/>
  <c r="C30" i="44"/>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16" i="35"/>
  <c r="AC10" i="35"/>
  <c r="U9"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H99" i="37"/>
  <c r="I99" i="37" s="1"/>
  <c r="J99" i="37"/>
  <c r="K99" i="37" s="1"/>
  <c r="L99" i="37" s="1"/>
  <c r="M99" i="37" s="1"/>
  <c r="S29" i="37"/>
  <c r="J19" i="37"/>
  <c r="AC19" i="37"/>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J25" i="33"/>
  <c r="W25" i="33" s="1"/>
  <c r="F87" i="33"/>
  <c r="G87" i="33" s="1"/>
  <c r="H87" i="33"/>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U35" i="21"/>
  <c r="AC26" i="21"/>
  <c r="J15" i="21"/>
  <c r="W15" i="21" s="1"/>
  <c r="AB21" i="21"/>
  <c r="AA30" i="21"/>
  <c r="U33" i="40"/>
  <c r="U15" i="40"/>
  <c r="S14" i="40"/>
  <c r="S15" i="40"/>
  <c r="AB13" i="40"/>
  <c r="S16" i="40"/>
  <c r="W11" i="40"/>
  <c r="AA21" i="40"/>
  <c r="U21" i="40"/>
  <c r="W25" i="40"/>
  <c r="U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W21" i="40"/>
  <c r="AB40" i="40"/>
  <c r="U10" i="40"/>
  <c r="U27" i="40"/>
  <c r="AB27" i="40"/>
  <c r="AB45" i="39"/>
  <c r="AA21" i="39"/>
  <c r="M21" i="39" s="1"/>
  <c r="U11" i="39"/>
  <c r="U31" i="39"/>
  <c r="S22" i="31"/>
  <c r="R22" i="31" s="1"/>
  <c r="D18" i="9"/>
  <c r="M44" i="9"/>
  <c r="M43" i="9"/>
  <c r="B22" i="63"/>
  <c r="M20" i="15"/>
  <c r="D96" i="9"/>
  <c r="F28" i="15"/>
  <c r="C28" i="15"/>
  <c r="M18" i="15"/>
  <c r="A18" i="64"/>
  <c r="B74" i="63" s="1"/>
  <c r="C53" i="10"/>
  <c r="A25" i="64" s="1"/>
  <c r="A18" i="51"/>
  <c r="B14" i="63" s="1"/>
  <c r="BA16" i="3"/>
  <c r="BA17" i="3"/>
  <c r="AZ17" i="3"/>
  <c r="F3" i="35"/>
  <c r="K1" i="43"/>
  <c r="K1" i="12"/>
  <c r="AZ15" i="3"/>
  <c r="BK5" i="3"/>
  <c r="BO5" i="3"/>
  <c r="BP5" i="3"/>
  <c r="BN5" i="3"/>
  <c r="BL18" i="3"/>
  <c r="AZ18" i="3"/>
  <c r="BD5" i="3"/>
  <c r="BR5" i="3"/>
  <c r="G28" i="6" s="1"/>
  <c r="BS5" i="3"/>
  <c r="BQ5" i="3"/>
  <c r="BL16" i="3"/>
  <c r="BL5" i="3" s="1"/>
  <c r="BM5" i="3"/>
  <c r="F29" i="6" s="1"/>
  <c r="H48" i="46"/>
  <c r="H52" i="46"/>
  <c r="H53" i="46"/>
  <c r="G28" i="12"/>
  <c r="D24" i="44"/>
  <c r="G27" i="12"/>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A4" i="64"/>
  <c r="A4" i="51"/>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C24" i="9"/>
  <c r="C25" i="9"/>
  <c r="G9" i="1"/>
  <c r="B6" i="63"/>
  <c r="L5" i="54"/>
  <c r="B39" i="63"/>
  <c r="K5" i="54"/>
  <c r="B38" i="63"/>
  <c r="T41" i="4"/>
  <c r="A17" i="64"/>
  <c r="B46" i="50"/>
  <c r="B4" i="63"/>
  <c r="C46" i="36"/>
  <c r="D46" i="36"/>
  <c r="C59" i="34"/>
  <c r="D59" i="34"/>
  <c r="E59" i="34" s="1"/>
  <c r="C48" i="35"/>
  <c r="D48" i="35" s="1"/>
  <c r="C52" i="37"/>
  <c r="D52" i="37" s="1"/>
  <c r="C67" i="40"/>
  <c r="D65" i="40"/>
  <c r="P24" i="46"/>
  <c r="B68" i="40" s="1"/>
  <c r="P25" i="46"/>
  <c r="B73" i="39" s="1"/>
  <c r="P23" i="46"/>
  <c r="P21" i="46"/>
  <c r="P22" i="46"/>
  <c r="C72" i="39"/>
  <c r="D70" i="39"/>
  <c r="O19" i="46"/>
  <c r="K17" i="4"/>
  <c r="A22" i="51"/>
  <c r="B16" i="63" s="1"/>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C15" i="43" s="1"/>
  <c r="O12" i="1"/>
  <c r="P12" i="1" s="1"/>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AC27" i="21"/>
  <c r="G96" i="40"/>
  <c r="J27" i="40"/>
  <c r="W27" i="40" s="1"/>
  <c r="W37" i="40"/>
  <c r="S17" i="40"/>
  <c r="W30" i="40"/>
  <c r="S34" i="40"/>
  <c r="U17" i="40"/>
  <c r="U38" i="40"/>
  <c r="S40" i="40"/>
  <c r="S42" i="40"/>
  <c r="J31" i="39"/>
  <c r="AC31" i="39" s="1"/>
  <c r="O31" i="39" s="1"/>
  <c r="S45" i="39"/>
  <c r="AB33" i="39"/>
  <c r="N33" i="39" s="1"/>
  <c r="W42" i="39"/>
  <c r="W36" i="39"/>
  <c r="AC37" i="39"/>
  <c r="O37" i="39" s="1"/>
  <c r="U14" i="39"/>
  <c r="W45" i="39"/>
  <c r="W10"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B20" i="31"/>
  <c r="B21" i="31"/>
  <c r="A17" i="51"/>
  <c r="B13" i="63"/>
  <c r="E5" i="6"/>
  <c r="D21" i="12" s="1"/>
  <c r="AT6" i="3"/>
  <c r="G29" i="6"/>
  <c r="G30" i="6"/>
  <c r="G31" i="6" s="1"/>
  <c r="AZ16" i="3"/>
  <c r="F30" i="6"/>
  <c r="E28" i="6"/>
  <c r="H70" i="46"/>
  <c r="H72" i="46"/>
  <c r="A9" i="64"/>
  <c r="A9" i="51"/>
  <c r="B9" i="63" s="1"/>
  <c r="A25" i="51"/>
  <c r="B18" i="63" s="1"/>
  <c r="A3" i="55"/>
  <c r="B56" i="63" s="1"/>
  <c r="E52" i="37"/>
  <c r="F52" i="37" s="1"/>
  <c r="F59" i="34"/>
  <c r="G59" i="34"/>
  <c r="H59" i="34" s="1"/>
  <c r="E48" i="35"/>
  <c r="F48" i="35"/>
  <c r="G48" i="35" s="1"/>
  <c r="E46" i="36"/>
  <c r="F46" i="36"/>
  <c r="G46" i="36" s="1"/>
  <c r="D72" i="39"/>
  <c r="E70" i="39"/>
  <c r="D67" i="40"/>
  <c r="E65" i="40"/>
  <c r="E4" i="4"/>
  <c r="C4" i="4"/>
  <c r="G66" i="36"/>
  <c r="J18" i="36"/>
  <c r="AC18" i="36" s="1"/>
  <c r="AE8" i="1"/>
  <c r="AE6" i="1"/>
  <c r="F33" i="44"/>
  <c r="F31" i="15"/>
  <c r="F58" i="15"/>
  <c r="M17" i="15"/>
  <c r="M19" i="44"/>
  <c r="W18" i="36"/>
  <c r="AG6" i="1"/>
  <c r="E29" i="6"/>
  <c r="K15" i="1" s="1"/>
  <c r="L20" i="6"/>
  <c r="K14" i="1"/>
  <c r="M14" i="1" s="1"/>
  <c r="E30" i="6"/>
  <c r="L19" i="6"/>
  <c r="L27" i="6" s="1"/>
  <c r="B21" i="55"/>
  <c r="B72" i="63" s="1"/>
  <c r="B20" i="55"/>
  <c r="B70" i="63" s="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s="1"/>
  <c r="N67" i="40" s="1"/>
  <c r="L67" i="40"/>
  <c r="N70" i="39"/>
  <c r="N72" i="39" s="1"/>
  <c r="M72" i="39"/>
  <c r="C45" i="9"/>
  <c r="H14" i="66" s="1"/>
  <c r="B7" i="66" s="1"/>
  <c r="K31" i="9"/>
  <c r="K32" i="9"/>
  <c r="N76" i="9"/>
  <c r="F43" i="15"/>
  <c r="M22" i="15"/>
  <c r="F11" i="67"/>
  <c r="F42" i="15"/>
  <c r="N6" i="65"/>
  <c r="M24" i="15"/>
  <c r="M30" i="44"/>
  <c r="F40" i="15"/>
  <c r="L47" i="15"/>
  <c r="F37" i="44"/>
  <c r="M6" i="15"/>
  <c r="L49" i="44"/>
  <c r="F18" i="44"/>
  <c r="F43" i="44"/>
  <c r="J3" i="65"/>
  <c r="F14" i="67"/>
  <c r="N3" i="65"/>
  <c r="I4" i="65"/>
  <c r="M26" i="44"/>
  <c r="E10" i="67"/>
  <c r="F10" i="44"/>
  <c r="F40" i="44"/>
  <c r="F37" i="15"/>
  <c r="M26" i="15"/>
  <c r="F46" i="44"/>
  <c r="L48" i="44"/>
  <c r="J36" i="15"/>
  <c r="N4" i="65"/>
  <c r="E14" i="67"/>
  <c r="N7" i="65"/>
  <c r="F8" i="44"/>
  <c r="M9" i="15"/>
  <c r="B9" i="67"/>
  <c r="E8" i="67"/>
  <c r="L48" i="15"/>
  <c r="F38" i="15"/>
  <c r="B8" i="67"/>
  <c r="F26" i="15"/>
  <c r="F16" i="15"/>
  <c r="M23" i="15"/>
  <c r="M31" i="44"/>
  <c r="F9" i="15"/>
  <c r="I5" i="65"/>
  <c r="J4" i="65"/>
  <c r="M29" i="44"/>
  <c r="F10" i="67"/>
  <c r="M11" i="44"/>
  <c r="B12" i="67"/>
  <c r="N5" i="65"/>
  <c r="J7" i="65"/>
  <c r="M10" i="44"/>
  <c r="M27" i="15"/>
  <c r="C19" i="44"/>
  <c r="M8" i="44"/>
  <c r="F7" i="15"/>
  <c r="F8" i="67"/>
  <c r="F9" i="67"/>
  <c r="F6" i="15"/>
  <c r="I6" i="65"/>
  <c r="E11" i="67"/>
  <c r="B11" i="67"/>
  <c r="F8" i="15"/>
  <c r="M25" i="44"/>
  <c r="E9" i="67"/>
  <c r="J17" i="44"/>
  <c r="J15" i="15"/>
  <c r="F28" i="44"/>
  <c r="M8" i="15"/>
  <c r="J5" i="65"/>
  <c r="M28" i="44"/>
  <c r="F13" i="67"/>
  <c r="M23" i="44"/>
  <c r="B10" i="67"/>
  <c r="F13" i="15"/>
  <c r="I7" i="65"/>
  <c r="F36" i="15"/>
  <c r="M24" i="44"/>
  <c r="F38" i="44"/>
  <c r="E13" i="67"/>
  <c r="B14" i="67"/>
  <c r="J6" i="65"/>
  <c r="I3" i="65"/>
  <c r="F9" i="44"/>
  <c r="F15" i="44"/>
  <c r="F45" i="44"/>
  <c r="E12" i="67"/>
  <c r="F39" i="44"/>
  <c r="F11" i="44"/>
  <c r="M29" i="15"/>
  <c r="B13" i="67"/>
  <c r="M28" i="15"/>
  <c r="F12" i="67"/>
  <c r="I1" i="65" l="1"/>
  <c r="K77" i="9"/>
  <c r="K79" i="9" s="1"/>
  <c r="K81" i="9" s="1"/>
  <c r="D12" i="11"/>
  <c r="C12" i="11" s="1"/>
  <c r="Q16" i="1"/>
  <c r="F18" i="11" s="1"/>
  <c r="C18" i="11" s="1"/>
  <c r="H16" i="1"/>
  <c r="O14" i="1"/>
  <c r="P14" i="1" s="1"/>
  <c r="O7" i="1"/>
  <c r="P7" i="1" s="1"/>
  <c r="M16" i="1"/>
  <c r="BC13" i="3"/>
  <c r="BC5" i="3" s="1"/>
  <c r="I5" i="3"/>
  <c r="K16" i="1"/>
  <c r="O6" i="1"/>
  <c r="P6" i="1" s="1"/>
  <c r="C15" i="12" s="1"/>
  <c r="C16" i="70"/>
  <c r="C13" i="70"/>
  <c r="C3" i="70"/>
  <c r="D3" i="70" s="1"/>
  <c r="B13" i="70"/>
  <c r="B16" i="70"/>
  <c r="C16" i="46"/>
  <c r="C5" i="46" s="1"/>
  <c r="O40" i="9"/>
  <c r="R7" i="54" s="1"/>
  <c r="B52" i="63" s="1"/>
  <c r="M67" i="40"/>
  <c r="H46" i="36"/>
  <c r="I46" i="36" s="1"/>
  <c r="J46" i="36" s="1"/>
  <c r="K46" i="36" s="1"/>
  <c r="L46" i="36" s="1"/>
  <c r="M46" i="36" s="1"/>
  <c r="N46" i="36" s="1"/>
  <c r="O46" i="36" s="1"/>
  <c r="F7" i="36"/>
  <c r="J7" i="36"/>
  <c r="H48" i="35"/>
  <c r="I48" i="35" s="1"/>
  <c r="J48" i="35" s="1"/>
  <c r="K48" i="35" s="1"/>
  <c r="L48" i="35" s="1"/>
  <c r="M48" i="35" s="1"/>
  <c r="N48" i="35" s="1"/>
  <c r="O48" i="35" s="1"/>
  <c r="H7" i="35"/>
  <c r="I59" i="34"/>
  <c r="J59" i="34" s="1"/>
  <c r="K59" i="34" s="1"/>
  <c r="L59" i="34" s="1"/>
  <c r="M59" i="34" s="1"/>
  <c r="N59" i="34" s="1"/>
  <c r="O59" i="34" s="1"/>
  <c r="F7" i="34"/>
  <c r="G52" i="37"/>
  <c r="H52" i="37" s="1"/>
  <c r="I52" i="37" s="1"/>
  <c r="J52" i="37" s="1"/>
  <c r="K52" i="37" s="1"/>
  <c r="L52" i="37" s="1"/>
  <c r="M52" i="37" s="1"/>
  <c r="N52" i="37" s="1"/>
  <c r="O52" i="37" s="1"/>
  <c r="H7" i="37"/>
  <c r="F7" i="37"/>
  <c r="J7" i="37"/>
  <c r="H7" i="36"/>
  <c r="J7" i="35"/>
  <c r="H7" i="34"/>
  <c r="J7" i="34"/>
  <c r="E69" i="46"/>
  <c r="B67" i="46" s="1"/>
  <c r="AB25" i="33"/>
  <c r="U25" i="33"/>
  <c r="AZ488" i="3"/>
  <c r="AZ558" i="3"/>
  <c r="AA27" i="21"/>
  <c r="S27" i="21"/>
  <c r="U31" i="21"/>
  <c r="AB31" i="21"/>
  <c r="W45" i="21"/>
  <c r="AC45" i="21"/>
  <c r="W33" i="36"/>
  <c r="AC33" i="36"/>
  <c r="P10" i="1"/>
  <c r="H71" i="46"/>
  <c r="H76" i="46"/>
  <c r="H77" i="46"/>
  <c r="H69" i="46"/>
  <c r="W33" i="37"/>
  <c r="AC33" i="37"/>
  <c r="AZ520" i="3"/>
  <c r="D58" i="33"/>
  <c r="AA28" i="33"/>
  <c r="S28" i="33"/>
  <c r="S14" i="36"/>
  <c r="AA23" i="40"/>
  <c r="U35" i="40"/>
  <c r="S35" i="40"/>
  <c r="W33" i="40"/>
  <c r="AB34" i="33"/>
  <c r="W34" i="33"/>
  <c r="W37" i="34"/>
  <c r="AA32" i="37"/>
  <c r="AB14" i="35"/>
  <c r="S23" i="35"/>
  <c r="AA20" i="35"/>
  <c r="U11" i="36"/>
  <c r="AA37" i="39"/>
  <c r="M37" i="39" s="1"/>
  <c r="AA34" i="33"/>
  <c r="AB23" i="40"/>
  <c r="U47" i="39"/>
  <c r="W34" i="40"/>
  <c r="AA40" i="21"/>
  <c r="U17" i="34"/>
  <c r="AA29" i="35"/>
  <c r="S47" i="39"/>
  <c r="AB32" i="40"/>
  <c r="W35" i="40"/>
  <c r="W40" i="40"/>
  <c r="H47" i="46"/>
  <c r="AA36" i="37"/>
  <c r="U12" i="37"/>
  <c r="AC45" i="33"/>
  <c r="AC37" i="33"/>
  <c r="AC41" i="34"/>
  <c r="AC28" i="34"/>
  <c r="AC30" i="21"/>
  <c r="U30" i="33"/>
  <c r="H29" i="21"/>
  <c r="AB29" i="21" s="1"/>
  <c r="F13" i="21"/>
  <c r="AA13" i="21" s="1"/>
  <c r="J28" i="33"/>
  <c r="AA46" i="21"/>
  <c r="W40" i="33"/>
  <c r="W8" i="34"/>
  <c r="C23" i="39"/>
  <c r="W33" i="33"/>
  <c r="U33" i="33"/>
  <c r="W24" i="35"/>
  <c r="S34" i="35"/>
  <c r="G570" i="3"/>
  <c r="G7" i="21"/>
  <c r="H7" i="21" s="1"/>
  <c r="U7" i="21" s="1"/>
  <c r="I7" i="21"/>
  <c r="J7" i="21" s="1"/>
  <c r="E7" i="21"/>
  <c r="F7" i="21" s="1"/>
  <c r="S7" i="21" s="1"/>
  <c r="J9" i="36"/>
  <c r="H9" i="36"/>
  <c r="F9" i="36"/>
  <c r="J24" i="36"/>
  <c r="H24" i="36"/>
  <c r="G569" i="3"/>
  <c r="G564" i="3"/>
  <c r="G535" i="3"/>
  <c r="G528" i="3"/>
  <c r="G520" i="3"/>
  <c r="G511" i="3"/>
  <c r="G500" i="3"/>
  <c r="G490" i="3"/>
  <c r="G482" i="3"/>
  <c r="G5" i="3" s="1"/>
  <c r="B3" i="3" s="1"/>
  <c r="AZ389" i="3"/>
  <c r="AZ400" i="3"/>
  <c r="AZ404" i="3"/>
  <c r="AZ416" i="3"/>
  <c r="AZ421" i="3"/>
  <c r="AZ435" i="3"/>
  <c r="AZ440" i="3"/>
  <c r="AZ453" i="3"/>
  <c r="AZ460" i="3"/>
  <c r="AZ464" i="3"/>
  <c r="F6" i="1"/>
  <c r="O12" i="39"/>
  <c r="M12" i="39"/>
  <c r="N12" i="39"/>
  <c r="C110" i="9"/>
  <c r="AZ470" i="3"/>
  <c r="AZ476" i="3"/>
  <c r="AZ480" i="3"/>
  <c r="AZ368" i="3"/>
  <c r="AZ384" i="3"/>
  <c r="AZ386" i="3"/>
  <c r="AZ214"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6" i="3"/>
  <c r="AZ100" i="3"/>
  <c r="AZ103" i="3"/>
  <c r="AZ105" i="3"/>
  <c r="I21" i="57"/>
  <c r="D1" i="57"/>
  <c r="E10" i="57" s="1"/>
  <c r="C27" i="59"/>
  <c r="D26" i="59"/>
  <c r="D38" i="59"/>
  <c r="C39" i="59"/>
  <c r="D46" i="59"/>
  <c r="C47" i="59"/>
  <c r="G10" i="1"/>
  <c r="E18" i="59"/>
  <c r="E19" i="59" s="1"/>
  <c r="E20" i="59" s="1"/>
  <c r="U20" i="59" s="1"/>
  <c r="B12" i="59"/>
  <c r="X8" i="59"/>
  <c r="AA8" i="59"/>
  <c r="E12" i="59"/>
  <c r="B21" i="63"/>
  <c r="N4" i="63"/>
  <c r="AB8" i="59"/>
  <c r="X7" i="59"/>
  <c r="F14" i="59"/>
  <c r="F15" i="59" s="1"/>
  <c r="F16" i="59" s="1"/>
  <c r="V16" i="59" s="1"/>
  <c r="E22" i="59"/>
  <c r="E23" i="59" s="1"/>
  <c r="E24" i="59" s="1"/>
  <c r="U24" i="59" s="1"/>
  <c r="F22" i="59"/>
  <c r="F23" i="59" s="1"/>
  <c r="F24" i="59" s="1"/>
  <c r="V24" i="59" s="1"/>
  <c r="AA22" i="59"/>
  <c r="Q49" i="59"/>
  <c r="D12" i="59"/>
  <c r="T12" i="59"/>
  <c r="C11" i="59"/>
  <c r="F11" i="59"/>
  <c r="F10" i="59" s="1"/>
  <c r="V12" i="59"/>
  <c r="Y8" i="59"/>
  <c r="Z8" i="59" s="1"/>
  <c r="AA7" i="59"/>
  <c r="Y7" i="59"/>
  <c r="Z7" i="59" s="1"/>
  <c r="AB7" i="59"/>
  <c r="BA13" i="3"/>
  <c r="I4" i="6"/>
  <c r="G3" i="46" s="1"/>
  <c r="X6" i="59"/>
  <c r="AA5" i="59"/>
  <c r="A28" i="64"/>
  <c r="AA12" i="46"/>
  <c r="AE12" i="46"/>
  <c r="AI12" i="46"/>
  <c r="C6" i="59"/>
  <c r="D7" i="59"/>
  <c r="Y5" i="59"/>
  <c r="Z5" i="59" s="1"/>
  <c r="Y6" i="59"/>
  <c r="Z6" i="59" s="1"/>
  <c r="AA6" i="59"/>
  <c r="AB6" i="59"/>
  <c r="C20" i="46"/>
  <c r="AB5" i="59"/>
  <c r="X5" i="59"/>
  <c r="E55" i="39"/>
  <c r="F55" i="39" s="1"/>
  <c r="E68" i="21"/>
  <c r="H9" i="39"/>
  <c r="AB9" i="39" s="1"/>
  <c r="N9" i="39" s="1"/>
  <c r="F9" i="39"/>
  <c r="AA9" i="39" s="1"/>
  <c r="M9" i="39" s="1"/>
  <c r="J9" i="39"/>
  <c r="W9" i="39" s="1"/>
  <c r="F33" i="12"/>
  <c r="C34" i="12" s="1"/>
  <c r="D33" i="12" s="1"/>
  <c r="A11" i="55"/>
  <c r="B62" i="63" s="1"/>
  <c r="T48" i="39"/>
  <c r="U15" i="21"/>
  <c r="AB15" i="21"/>
  <c r="F15" i="21"/>
  <c r="S15" i="21" s="1"/>
  <c r="E77" i="21"/>
  <c r="F77" i="21" s="1"/>
  <c r="G77" i="21" s="1"/>
  <c r="F79" i="21"/>
  <c r="G79" i="21" s="1"/>
  <c r="H17" i="21"/>
  <c r="AB17" i="21" s="1"/>
  <c r="F17" i="21"/>
  <c r="J17" i="21"/>
  <c r="W17" i="21" s="1"/>
  <c r="H19" i="21"/>
  <c r="AB19" i="21" s="1"/>
  <c r="F81" i="21"/>
  <c r="G81" i="21" s="1"/>
  <c r="F19" i="21"/>
  <c r="J19" i="21"/>
  <c r="W19" i="21" s="1"/>
  <c r="F23" i="21"/>
  <c r="H23" i="21"/>
  <c r="U23" i="21" s="1"/>
  <c r="J23" i="21"/>
  <c r="AC23" i="21" s="1"/>
  <c r="F85" i="21"/>
  <c r="G85" i="21" s="1"/>
  <c r="H43" i="21"/>
  <c r="AB43" i="21" s="1"/>
  <c r="F37" i="21"/>
  <c r="H37" i="21"/>
  <c r="J37" i="21"/>
  <c r="H113" i="21"/>
  <c r="AA36" i="21"/>
  <c r="S34" i="21"/>
  <c r="J32" i="21"/>
  <c r="AC32" i="21" s="1"/>
  <c r="AB40" i="21"/>
  <c r="U39" i="21"/>
  <c r="AA38" i="21"/>
  <c r="AC36" i="21"/>
  <c r="AB34" i="21"/>
  <c r="AC34" i="21"/>
  <c r="S26" i="21"/>
  <c r="W21" i="21"/>
  <c r="S21" i="21"/>
  <c r="AC19" i="21"/>
  <c r="AC15" i="21"/>
  <c r="E67" i="21"/>
  <c r="F68" i="21"/>
  <c r="D67" i="21"/>
  <c r="F101" i="21"/>
  <c r="H32" i="21"/>
  <c r="AB32" i="21" s="1"/>
  <c r="P62" i="15"/>
  <c r="G21" i="43"/>
  <c r="G26" i="12"/>
  <c r="G23" i="43"/>
  <c r="G22" i="43"/>
  <c r="J42" i="21"/>
  <c r="W42" i="21" s="1"/>
  <c r="F42" i="21"/>
  <c r="AA42" i="21" s="1"/>
  <c r="H42" i="21"/>
  <c r="AB42" i="21" s="1"/>
  <c r="G123" i="21"/>
  <c r="H123" i="21" s="1"/>
  <c r="I123" i="21" s="1"/>
  <c r="J123" i="21" s="1"/>
  <c r="K123" i="21" s="1"/>
  <c r="L123" i="21" s="1"/>
  <c r="M123" i="21" s="1"/>
  <c r="AA43" i="21"/>
  <c r="W43" i="21"/>
  <c r="U43" i="21"/>
  <c r="AC44" i="21"/>
  <c r="W44" i="21"/>
  <c r="F44" i="21"/>
  <c r="H44" i="21"/>
  <c r="AB45" i="21"/>
  <c r="AC46" i="21"/>
  <c r="AA25" i="21"/>
  <c r="AC29" i="21"/>
  <c r="W29" i="21"/>
  <c r="W28" i="21"/>
  <c r="AC28" i="21"/>
  <c r="AA31" i="21"/>
  <c r="AC31" i="21"/>
  <c r="U29" i="21"/>
  <c r="AB28" i="21"/>
  <c r="F29" i="21"/>
  <c r="U30" i="21"/>
  <c r="F28" i="21"/>
  <c r="W9" i="21"/>
  <c r="U9" i="21"/>
  <c r="AC7" i="21"/>
  <c r="W7" i="21"/>
  <c r="AB7" i="21"/>
  <c r="AA7" i="21"/>
  <c r="H10" i="21"/>
  <c r="F10" i="21"/>
  <c r="S10" i="21" s="1"/>
  <c r="J10" i="21"/>
  <c r="AC10" i="21" s="1"/>
  <c r="G66" i="21"/>
  <c r="H66" i="21" s="1"/>
  <c r="I66" i="21" s="1"/>
  <c r="AC35" i="21"/>
  <c r="AB36" i="21"/>
  <c r="AC38" i="21"/>
  <c r="U38" i="21"/>
  <c r="AA39" i="21"/>
  <c r="W39" i="21"/>
  <c r="S8" i="21"/>
  <c r="W13" i="21"/>
  <c r="AC13" i="21"/>
  <c r="S13" i="21"/>
  <c r="AB14" i="21"/>
  <c r="AB13" i="21"/>
  <c r="J19" i="39"/>
  <c r="W19" i="39" s="1"/>
  <c r="H19" i="39"/>
  <c r="U19" i="39" s="1"/>
  <c r="F93" i="39"/>
  <c r="G93" i="39" s="1"/>
  <c r="S19" i="39"/>
  <c r="AC19" i="39"/>
  <c r="O19" i="39" s="1"/>
  <c r="H16" i="39"/>
  <c r="U16" i="39" s="1"/>
  <c r="H23" i="39"/>
  <c r="F97" i="39"/>
  <c r="G97" i="39" s="1"/>
  <c r="F23" i="39"/>
  <c r="AA23" i="39" s="1"/>
  <c r="M23" i="39" s="1"/>
  <c r="J23" i="39"/>
  <c r="S14" i="39"/>
  <c r="D26" i="44"/>
  <c r="C21" i="12"/>
  <c r="W11" i="39"/>
  <c r="S11" i="39"/>
  <c r="H13" i="39"/>
  <c r="AB13" i="39" s="1"/>
  <c r="N13" i="39" s="1"/>
  <c r="F83" i="39"/>
  <c r="G83" i="39" s="1"/>
  <c r="H83" i="39" s="1"/>
  <c r="I83" i="39" s="1"/>
  <c r="J83" i="39" s="1"/>
  <c r="K83" i="39" s="1"/>
  <c r="L83" i="39" s="1"/>
  <c r="M83" i="39" s="1"/>
  <c r="F13" i="39"/>
  <c r="J13" i="39"/>
  <c r="AC17" i="39"/>
  <c r="O17" i="39" s="1"/>
  <c r="AB17" i="39"/>
  <c r="N17" i="39" s="1"/>
  <c r="AA17" i="39"/>
  <c r="M17" i="39" s="1"/>
  <c r="U21" i="39"/>
  <c r="AC21" i="39"/>
  <c r="O21" i="39" s="1"/>
  <c r="J25" i="39"/>
  <c r="F99" i="39"/>
  <c r="G99" i="39" s="1"/>
  <c r="H25" i="39"/>
  <c r="U25" i="39" s="1"/>
  <c r="F25" i="39"/>
  <c r="AA25" i="39" s="1"/>
  <c r="M25" i="39" s="1"/>
  <c r="AB25" i="39"/>
  <c r="N25" i="39" s="1"/>
  <c r="S25" i="39"/>
  <c r="H27" i="39"/>
  <c r="F101" i="39"/>
  <c r="G101" i="39" s="1"/>
  <c r="F27" i="39"/>
  <c r="S27" i="39" s="1"/>
  <c r="J27" i="39"/>
  <c r="AC27" i="39" s="1"/>
  <c r="O27" i="39" s="1"/>
  <c r="AA27" i="39"/>
  <c r="M27" i="39" s="1"/>
  <c r="W27" i="39"/>
  <c r="H29" i="39"/>
  <c r="F103" i="39"/>
  <c r="G103" i="39" s="1"/>
  <c r="J29" i="39"/>
  <c r="AC29" i="39" s="1"/>
  <c r="O29" i="39" s="1"/>
  <c r="F29" i="39"/>
  <c r="AA29" i="39" s="1"/>
  <c r="M29" i="39" s="1"/>
  <c r="W29" i="39"/>
  <c r="S29" i="39"/>
  <c r="W31" i="39"/>
  <c r="S31" i="39"/>
  <c r="S33" i="39"/>
  <c r="AA33" i="39"/>
  <c r="M33" i="39" s="1"/>
  <c r="AC33" i="39"/>
  <c r="O33" i="39" s="1"/>
  <c r="W34" i="39"/>
  <c r="S34" i="39"/>
  <c r="U34" i="39"/>
  <c r="U38" i="39"/>
  <c r="AB38" i="39"/>
  <c r="N38" i="39" s="1"/>
  <c r="W38" i="39"/>
  <c r="F38" i="39"/>
  <c r="AA36" i="39"/>
  <c r="M36" i="39" s="1"/>
  <c r="AC39" i="39"/>
  <c r="O39" i="39" s="1"/>
  <c r="U41" i="39"/>
  <c r="W41" i="39"/>
  <c r="AA41" i="39"/>
  <c r="M41" i="39" s="1"/>
  <c r="W44" i="39"/>
  <c r="U44" i="39"/>
  <c r="W43" i="39"/>
  <c r="AA43" i="39"/>
  <c r="M43" i="39" s="1"/>
  <c r="U43" i="39"/>
  <c r="C118" i="39"/>
  <c r="G118" i="39"/>
  <c r="E118" i="39"/>
  <c r="D118" i="39"/>
  <c r="F40" i="39"/>
  <c r="AA40" i="39" s="1"/>
  <c r="M40" i="39" s="1"/>
  <c r="H40" i="39"/>
  <c r="J40" i="39"/>
  <c r="AB46" i="39"/>
  <c r="U46" i="39"/>
  <c r="J46" i="39"/>
  <c r="F46" i="39"/>
  <c r="AA16" i="39"/>
  <c r="M16" i="39" s="1"/>
  <c r="S16" i="39"/>
  <c r="J16" i="39"/>
  <c r="AP6" i="1"/>
  <c r="AP16" i="1" s="1"/>
  <c r="F22" i="11" s="1"/>
  <c r="G6" i="1"/>
  <c r="G7" i="1"/>
  <c r="J15" i="39"/>
  <c r="F15" i="39"/>
  <c r="E7" i="52"/>
  <c r="G55" i="39"/>
  <c r="H55" i="39" s="1"/>
  <c r="I55" i="39"/>
  <c r="J55" i="39" s="1"/>
  <c r="B11" i="52"/>
  <c r="E4" i="52"/>
  <c r="B14" i="52"/>
  <c r="B22" i="52"/>
  <c r="B5" i="52"/>
  <c r="E5" i="52"/>
  <c r="E10" i="52"/>
  <c r="B9" i="52"/>
  <c r="B16" i="52"/>
  <c r="B8" i="52"/>
  <c r="B7" i="52"/>
  <c r="B6" i="52"/>
  <c r="B23" i="52"/>
  <c r="E9" i="52"/>
  <c r="B4" i="52"/>
  <c r="B10" i="52"/>
  <c r="E11" i="52"/>
  <c r="E16" i="52"/>
  <c r="E8" i="52"/>
  <c r="B13" i="52"/>
  <c r="E21" i="52"/>
  <c r="E6" i="52"/>
  <c r="J22" i="44"/>
  <c r="F65" i="15"/>
  <c r="L58" i="15"/>
  <c r="L59" i="15"/>
  <c r="E20" i="46"/>
  <c r="J58" i="44"/>
  <c r="J56" i="44" s="1"/>
  <c r="J59" i="44" s="1"/>
  <c r="Q52" i="44" s="1"/>
  <c r="I55" i="44"/>
  <c r="J60" i="44"/>
  <c r="J61" i="44"/>
  <c r="Q50" i="44" s="1"/>
  <c r="L57" i="44"/>
  <c r="J54" i="44"/>
  <c r="Q73" i="44"/>
  <c r="F64" i="15"/>
  <c r="L60" i="44"/>
  <c r="L59" i="44"/>
  <c r="C36" i="44"/>
  <c r="F70" i="15"/>
  <c r="M9" i="44"/>
  <c r="J8" i="44" s="1"/>
  <c r="C6" i="15"/>
  <c r="J1" i="65"/>
  <c r="J53" i="15"/>
  <c r="L56" i="15"/>
  <c r="I54" i="15"/>
  <c r="J57" i="15"/>
  <c r="J55" i="15" s="1"/>
  <c r="J58" i="15" s="1"/>
  <c r="Q51" i="15" s="1"/>
  <c r="F50" i="15"/>
  <c r="F49" i="15"/>
  <c r="M7" i="15"/>
  <c r="J6" i="15" s="1"/>
  <c r="C29" i="44"/>
  <c r="F67" i="15"/>
  <c r="C27" i="15"/>
  <c r="C4" i="65"/>
  <c r="B39" i="1" s="1"/>
  <c r="C8" i="44"/>
  <c r="F63" i="15"/>
  <c r="Q72" i="15"/>
  <c r="E2" i="65"/>
  <c r="C18" i="44"/>
  <c r="E3" i="65"/>
  <c r="C16" i="15"/>
  <c r="F24" i="43" l="1"/>
  <c r="C26" i="43" s="1"/>
  <c r="D24" i="43" s="1"/>
  <c r="P16" i="1"/>
  <c r="C13" i="12" s="1"/>
  <c r="C14" i="12" s="1"/>
  <c r="C13" i="43"/>
  <c r="N16" i="1"/>
  <c r="C29" i="43" s="1"/>
  <c r="L16" i="1"/>
  <c r="E14" i="6"/>
  <c r="E15" i="6"/>
  <c r="E13" i="6"/>
  <c r="E8" i="6"/>
  <c r="E12" i="6"/>
  <c r="E10" i="6"/>
  <c r="E11" i="6"/>
  <c r="O16" i="1"/>
  <c r="C17" i="12"/>
  <c r="C33" i="21"/>
  <c r="AO6" i="3"/>
  <c r="E476" i="3"/>
  <c r="E411" i="3"/>
  <c r="E283" i="3"/>
  <c r="E395" i="3"/>
  <c r="E23" i="3"/>
  <c r="E250" i="3"/>
  <c r="AN6" i="3"/>
  <c r="E443" i="3"/>
  <c r="E413" i="3"/>
  <c r="E561" i="3"/>
  <c r="M6" i="3"/>
  <c r="E475" i="3"/>
  <c r="E241" i="3"/>
  <c r="E421"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297" i="3"/>
  <c r="E68" i="3"/>
  <c r="E192" i="3"/>
  <c r="E135" i="3"/>
  <c r="E114" i="3"/>
  <c r="E69" i="3"/>
  <c r="E147" i="3"/>
  <c r="E206" i="3"/>
  <c r="E348" i="3"/>
  <c r="E446" i="3"/>
  <c r="E22" i="3"/>
  <c r="E132" i="3"/>
  <c r="E93" i="3"/>
  <c r="E152" i="3"/>
  <c r="E439" i="3"/>
  <c r="E333" i="3"/>
  <c r="E394" i="3"/>
  <c r="E437" i="3"/>
  <c r="E459" i="3"/>
  <c r="E91" i="3"/>
  <c r="E55" i="3"/>
  <c r="E46" i="3"/>
  <c r="E117" i="3"/>
  <c r="E115" i="3"/>
  <c r="E282" i="3"/>
  <c r="E221" i="3"/>
  <c r="E231" i="3"/>
  <c r="E359" i="3"/>
  <c r="E457"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C23" i="46"/>
  <c r="C21" i="46" s="1"/>
  <c r="E22" i="46"/>
  <c r="C101" i="46"/>
  <c r="E101" i="46"/>
  <c r="B113" i="46"/>
  <c r="AE11" i="46"/>
  <c r="AJ11" i="46"/>
  <c r="AJ13" i="46" s="1"/>
  <c r="S6" i="46"/>
  <c r="AF11" i="46"/>
  <c r="AF13" i="46" s="1"/>
  <c r="S2" i="46"/>
  <c r="S7" i="46"/>
  <c r="Y11" i="46"/>
  <c r="Y13" i="46" s="1"/>
  <c r="AG11" i="46"/>
  <c r="AG13" i="46" s="1"/>
  <c r="AC11" i="46"/>
  <c r="AC13" i="46" s="1"/>
  <c r="F101" i="46"/>
  <c r="N101" i="46"/>
  <c r="K101" i="46"/>
  <c r="Z7" i="46"/>
  <c r="M101" i="46"/>
  <c r="D101" i="46"/>
  <c r="I101" i="46"/>
  <c r="G22" i="46"/>
  <c r="J101" i="46"/>
  <c r="G101" i="46"/>
  <c r="H22" i="46"/>
  <c r="AA11" i="46"/>
  <c r="AA13" i="46" s="1"/>
  <c r="AH11" i="46"/>
  <c r="AH13" i="46" s="1"/>
  <c r="Z11" i="46"/>
  <c r="Z13" i="46" s="1"/>
  <c r="H101" i="46"/>
  <c r="L101" i="46"/>
  <c r="AB11" i="46"/>
  <c r="AB13" i="46" s="1"/>
  <c r="S5" i="46"/>
  <c r="AI11" i="46"/>
  <c r="AI13" i="46" s="1"/>
  <c r="S3" i="46"/>
  <c r="AD11" i="46"/>
  <c r="AD13" i="46" s="1"/>
  <c r="S4" i="46"/>
  <c r="F22" i="46"/>
  <c r="N104" i="45"/>
  <c r="J22" i="46"/>
  <c r="D11" i="59"/>
  <c r="C10" i="59"/>
  <c r="D10" i="59" s="1"/>
  <c r="S12" i="59"/>
  <c r="B11" i="59"/>
  <c r="B10" i="59" s="1"/>
  <c r="C28" i="59"/>
  <c r="D27" i="59"/>
  <c r="E490" i="3"/>
  <c r="E511" i="3"/>
  <c r="E528" i="3"/>
  <c r="E564" i="3"/>
  <c r="H15" i="39"/>
  <c r="W24" i="36"/>
  <c r="AC24" i="36"/>
  <c r="AB9" i="36"/>
  <c r="U9" i="36"/>
  <c r="W28" i="33"/>
  <c r="AC28" i="33"/>
  <c r="AB7" i="34"/>
  <c r="T49" i="34" s="1"/>
  <c r="G49" i="34" s="1"/>
  <c r="U7" i="34"/>
  <c r="AB7" i="36"/>
  <c r="T36" i="36" s="1"/>
  <c r="G36" i="36" s="1"/>
  <c r="U7" i="36"/>
  <c r="AA7" i="37"/>
  <c r="R42" i="37" s="1"/>
  <c r="S7" i="37"/>
  <c r="F7" i="35"/>
  <c r="W7" i="36"/>
  <c r="AC7" i="36"/>
  <c r="V36" i="36" s="1"/>
  <c r="I36" i="36" s="1"/>
  <c r="D6" i="59"/>
  <c r="C5" i="59"/>
  <c r="AE13" i="46"/>
  <c r="AZ13" i="3"/>
  <c r="AZ5" i="3" s="1"/>
  <c r="BA5" i="3"/>
  <c r="E27" i="6" s="1"/>
  <c r="U12" i="59"/>
  <c r="E11" i="59"/>
  <c r="E10" i="59" s="1"/>
  <c r="C48" i="59"/>
  <c r="D47" i="59"/>
  <c r="C40" i="59"/>
  <c r="D39" i="59"/>
  <c r="E482" i="3"/>
  <c r="E500" i="3"/>
  <c r="E520" i="3"/>
  <c r="E535" i="3"/>
  <c r="E569" i="3"/>
  <c r="AB24" i="36"/>
  <c r="U24" i="36"/>
  <c r="AA9" i="36"/>
  <c r="S9" i="36"/>
  <c r="AC9" i="36"/>
  <c r="W9" i="36"/>
  <c r="E570" i="3"/>
  <c r="E58" i="33"/>
  <c r="W7" i="34"/>
  <c r="AC7" i="34"/>
  <c r="V49" i="34" s="1"/>
  <c r="I49" i="34" s="1"/>
  <c r="AC7" i="35"/>
  <c r="V38" i="35" s="1"/>
  <c r="I38" i="35" s="1"/>
  <c r="W7" i="35"/>
  <c r="W7" i="37"/>
  <c r="AC7" i="37"/>
  <c r="V42" i="37" s="1"/>
  <c r="I42" i="37" s="1"/>
  <c r="AB7" i="37"/>
  <c r="T42" i="37" s="1"/>
  <c r="G42" i="37" s="1"/>
  <c r="U7" i="37"/>
  <c r="S7" i="34"/>
  <c r="AA7" i="34"/>
  <c r="R49" i="34" s="1"/>
  <c r="AB7" i="35"/>
  <c r="T38" i="35" s="1"/>
  <c r="G38" i="35" s="1"/>
  <c r="U7" i="35"/>
  <c r="AA7" i="36"/>
  <c r="R36" i="36" s="1"/>
  <c r="S7" i="36"/>
  <c r="H9" i="40"/>
  <c r="J9" i="40"/>
  <c r="F9" i="40"/>
  <c r="S9" i="39"/>
  <c r="U9" i="39"/>
  <c r="AC9" i="39"/>
  <c r="O9" i="39" s="1"/>
  <c r="B40" i="1"/>
  <c r="F26" i="12" s="1"/>
  <c r="C27" i="12" s="1"/>
  <c r="D26" i="12" s="1"/>
  <c r="C32" i="12" s="1"/>
  <c r="D30" i="12" s="1"/>
  <c r="AA15" i="21"/>
  <c r="S17" i="21"/>
  <c r="AA17" i="21"/>
  <c r="AC17" i="21"/>
  <c r="U17" i="21"/>
  <c r="AA19" i="21"/>
  <c r="S19" i="21"/>
  <c r="U19" i="21"/>
  <c r="S23" i="21"/>
  <c r="AA23" i="21"/>
  <c r="W23" i="21"/>
  <c r="AB23" i="21"/>
  <c r="U37" i="21"/>
  <c r="AB37" i="21"/>
  <c r="AA37" i="21"/>
  <c r="S37" i="21"/>
  <c r="W37" i="21"/>
  <c r="AC37" i="21"/>
  <c r="W10" i="21"/>
  <c r="W32" i="21"/>
  <c r="F67" i="21"/>
  <c r="G68" i="21"/>
  <c r="F32" i="21"/>
  <c r="G101" i="21"/>
  <c r="H101" i="21" s="1"/>
  <c r="I101" i="21" s="1"/>
  <c r="J101" i="21" s="1"/>
  <c r="K101" i="21" s="1"/>
  <c r="L101" i="21" s="1"/>
  <c r="M101" i="21" s="1"/>
  <c r="U32" i="21"/>
  <c r="S42" i="21"/>
  <c r="U42" i="21"/>
  <c r="AC42" i="21"/>
  <c r="AA44" i="21"/>
  <c r="S44" i="21"/>
  <c r="AB44" i="21"/>
  <c r="U44" i="21"/>
  <c r="S29" i="21"/>
  <c r="AA29" i="21"/>
  <c r="AA28" i="21"/>
  <c r="S28" i="21"/>
  <c r="AB10" i="21"/>
  <c r="U10" i="21"/>
  <c r="AA10" i="21"/>
  <c r="U13" i="39"/>
  <c r="AB19" i="39"/>
  <c r="N19" i="39" s="1"/>
  <c r="AB16" i="39"/>
  <c r="N16" i="39" s="1"/>
  <c r="AB23" i="39"/>
  <c r="N23" i="39" s="1"/>
  <c r="U23" i="39"/>
  <c r="S23" i="39"/>
  <c r="AC23" i="39"/>
  <c r="O23" i="39" s="1"/>
  <c r="W23" i="39"/>
  <c r="S13" i="39"/>
  <c r="AA13" i="39"/>
  <c r="M13" i="39" s="1"/>
  <c r="W13" i="39"/>
  <c r="AC13" i="39"/>
  <c r="O13" i="39" s="1"/>
  <c r="AC25" i="39"/>
  <c r="O25" i="39" s="1"/>
  <c r="W25" i="39"/>
  <c r="AB27" i="39"/>
  <c r="N27" i="39" s="1"/>
  <c r="U27" i="39"/>
  <c r="U29" i="39"/>
  <c r="AB29" i="39"/>
  <c r="N29" i="39" s="1"/>
  <c r="AA38" i="39"/>
  <c r="M38" i="39" s="1"/>
  <c r="S38" i="39"/>
  <c r="F118" i="39"/>
  <c r="S40" i="39"/>
  <c r="AB40" i="39"/>
  <c r="N40" i="39" s="1"/>
  <c r="U40" i="39"/>
  <c r="W40" i="39"/>
  <c r="AC40" i="39"/>
  <c r="O40" i="39" s="1"/>
  <c r="W46" i="39"/>
  <c r="AC46" i="39"/>
  <c r="AA46" i="39"/>
  <c r="S46" i="39"/>
  <c r="W16" i="39"/>
  <c r="AC16" i="39"/>
  <c r="O16" i="39" s="1"/>
  <c r="G16" i="1"/>
  <c r="W15" i="39"/>
  <c r="AC15" i="39"/>
  <c r="O15" i="39" s="1"/>
  <c r="AA15" i="39"/>
  <c r="M15" i="39" s="1"/>
  <c r="S15" i="39"/>
  <c r="F17" i="11"/>
  <c r="C17" i="11" s="1"/>
  <c r="C19" i="11" s="1"/>
  <c r="M13" i="44"/>
  <c r="J12" i="44" s="1"/>
  <c r="J7" i="44" s="1"/>
  <c r="F11" i="15"/>
  <c r="F13" i="44"/>
  <c r="C12" i="44" s="1"/>
  <c r="C7" i="44" s="1"/>
  <c r="M11" i="15"/>
  <c r="J10" i="15" s="1"/>
  <c r="J5" i="15" s="1"/>
  <c r="F26" i="44"/>
  <c r="C26" i="44" s="1"/>
  <c r="Q74" i="15"/>
  <c r="Q61" i="15"/>
  <c r="C48" i="15"/>
  <c r="L47" i="44"/>
  <c r="Q53" i="15"/>
  <c r="F1" i="15"/>
  <c r="Q75" i="44"/>
  <c r="Q62" i="44"/>
  <c r="Q54" i="44"/>
  <c r="F1" i="44"/>
  <c r="Q76" i="44"/>
  <c r="Q63" i="44"/>
  <c r="O17" i="46"/>
  <c r="P17" i="46"/>
  <c r="N17" i="46"/>
  <c r="M17" i="46"/>
  <c r="Q75" i="15"/>
  <c r="Q62" i="15"/>
  <c r="AE7" i="1"/>
  <c r="E58" i="39" l="1"/>
  <c r="F27" i="6"/>
  <c r="F31" i="6" s="1"/>
  <c r="E16" i="6"/>
  <c r="E53" i="40"/>
  <c r="E62" i="40"/>
  <c r="E67" i="39"/>
  <c r="C17" i="43"/>
  <c r="C14" i="43"/>
  <c r="E58" i="40"/>
  <c r="E63" i="39"/>
  <c r="E64" i="39"/>
  <c r="E59" i="40"/>
  <c r="E65" i="39"/>
  <c r="E60" i="40"/>
  <c r="E66" i="39"/>
  <c r="E61" i="40"/>
  <c r="E51" i="39"/>
  <c r="AA9" i="40"/>
  <c r="R44" i="40" s="1"/>
  <c r="S9" i="40"/>
  <c r="AB9" i="40"/>
  <c r="T44" i="40" s="1"/>
  <c r="G44" i="40" s="1"/>
  <c r="U9" i="40"/>
  <c r="E36" i="36"/>
  <c r="R37" i="36"/>
  <c r="G42" i="35"/>
  <c r="H42" i="35" s="1"/>
  <c r="G43" i="35"/>
  <c r="H43" i="35" s="1"/>
  <c r="G47" i="37"/>
  <c r="H47" i="37" s="1"/>
  <c r="G46" i="37"/>
  <c r="H46" i="37" s="1"/>
  <c r="I42" i="35"/>
  <c r="J42" i="35" s="1"/>
  <c r="F58" i="33"/>
  <c r="T40" i="59"/>
  <c r="D40" i="59"/>
  <c r="T48" i="59"/>
  <c r="D48" i="59"/>
  <c r="AY6" i="3"/>
  <c r="E3" i="6"/>
  <c r="D5" i="59"/>
  <c r="M20" i="46"/>
  <c r="C19" i="46" s="1"/>
  <c r="AB15" i="39"/>
  <c r="N15" i="39" s="1"/>
  <c r="G51" i="39" s="1"/>
  <c r="U15" i="39"/>
  <c r="T28" i="59"/>
  <c r="D28" i="59"/>
  <c r="L106" i="46"/>
  <c r="L107" i="46"/>
  <c r="L109" i="46"/>
  <c r="L103" i="46"/>
  <c r="L102" i="46"/>
  <c r="L105" i="46"/>
  <c r="L104" i="46"/>
  <c r="G104" i="46"/>
  <c r="G102" i="46"/>
  <c r="G107" i="46"/>
  <c r="G109" i="46"/>
  <c r="G105" i="46"/>
  <c r="G103" i="46"/>
  <c r="G106" i="46"/>
  <c r="D102" i="46"/>
  <c r="D104" i="46"/>
  <c r="D109" i="46"/>
  <c r="D103" i="46"/>
  <c r="D106" i="46"/>
  <c r="D105" i="46"/>
  <c r="D107" i="46"/>
  <c r="N109" i="46"/>
  <c r="N105" i="46"/>
  <c r="N102" i="46"/>
  <c r="N107" i="46"/>
  <c r="N103" i="46"/>
  <c r="N104" i="46"/>
  <c r="N106" i="46"/>
  <c r="E102" i="46"/>
  <c r="E104" i="46"/>
  <c r="E106" i="46"/>
  <c r="E105" i="46"/>
  <c r="E103" i="46"/>
  <c r="E107" i="46"/>
  <c r="E109" i="46"/>
  <c r="D22" i="46"/>
  <c r="H33" i="21"/>
  <c r="J33" i="21"/>
  <c r="F33" i="21"/>
  <c r="AC9" i="40"/>
  <c r="V44" i="40" s="1"/>
  <c r="I44" i="40" s="1"/>
  <c r="W9" i="40"/>
  <c r="R50" i="34"/>
  <c r="E49" i="34"/>
  <c r="I46" i="37"/>
  <c r="J46" i="37" s="1"/>
  <c r="I53" i="34"/>
  <c r="J53" i="34" s="1"/>
  <c r="I54" i="34"/>
  <c r="J54" i="34" s="1"/>
  <c r="K19" i="6"/>
  <c r="K20" i="6"/>
  <c r="E31"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I41" i="36"/>
  <c r="J41" i="36" s="1"/>
  <c r="I40" i="36"/>
  <c r="J40" i="36" s="1"/>
  <c r="AA7" i="35"/>
  <c r="R38" i="35" s="1"/>
  <c r="S7" i="35"/>
  <c r="E42" i="37"/>
  <c r="R43" i="37"/>
  <c r="G41" i="36"/>
  <c r="H41" i="36" s="1"/>
  <c r="G40" i="36"/>
  <c r="H40" i="36" s="1"/>
  <c r="G54" i="34"/>
  <c r="H54" i="34" s="1"/>
  <c r="G53" i="34"/>
  <c r="H53" i="34" s="1"/>
  <c r="H104" i="46"/>
  <c r="H105" i="46"/>
  <c r="H106" i="46"/>
  <c r="H109" i="46"/>
  <c r="H102" i="46"/>
  <c r="H107" i="46"/>
  <c r="H103" i="46"/>
  <c r="J107" i="46"/>
  <c r="J109" i="46"/>
  <c r="J103" i="46"/>
  <c r="J102" i="46"/>
  <c r="J104" i="46"/>
  <c r="J105" i="46"/>
  <c r="J106" i="46"/>
  <c r="I102" i="46"/>
  <c r="I109" i="46"/>
  <c r="I107" i="46"/>
  <c r="I105" i="46"/>
  <c r="I104" i="46"/>
  <c r="I103" i="46"/>
  <c r="I106" i="46"/>
  <c r="M104" i="46"/>
  <c r="M103" i="46"/>
  <c r="M105" i="46"/>
  <c r="M107" i="46"/>
  <c r="M102" i="46"/>
  <c r="M109" i="46"/>
  <c r="M106" i="46"/>
  <c r="K104" i="46"/>
  <c r="K105" i="46"/>
  <c r="K107" i="46"/>
  <c r="K102" i="46"/>
  <c r="K106" i="46"/>
  <c r="K109" i="46"/>
  <c r="K103" i="46"/>
  <c r="F107" i="46"/>
  <c r="F106" i="46"/>
  <c r="F104" i="46"/>
  <c r="F109" i="46"/>
  <c r="F103" i="46"/>
  <c r="F105" i="46"/>
  <c r="F102" i="46"/>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C103" i="46"/>
  <c r="C105" i="46"/>
  <c r="C107" i="46"/>
  <c r="C104" i="46"/>
  <c r="C102" i="46"/>
  <c r="C106" i="46"/>
  <c r="C109" i="46"/>
  <c r="H6" i="3"/>
  <c r="AC6" i="3"/>
  <c r="F24" i="15"/>
  <c r="C24" i="15" s="1"/>
  <c r="F21" i="43"/>
  <c r="C23" i="43" s="1"/>
  <c r="D21" i="43" s="1"/>
  <c r="I51" i="39"/>
  <c r="H68" i="21"/>
  <c r="AA32" i="21"/>
  <c r="S32" i="21"/>
  <c r="J12" i="40"/>
  <c r="H12" i="40"/>
  <c r="F12" i="40"/>
  <c r="J26" i="44"/>
  <c r="J28" i="44"/>
  <c r="J31" i="44" s="1"/>
  <c r="J20" i="44"/>
  <c r="C40" i="44"/>
  <c r="C34" i="44"/>
  <c r="J24" i="15"/>
  <c r="J18" i="15"/>
  <c r="J26" i="15"/>
  <c r="C10" i="15"/>
  <c r="C5" i="15" s="1"/>
  <c r="C52" i="15"/>
  <c r="C47" i="15" s="1"/>
  <c r="C20" i="11"/>
  <c r="C21" i="11" s="1"/>
  <c r="C22" i="11" s="1"/>
  <c r="C23" i="11" s="1"/>
  <c r="B2" i="11" s="1"/>
  <c r="F41" i="15"/>
  <c r="L52" i="44"/>
  <c r="E68" i="39" l="1"/>
  <c r="E6" i="3"/>
  <c r="C115" i="46"/>
  <c r="D113" i="46" s="1"/>
  <c r="E47" i="37"/>
  <c r="F47" i="37" s="1"/>
  <c r="E46" i="37"/>
  <c r="F46" i="37" s="1"/>
  <c r="R39" i="35"/>
  <c r="E38" i="35"/>
  <c r="S7" i="1"/>
  <c r="M20" i="6"/>
  <c r="I20" i="6" s="1"/>
  <c r="S20" i="6" s="1"/>
  <c r="I47" i="37"/>
  <c r="J47" i="37" s="1"/>
  <c r="E54" i="34"/>
  <c r="F54" i="34" s="1"/>
  <c r="E53" i="34"/>
  <c r="F53" i="34" s="1"/>
  <c r="AA33" i="21"/>
  <c r="S33" i="21"/>
  <c r="U33" i="21"/>
  <c r="AB33" i="2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G58" i="33"/>
  <c r="E41" i="36"/>
  <c r="F41" i="36" s="1"/>
  <c r="E40" i="36"/>
  <c r="F40" i="36" s="1"/>
  <c r="G48" i="40"/>
  <c r="H48" i="40" s="1"/>
  <c r="G49" i="40"/>
  <c r="H49" i="40" s="1"/>
  <c r="R45" i="40"/>
  <c r="E44" i="40"/>
  <c r="C51" i="39"/>
  <c r="C42" i="37"/>
  <c r="C43" i="37"/>
  <c r="B3" i="37" s="1"/>
  <c r="B2" i="37" s="1"/>
  <c r="M19" i="6"/>
  <c r="K27" i="6"/>
  <c r="S6" i="1"/>
  <c r="C50" i="34"/>
  <c r="B3" i="34" s="1"/>
  <c r="B2" i="34" s="1"/>
  <c r="C49" i="34"/>
  <c r="I48" i="40"/>
  <c r="J48" i="40" s="1"/>
  <c r="I49" i="40"/>
  <c r="J49" i="40" s="1"/>
  <c r="AC33" i="21"/>
  <c r="W33" i="21"/>
  <c r="C39" i="46"/>
  <c r="C35" i="46"/>
  <c r="C33" i="46"/>
  <c r="T6" i="46"/>
  <c r="V6" i="46" s="1"/>
  <c r="T14" i="46"/>
  <c r="V14" i="46" s="1"/>
  <c r="T11" i="46"/>
  <c r="V11" i="46" s="1"/>
  <c r="T3" i="46"/>
  <c r="V3" i="46" s="1"/>
  <c r="T8" i="46"/>
  <c r="V8" i="46" s="1"/>
  <c r="T16" i="46"/>
  <c r="V16" i="46" s="1"/>
  <c r="T13" i="46"/>
  <c r="V13" i="46" s="1"/>
  <c r="C36" i="46"/>
  <c r="T2" i="46"/>
  <c r="V2" i="46" s="1"/>
  <c r="C37" i="46"/>
  <c r="C29" i="46"/>
  <c r="T7" i="46"/>
  <c r="V7" i="46" s="1"/>
  <c r="T10" i="46"/>
  <c r="V10" i="46" s="1"/>
  <c r="T5" i="46"/>
  <c r="V5" i="46" s="1"/>
  <c r="T15" i="46"/>
  <c r="V15" i="46" s="1"/>
  <c r="T4" i="46"/>
  <c r="V4" i="46" s="1"/>
  <c r="T12" i="46"/>
  <c r="V12" i="46" s="1"/>
  <c r="T9" i="46"/>
  <c r="V9" i="46" s="1"/>
  <c r="C38" i="46"/>
  <c r="C34" i="46"/>
  <c r="L38" i="9"/>
  <c r="B14" i="66" s="1"/>
  <c r="B1" i="66" s="1"/>
  <c r="D16" i="12"/>
  <c r="E6" i="6"/>
  <c r="D16" i="43"/>
  <c r="C16" i="43" s="1"/>
  <c r="C18" i="43" s="1"/>
  <c r="C19" i="43" s="1"/>
  <c r="C25" i="43" s="1"/>
  <c r="C24" i="43" s="1"/>
  <c r="C21" i="4"/>
  <c r="O5" i="54" s="1"/>
  <c r="B45" i="63" s="1"/>
  <c r="D10" i="11"/>
  <c r="D45" i="9"/>
  <c r="C37" i="36"/>
  <c r="B3" i="36" s="1"/>
  <c r="B2" i="36" s="1"/>
  <c r="C36" i="36"/>
  <c r="F68" i="15"/>
  <c r="J29" i="15"/>
  <c r="H67" i="21"/>
  <c r="I68" i="21"/>
  <c r="I67" i="21" s="1"/>
  <c r="J11" i="21"/>
  <c r="F11" i="21"/>
  <c r="H11" i="21"/>
  <c r="G67" i="21"/>
  <c r="W12" i="40"/>
  <c r="AC12" i="40"/>
  <c r="AB12" i="40"/>
  <c r="U12" i="40"/>
  <c r="U12" i="39"/>
  <c r="AB12" i="39"/>
  <c r="T49" i="39" s="1"/>
  <c r="G49" i="39" s="1"/>
  <c r="S12" i="39"/>
  <c r="AA12" i="39"/>
  <c r="R49" i="39" s="1"/>
  <c r="S12" i="40"/>
  <c r="AA12" i="40"/>
  <c r="AC12" i="39"/>
  <c r="V49" i="39" s="1"/>
  <c r="I49" i="39" s="1"/>
  <c r="W12" i="39"/>
  <c r="Q69" i="44"/>
  <c r="L58" i="44"/>
  <c r="L61" i="44" s="1"/>
  <c r="B5" i="11"/>
  <c r="B4" i="11"/>
  <c r="B3" i="11"/>
  <c r="C65" i="15"/>
  <c r="C59" i="15"/>
  <c r="Q49" i="44"/>
  <c r="Q55" i="44" s="1"/>
  <c r="Q58" i="44"/>
  <c r="Q67" i="44"/>
  <c r="C38" i="15"/>
  <c r="C32" i="15"/>
  <c r="C17" i="15"/>
  <c r="C22" i="43" l="1"/>
  <c r="C21" i="43" s="1"/>
  <c r="C28" i="43" s="1"/>
  <c r="C30" i="43" s="1"/>
  <c r="C32" i="43" s="1"/>
  <c r="B2" i="43" s="1"/>
  <c r="B5" i="43" s="1"/>
  <c r="D13" i="11"/>
  <c r="C13" i="11" s="1"/>
  <c r="D22" i="12"/>
  <c r="C22" i="12" s="1"/>
  <c r="C20" i="12" s="1"/>
  <c r="C7" i="66"/>
  <c r="E38" i="46"/>
  <c r="G38" i="46"/>
  <c r="I38" i="46" s="1"/>
  <c r="C30" i="46"/>
  <c r="E30" i="46" s="1"/>
  <c r="E29" i="46"/>
  <c r="E35" i="46"/>
  <c r="G35" i="46"/>
  <c r="I35" i="46" s="1"/>
  <c r="S16" i="1"/>
  <c r="T6" i="1"/>
  <c r="I19" i="6"/>
  <c r="M27" i="6"/>
  <c r="C45" i="40"/>
  <c r="C44" i="40"/>
  <c r="H58" i="33"/>
  <c r="T7" i="1"/>
  <c r="C38" i="35"/>
  <c r="C39" i="35"/>
  <c r="B3" i="35" s="1"/>
  <c r="B2" i="35" s="1"/>
  <c r="C16" i="12"/>
  <c r="C18" i="12" s="1"/>
  <c r="D19" i="12"/>
  <c r="C19" i="12" s="1"/>
  <c r="E34" i="46"/>
  <c r="G34" i="46"/>
  <c r="I34" i="46" s="1"/>
  <c r="G37" i="46"/>
  <c r="I37" i="46" s="1"/>
  <c r="E37" i="46"/>
  <c r="G36" i="46"/>
  <c r="I36" i="46" s="1"/>
  <c r="E36" i="46"/>
  <c r="G33" i="46"/>
  <c r="I33" i="46" s="1"/>
  <c r="E33" i="46"/>
  <c r="G39" i="46"/>
  <c r="I39" i="46" s="1"/>
  <c r="E39" i="46"/>
  <c r="E48" i="40"/>
  <c r="F48" i="40" s="1"/>
  <c r="E49" i="40"/>
  <c r="F49" i="40" s="1"/>
  <c r="K38" i="9"/>
  <c r="C14" i="66" s="1"/>
  <c r="B2" i="66" s="1"/>
  <c r="E63" i="40"/>
  <c r="H19" i="6"/>
  <c r="D19" i="6"/>
  <c r="D21" i="6"/>
  <c r="D25" i="6"/>
  <c r="D10" i="6"/>
  <c r="D13" i="6"/>
  <c r="H21" i="6"/>
  <c r="H24" i="6"/>
  <c r="D6" i="6"/>
  <c r="D23" i="6"/>
  <c r="D14" i="6"/>
  <c r="D28" i="6"/>
  <c r="D20" i="6"/>
  <c r="D8" i="6"/>
  <c r="H23" i="6"/>
  <c r="C22" i="4"/>
  <c r="D24" i="6"/>
  <c r="D26" i="6"/>
  <c r="D22" i="6"/>
  <c r="D11" i="6"/>
  <c r="D12" i="6"/>
  <c r="H20" i="6"/>
  <c r="H25" i="6"/>
  <c r="D9" i="6"/>
  <c r="D5" i="6"/>
  <c r="D29" i="6"/>
  <c r="H22" i="6"/>
  <c r="D15" i="6"/>
  <c r="H26" i="6"/>
  <c r="E45" i="9"/>
  <c r="F45" i="9"/>
  <c r="E43" i="35"/>
  <c r="F43" i="35" s="1"/>
  <c r="E42" i="35"/>
  <c r="F42" i="35" s="1"/>
  <c r="I43" i="35"/>
  <c r="J43" i="35" s="1"/>
  <c r="U11" i="21"/>
  <c r="AB11" i="21"/>
  <c r="T48" i="21" s="1"/>
  <c r="G48" i="21" s="1"/>
  <c r="AC11" i="21"/>
  <c r="V48" i="21" s="1"/>
  <c r="I48" i="21" s="1"/>
  <c r="W11" i="21"/>
  <c r="S11" i="21"/>
  <c r="AA11" i="21"/>
  <c r="R48" i="21" s="1"/>
  <c r="I53" i="39"/>
  <c r="J53" i="39" s="1"/>
  <c r="G53" i="39"/>
  <c r="H53" i="39" s="1"/>
  <c r="G54" i="39"/>
  <c r="H54" i="39" s="1"/>
  <c r="E49" i="39"/>
  <c r="R50" i="39"/>
  <c r="C33" i="15"/>
  <c r="Q59" i="44"/>
  <c r="Q64" i="44" s="1"/>
  <c r="Q68" i="44"/>
  <c r="Q77" i="44" s="1"/>
  <c r="C14" i="15"/>
  <c r="F7" i="67"/>
  <c r="R24" i="6" l="1"/>
  <c r="B3" i="43"/>
  <c r="B4" i="43"/>
  <c r="C18" i="15"/>
  <c r="C15" i="15"/>
  <c r="E4" i="67"/>
  <c r="R26" i="6"/>
  <c r="A20" i="64"/>
  <c r="A20" i="51"/>
  <c r="B15" i="63" s="1"/>
  <c r="A6" i="51"/>
  <c r="B7" i="63" s="1"/>
  <c r="A6" i="64"/>
  <c r="N5" i="54"/>
  <c r="B43" i="63" s="1"/>
  <c r="D16" i="6"/>
  <c r="D30" i="6"/>
  <c r="R23" i="6"/>
  <c r="R25" i="6"/>
  <c r="R19" i="6"/>
  <c r="D27" i="6"/>
  <c r="D31" i="6" s="1"/>
  <c r="C26" i="46"/>
  <c r="R22" i="6"/>
  <c r="R20" i="6"/>
  <c r="R7" i="1" s="1"/>
  <c r="R21" i="6"/>
  <c r="H27" i="6"/>
  <c r="D7" i="66"/>
  <c r="C23" i="12"/>
  <c r="I58" i="33"/>
  <c r="B61" i="40"/>
  <c r="F61" i="40" s="1"/>
  <c r="B56" i="40"/>
  <c r="F56" i="40" s="1"/>
  <c r="B55" i="40"/>
  <c r="F55" i="40" s="1"/>
  <c r="B60" i="40"/>
  <c r="F60" i="40" s="1"/>
  <c r="B62" i="40"/>
  <c r="F62" i="40" s="1"/>
  <c r="B53" i="40"/>
  <c r="F53" i="40" s="1"/>
  <c r="B54" i="40"/>
  <c r="F54" i="40" s="1"/>
  <c r="B58" i="40"/>
  <c r="F58" i="40" s="1"/>
  <c r="B57" i="40"/>
  <c r="F57" i="40" s="1"/>
  <c r="B59" i="40"/>
  <c r="F59" i="40" s="1"/>
  <c r="F63" i="40"/>
  <c r="B2" i="40" s="1"/>
  <c r="S19" i="6"/>
  <c r="S27" i="6" s="1"/>
  <c r="I27" i="6"/>
  <c r="T13" i="1"/>
  <c r="T9" i="1"/>
  <c r="T11" i="1"/>
  <c r="T12" i="1"/>
  <c r="T10" i="1"/>
  <c r="T8" i="1"/>
  <c r="C27" i="46"/>
  <c r="I52" i="21"/>
  <c r="J52" i="21" s="1"/>
  <c r="R49" i="21"/>
  <c r="E48" i="21"/>
  <c r="I53" i="21" s="1"/>
  <c r="J53" i="21" s="1"/>
  <c r="G52" i="21"/>
  <c r="H52" i="21" s="1"/>
  <c r="G53" i="21"/>
  <c r="H53" i="21" s="1"/>
  <c r="C50" i="39"/>
  <c r="C49" i="39"/>
  <c r="E53" i="39"/>
  <c r="F53" i="39" s="1"/>
  <c r="E54" i="39"/>
  <c r="F54" i="39" s="1"/>
  <c r="I54" i="39"/>
  <c r="J54" i="39" s="1"/>
  <c r="C60" i="15"/>
  <c r="M21" i="15"/>
  <c r="F35" i="15"/>
  <c r="E7" i="67"/>
  <c r="C16" i="44"/>
  <c r="C19" i="15" l="1"/>
  <c r="C20" i="15" s="1"/>
  <c r="C23" i="15" s="1"/>
  <c r="E3" i="67"/>
  <c r="C17" i="44"/>
  <c r="C20" i="44"/>
  <c r="J20" i="15"/>
  <c r="F62" i="15"/>
  <c r="C61" i="15" s="1"/>
  <c r="C58" i="15" s="1"/>
  <c r="C34" i="15"/>
  <c r="C31" i="15" s="1"/>
  <c r="B2" i="46"/>
  <c r="I6" i="6"/>
  <c r="I5" i="6"/>
  <c r="B4" i="40"/>
  <c r="B5" i="40"/>
  <c r="B3" i="40"/>
  <c r="J58" i="33"/>
  <c r="T16" i="1"/>
  <c r="R6" i="1"/>
  <c r="R16" i="1" s="1"/>
  <c r="R27" i="6"/>
  <c r="C48" i="21"/>
  <c r="C49" i="21"/>
  <c r="E53" i="21"/>
  <c r="F53" i="21" s="1"/>
  <c r="E52" i="21"/>
  <c r="F52" i="21" s="1"/>
  <c r="B59" i="39"/>
  <c r="F59" i="39" s="1"/>
  <c r="B58" i="39"/>
  <c r="F58" i="39" s="1"/>
  <c r="B60" i="39"/>
  <c r="F60" i="39" s="1"/>
  <c r="B66" i="39"/>
  <c r="F66" i="39" s="1"/>
  <c r="B65" i="39"/>
  <c r="F65" i="39" s="1"/>
  <c r="B61" i="39"/>
  <c r="F61" i="39" s="1"/>
  <c r="B64" i="39"/>
  <c r="F64" i="39" s="1"/>
  <c r="B67" i="39"/>
  <c r="F67" i="39" s="1"/>
  <c r="B63" i="39"/>
  <c r="F63" i="39" s="1"/>
  <c r="B62" i="39"/>
  <c r="F62" i="39" s="1"/>
  <c r="L57" i="15"/>
  <c r="L60" i="15" s="1"/>
  <c r="B7" i="67"/>
  <c r="C21" i="44" l="1"/>
  <c r="C22" i="44" s="1"/>
  <c r="C28" i="44" s="1"/>
  <c r="C26" i="15"/>
  <c r="C29" i="15" s="1"/>
  <c r="C56" i="15" s="1"/>
  <c r="C63" i="15" s="1"/>
  <c r="B2" i="67"/>
  <c r="B3" i="21"/>
  <c r="B2" i="21" s="1"/>
  <c r="C10" i="12" s="1"/>
  <c r="C8" i="12"/>
  <c r="B4" i="46"/>
  <c r="B3" i="46"/>
  <c r="D4" i="46"/>
  <c r="K58" i="33"/>
  <c r="L58" i="33" s="1"/>
  <c r="M58" i="33" s="1"/>
  <c r="N58" i="33" s="1"/>
  <c r="O58" i="33" s="1"/>
  <c r="J7" i="33" s="1"/>
  <c r="Q58" i="15"/>
  <c r="L46" i="15"/>
  <c r="F68" i="39"/>
  <c r="B2" i="39" s="1"/>
  <c r="Q67" i="15"/>
  <c r="C19" i="9"/>
  <c r="C36" i="15" l="1"/>
  <c r="J14" i="15"/>
  <c r="J22" i="15" s="1"/>
  <c r="J59" i="15"/>
  <c r="J60" i="15" s="1"/>
  <c r="Q49" i="15" s="1"/>
  <c r="J19" i="15"/>
  <c r="J17" i="15" s="1"/>
  <c r="C13" i="15"/>
  <c r="Q71" i="15" s="1"/>
  <c r="Q50" i="15"/>
  <c r="H7" i="33"/>
  <c r="AC7" i="33"/>
  <c r="V48" i="33" s="1"/>
  <c r="I48" i="33" s="1"/>
  <c r="W7" i="33"/>
  <c r="F7" i="33"/>
  <c r="C25" i="44"/>
  <c r="C31" i="44" s="1"/>
  <c r="B4" i="67"/>
  <c r="B3" i="67"/>
  <c r="L43" i="9"/>
  <c r="B4" i="39"/>
  <c r="B3" i="39"/>
  <c r="B5" i="39"/>
  <c r="C21" i="9"/>
  <c r="C20" i="9"/>
  <c r="J13" i="15" l="1"/>
  <c r="J23" i="15" s="1"/>
  <c r="J35" i="15"/>
  <c r="C55" i="15"/>
  <c r="C64" i="15" s="1"/>
  <c r="C57" i="15" s="1"/>
  <c r="C66" i="15" s="1"/>
  <c r="C67" i="15" s="1"/>
  <c r="C70" i="15" s="1"/>
  <c r="C37" i="15"/>
  <c r="C30" i="15" s="1"/>
  <c r="C39" i="15" s="1"/>
  <c r="Q70" i="15" s="1"/>
  <c r="Q69" i="15" s="1"/>
  <c r="AB7" i="33"/>
  <c r="T48" i="33" s="1"/>
  <c r="G48" i="33" s="1"/>
  <c r="U7" i="33"/>
  <c r="J16" i="44"/>
  <c r="J21" i="44"/>
  <c r="J19" i="44" s="1"/>
  <c r="Q51" i="44"/>
  <c r="C35" i="44"/>
  <c r="C33" i="44" s="1"/>
  <c r="C38" i="44"/>
  <c r="C15" i="44"/>
  <c r="J16" i="15"/>
  <c r="J25" i="15" s="1"/>
  <c r="AA7" i="33"/>
  <c r="R48" i="33" s="1"/>
  <c r="S7" i="33"/>
  <c r="I52" i="33"/>
  <c r="J52" i="33" s="1"/>
  <c r="L51" i="15"/>
  <c r="C40" i="15" l="1"/>
  <c r="C46" i="15" s="1"/>
  <c r="J39" i="15"/>
  <c r="J40" i="15" s="1"/>
  <c r="Q68" i="15"/>
  <c r="Q72" i="44"/>
  <c r="C39" i="44"/>
  <c r="C32" i="44" s="1"/>
  <c r="C42" i="44" s="1"/>
  <c r="C43" i="44"/>
  <c r="R49" i="33"/>
  <c r="E48" i="33"/>
  <c r="J24" i="44"/>
  <c r="J15" i="44"/>
  <c r="J25" i="44" s="1"/>
  <c r="G52" i="33"/>
  <c r="H52" i="33" s="1"/>
  <c r="G53" i="33"/>
  <c r="H53" i="33" s="1"/>
  <c r="Q48" i="15" l="1"/>
  <c r="Q54" i="15" s="1"/>
  <c r="B2" i="15"/>
  <c r="D10" i="12" s="1"/>
  <c r="C6" i="12" s="1"/>
  <c r="J42" i="15"/>
  <c r="J43" i="15" s="1"/>
  <c r="Q57" i="15"/>
  <c r="Q63" i="15" s="1"/>
  <c r="Q66" i="15"/>
  <c r="Q76" i="15" s="1"/>
  <c r="C43" i="15"/>
  <c r="J18" i="44"/>
  <c r="J27" i="44" s="1"/>
  <c r="E52" i="33"/>
  <c r="F52" i="33" s="1"/>
  <c r="E53" i="33"/>
  <c r="F53" i="33" s="1"/>
  <c r="I53" i="33"/>
  <c r="J53" i="33" s="1"/>
  <c r="Q71" i="44"/>
  <c r="Q70" i="44" s="1"/>
  <c r="C44" i="44"/>
  <c r="C45" i="44" s="1"/>
  <c r="B2" i="44" s="1"/>
  <c r="C49" i="33"/>
  <c r="B3" i="33" s="1"/>
  <c r="B2" i="33" s="1"/>
  <c r="C48" i="33"/>
  <c r="B3" i="15" l="1"/>
  <c r="D8" i="12" s="1"/>
  <c r="C29" i="12"/>
  <c r="C24" i="12"/>
  <c r="B3" i="44"/>
  <c r="B5" i="44"/>
  <c r="B4" i="44"/>
  <c r="C35" i="12" l="1"/>
  <c r="C33" i="12" s="1"/>
  <c r="C28" i="12"/>
  <c r="C26" i="12" s="1"/>
  <c r="C31" i="12" s="1"/>
  <c r="C30" i="12" s="1"/>
  <c r="C36" i="12" l="1"/>
  <c r="B2" i="12" s="1"/>
  <c r="D19" i="9"/>
  <c r="D22" i="9" l="1"/>
  <c r="L44" i="9"/>
  <c r="G19" i="9"/>
  <c r="B4" i="12"/>
  <c r="B5" i="12"/>
  <c r="B3" i="12"/>
  <c r="D20" i="9"/>
  <c r="D21" i="9"/>
  <c r="G20" i="9" l="1"/>
  <c r="G21" i="9"/>
  <c r="C32" i="9"/>
  <c r="G22" i="9"/>
  <c r="N43" i="9"/>
  <c r="C34" i="9" l="1"/>
  <c r="C33" i="9"/>
  <c r="C42" i="9"/>
  <c r="O38" i="9"/>
  <c r="C35" i="9"/>
  <c r="F42" i="9" s="1"/>
  <c r="O43" i="9"/>
  <c r="D63" i="9" l="1"/>
  <c r="D73" i="9" s="1"/>
  <c r="N73" i="9" s="1"/>
  <c r="D14" i="66"/>
  <c r="R5" i="54"/>
  <c r="B48" i="63" s="1"/>
  <c r="N68" i="9"/>
  <c r="C44" i="9"/>
  <c r="E42" i="9"/>
  <c r="P5" i="54" s="1"/>
  <c r="B46" i="63" s="1"/>
  <c r="M38" i="9"/>
  <c r="K27" i="9" s="1"/>
  <c r="K25" i="9"/>
  <c r="K26" i="9"/>
  <c r="D42" i="9"/>
  <c r="Q5" i="54" s="1"/>
  <c r="B47" i="63" s="1"/>
  <c r="N38" i="9"/>
  <c r="K28" i="9" s="1"/>
  <c r="D44" i="9" l="1"/>
  <c r="N69" i="9"/>
  <c r="G14" i="66"/>
  <c r="O39" i="9"/>
  <c r="E44" i="9"/>
  <c r="F44" i="9"/>
  <c r="F14" i="66"/>
  <c r="E14" i="66"/>
  <c r="D70" i="9"/>
  <c r="C111" i="9"/>
  <c r="C104" i="9" s="1"/>
  <c r="D77" i="9"/>
  <c r="N75" i="9" s="1"/>
  <c r="C90" i="9"/>
  <c r="C96" i="9"/>
  <c r="C91" i="9" s="1"/>
  <c r="C82" i="9"/>
  <c r="C81" i="9" s="1"/>
  <c r="C85" i="9" s="1"/>
  <c r="C86" i="9" s="1"/>
  <c r="D72" i="9" s="1"/>
  <c r="C103" i="9"/>
  <c r="D71" i="9"/>
  <c r="D66" i="9" s="1"/>
  <c r="N72" i="9" s="1"/>
  <c r="C97" i="9" l="1"/>
  <c r="C113" i="9"/>
  <c r="C114" i="9" s="1"/>
  <c r="E114" i="9" s="1"/>
  <c r="E115" i="9" s="1"/>
  <c r="R6" i="54"/>
  <c r="B50" i="63" s="1"/>
  <c r="K29" i="9"/>
  <c r="K30" i="9" s="1"/>
  <c r="M85" i="9"/>
  <c r="N85" i="9" s="1"/>
  <c r="M86" i="9"/>
  <c r="N86" i="9" s="1"/>
  <c r="M83" i="9"/>
  <c r="N83" i="9" s="1"/>
  <c r="M88" i="9"/>
  <c r="N88" i="9" s="1"/>
  <c r="M87" i="9"/>
  <c r="N87" i="9" s="1"/>
  <c r="M84" i="9"/>
  <c r="N84" i="9" s="1"/>
  <c r="C98" i="9"/>
  <c r="E98" i="9" s="1"/>
  <c r="E99" i="9" s="1"/>
  <c r="C99" i="9" l="1"/>
  <c r="C115" i="9"/>
  <c r="D76" i="9" s="1"/>
  <c r="D74" i="9" s="1"/>
  <c r="N74" i="9" s="1"/>
  <c r="O77" i="9" s="1"/>
  <c r="N89" i="9"/>
  <c r="O89" i="9" s="1"/>
  <c r="O78" i="9" l="1"/>
  <c r="Q77" i="9"/>
  <c r="O79" i="9"/>
  <c r="C46" i="9" s="1"/>
  <c r="K33" i="9" l="1"/>
  <c r="I14" i="66"/>
  <c r="O41" i="9"/>
  <c r="R8" i="54" s="1"/>
  <c r="B54" i="63" s="1"/>
  <c r="D46" i="9"/>
  <c r="E46" i="9"/>
  <c r="F46" i="9"/>
  <c r="O80" i="9"/>
  <c r="O81" i="9"/>
  <c r="J14" i="66" l="1"/>
  <c r="K34" i="9"/>
  <c r="J18" i="66"/>
  <c r="G18" i="66" l="1"/>
  <c r="F18" i="66"/>
  <c r="E18" i="66"/>
  <c r="J16" i="66" l="1"/>
  <c r="G16" i="66"/>
  <c r="F16" i="66"/>
  <c r="E16" i="66"/>
  <c r="D15" i="66" l="1"/>
  <c r="F15" i="66" l="1"/>
  <c r="G15" i="66"/>
  <c r="E15" i="66"/>
  <c r="I15" i="66" l="1"/>
  <c r="J15" i="66" l="1"/>
  <c r="D17" i="66" l="1"/>
  <c r="G17" i="66" s="1"/>
  <c r="B6" i="66" s="1"/>
  <c r="D6" i="66" l="1"/>
  <c r="C6" i="66"/>
  <c r="E17" i="66"/>
  <c r="F17" i="66"/>
  <c r="D24" i="66"/>
  <c r="B5" i="66"/>
  <c r="D5" i="66" l="1"/>
  <c r="C5" i="66"/>
  <c r="I17" i="66" l="1"/>
  <c r="I24" i="66" l="1"/>
  <c r="B8" i="66"/>
  <c r="J17" i="66"/>
  <c r="J24"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<sst xmlns="http://schemas.openxmlformats.org/spreadsheetml/2006/main" count="7669" uniqueCount="3381">
  <si>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</si>
  <si>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</si>
  <si>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</si>
  <si>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</si>
  <si>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</si>
  <si>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</si>
  <si>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</si>
  <si>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</si>
  <si>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</si>
  <si>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</si>
  <si>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</si>
  <si>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</si>
  <si>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</si>
  <si>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</si>
  <si>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</si>
  <si>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</si>
  <si>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</si>
  <si>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</si>
  <si>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</si>
  <si>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</si>
  <si>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</si>
  <si>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</si>
  <si>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</si>
  <si>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</si>
  <si>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</si>
  <si>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</si>
  <si>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</si>
  <si>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</si>
  <si>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</si>
  <si>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</si>
  <si>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</si>
  <si>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</si>
  <si>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</si>
  <si>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</si>
  <si>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</si>
  <si>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</si>
  <si>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</si>
  <si>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</si>
  <si>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</si>
  <si>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</si>
  <si>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</si>
  <si>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</si>
  <si>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</si>
  <si>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</si>
  <si>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</si>
  <si>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</si>
  <si>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</si>
  <si>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</si>
  <si>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</si>
  <si>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</si>
  <si>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</si>
  <si>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</si>
  <si>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</si>
  <si>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</si>
  <si>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</si>
  <si>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</si>
  <si>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</si>
  <si>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</si>
  <si>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</si>
  <si>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</si>
  <si>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</si>
  <si>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</si>
  <si>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</si>
  <si>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</si>
  <si>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</si>
  <si>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</si>
  <si>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</si>
  <si>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</si>
  <si>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</si>
  <si>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</si>
  <si>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</si>
  <si>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</si>
  <si>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</si>
  <si>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</si>
  <si>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</si>
  <si>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</si>
  <si>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</si>
  <si>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</si>
  <si>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</si>
  <si>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</si>
  <si>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</si>
  <si>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</si>
  <si>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</si>
  <si>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</si>
  <si>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</si>
  <si>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</si>
  <si>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</si>
  <si>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</si>
  <si>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</si>
  <si>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</si>
  <si>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</si>
  <si>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</si>
  <si>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</si>
  <si>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</si>
  <si>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</si>
  <si>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</si>
  <si>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</si>
  <si>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</si>
  <si>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</si>
  <si>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</si>
  <si>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</si>
  <si>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</si>
  <si>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</si>
  <si>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</si>
  <si>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</si>
  <si>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</si>
  <si>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</si>
  <si>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</si>
  <si>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</si>
  <si>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</si>
  <si>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</si>
  <si>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</si>
  <si>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</si>
  <si>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</si>
  <si>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</si>
  <si>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</si>
  <si>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</si>
  <si>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</si>
  <si>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</si>
  <si>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</si>
  <si>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</si>
  <si>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</si>
  <si>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</si>
  <si>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</si>
  <si>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</si>
  <si>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</si>
  <si>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</si>
  <si>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</si>
  <si>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</si>
  <si>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</si>
  <si>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</si>
  <si>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</si>
  <si>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</si>
  <si>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</si>
  <si>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</si>
  <si>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</si>
  <si>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</si>
  <si>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</si>
  <si>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</si>
  <si>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</si>
  <si>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</si>
  <si>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</si>
  <si>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</si>
  <si>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</si>
  <si>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</si>
  <si>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</si>
  <si>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</si>
  <si>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</si>
  <si>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</si>
  <si>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</si>
  <si>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</si>
  <si>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</si>
  <si>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</si>
  <si>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</si>
  <si>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</si>
  <si>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</si>
  <si>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</si>
  <si>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</si>
  <si>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</si>
  <si>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</si>
  <si>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</si>
  <si>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</si>
  <si>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</si>
  <si>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</si>
  <si>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</si>
  <si>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</si>
  <si>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</si>
  <si>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</si>
  <si>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</si>
  <si>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</si>
  <si>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</si>
  <si>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</si>
  <si>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</si>
  <si>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</si>
  <si>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</si>
  <si>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</si>
  <si>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</si>
  <si>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</si>
  <si>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</si>
  <si>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</si>
  <si>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</si>
  <si>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</si>
  <si>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</si>
  <si>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</si>
  <si>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</si>
  <si>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</si>
  <si>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</si>
  <si>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</si>
  <si>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</si>
  <si>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</si>
  <si>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</si>
  <si>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</si>
  <si>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</si>
  <si>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</si>
  <si>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</si>
  <si>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</si>
  <si>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</si>
  <si>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</si>
  <si>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</si>
  <si>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</si>
  <si>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</si>
  <si>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</si>
  <si>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</si>
  <si>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</si>
  <si>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</si>
  <si>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</si>
  <si>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</si>
  <si>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</si>
  <si>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</si>
  <si>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</si>
  <si>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</si>
  <si>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</si>
  <si>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</si>
  <si>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</si>
  <si>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</si>
  <si>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</si>
  <si>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</si>
  <si>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</si>
  <si>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</si>
  <si>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</si>
  <si>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</si>
  <si>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</si>
  <si>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</si>
  <si>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</si>
  <si>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</si>
  <si>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</si>
  <si>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</si>
  <si>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</si>
  <si>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</si>
  <si>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</si>
  <si>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</si>
  <si>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</si>
  <si>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</si>
  <si>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</si>
  <si>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</si>
  <si>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</si>
  <si>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</si>
  <si>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</si>
  <si>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</si>
  <si>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</si>
  <si>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</si>
  <si>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</si>
  <si>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</si>
  <si>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</si>
  <si>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</si>
  <si>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</si>
  <si>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</si>
  <si>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</si>
  <si>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</si>
  <si>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</si>
  <si>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</si>
  <si>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</si>
  <si>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</si>
  <si>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</si>
  <si>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</si>
  <si>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</si>
  <si>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</si>
  <si>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</si>
  <si>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</si>
  <si>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</si>
  <si>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</si>
  <si>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</si>
  <si>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</si>
  <si>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</si>
  <si>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</si>
  <si>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</si>
  <si>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</si>
  <si>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</si>
  <si>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</si>
  <si>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</si>
  <si>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</si>
  <si>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</si>
  <si>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</si>
  <si>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</si>
  <si>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</si>
  <si>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</si>
  <si>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</si>
  <si>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</si>
  <si>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</si>
  <si>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</si>
  <si>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</si>
  <si>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</si>
  <si>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</si>
  <si>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</si>
  <si>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</si>
  <si>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</si>
  <si>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</si>
  <si>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</si>
  <si>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</si>
  <si>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</si>
  <si>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</si>
  <si>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</si>
  <si>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</si>
  <si>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</si>
  <si>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</si>
  <si>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</si>
  <si>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</si>
  <si>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</si>
  <si>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</si>
  <si>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</si>
  <si>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</si>
  <si>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</si>
  <si>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</si>
  <si>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</si>
  <si>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</si>
  <si>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</si>
  <si>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</si>
  <si>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</si>
  <si>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</si>
  <si>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</si>
  <si>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</si>
  <si>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</si>
  <si>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</si>
  <si>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</si>
  <si>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</si>
  <si>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</si>
  <si>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</si>
  <si>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</si>
  <si>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</si>
  <si>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</si>
  <si>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</si>
  <si>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</si>
  <si>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</si>
  <si>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</si>
  <si>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</si>
  <si>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</si>
  <si>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</si>
  <si>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</si>
  <si>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</si>
  <si>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</si>
  <si>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</si>
  <si>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</si>
  <si>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</si>
  <si>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</si>
  <si>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</si>
  <si>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</si>
  <si>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</si>
  <si>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</si>
  <si>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</si>
  <si>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</si>
  <si>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</si>
  <si>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</si>
  <si>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</si>
  <si>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</si>
  <si>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</si>
  <si>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</si>
  <si>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</si>
  <si>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</si>
  <si>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</si>
  <si>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</si>
  <si>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</si>
  <si>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</si>
  <si>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</si>
  <si>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</si>
  <si>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</si>
  <si>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</si>
  <si>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</si>
  <si>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</si>
  <si>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</si>
  <si>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</si>
  <si>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</si>
  <si>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</si>
  <si>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</si>
  <si>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</si>
  <si>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</si>
  <si>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</si>
  <si>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</si>
  <si>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</si>
  <si>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</si>
  <si>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</si>
  <si>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</si>
  <si>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</si>
  <si>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</si>
  <si>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</si>
  <si>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</si>
  <si>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</si>
  <si>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</si>
  <si>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</si>
  <si>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</si>
  <si>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</si>
  <si>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</si>
  <si>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</si>
  <si>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</si>
  <si>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</si>
  <si>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</si>
  <si>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</si>
  <si>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</si>
  <si>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</si>
  <si>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</si>
  <si>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</si>
  <si>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</si>
  <si>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</si>
  <si>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</si>
  <si>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</si>
  <si>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</si>
  <si>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</si>
  <si>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</si>
  <si>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</si>
  <si>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</si>
  <si>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</si>
  <si>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</si>
  <si>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</si>
  <si>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</si>
  <si>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</si>
  <si>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</si>
  <si>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</si>
  <si>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</si>
  <si>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</si>
  <si>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</si>
  <si>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</si>
  <si>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</si>
  <si>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</si>
  <si>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</si>
  <si>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</si>
  <si>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</si>
  <si>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</si>
  <si>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</si>
  <si>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</si>
  <si>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</si>
  <si>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</si>
  <si>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</si>
  <si>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</si>
  <si>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</si>
  <si>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</si>
  <si>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</si>
  <si>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</si>
  <si>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</si>
  <si>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</si>
  <si>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</si>
  <si>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</si>
  <si>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</si>
  <si>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</si>
  <si>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</si>
  <si>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</si>
  <si>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</si>
  <si>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</si>
  <si>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</si>
  <si>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</si>
  <si>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</si>
  <si>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</si>
  <si>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</si>
  <si>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</si>
  <si>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</si>
  <si>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</si>
  <si>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</si>
  <si>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</si>
  <si>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</si>
  <si>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</si>
  <si>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</si>
  <si>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</si>
  <si>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</si>
  <si>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</si>
  <si>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</si>
  <si>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</si>
  <si>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</si>
  <si>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</si>
  <si>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</si>
  <si>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</si>
  <si>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</si>
  <si>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</si>
  <si>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</si>
  <si>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</si>
  <si>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</si>
  <si>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</si>
  <si>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</si>
  <si>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</si>
  <si>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</si>
  <si>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</si>
  <si>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</si>
  <si>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</si>
  <si>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</si>
  <si>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</si>
  <si>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</si>
  <si>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</si>
  <si>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</si>
  <si>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</si>
  <si>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</si>
  <si>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</si>
  <si>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</si>
  <si>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</si>
  <si>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</si>
  <si>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</si>
  <si>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</si>
  <si>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</si>
  <si>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</si>
  <si>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</si>
  <si>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</si>
  <si>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</si>
  <si>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</si>
  <si>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</si>
  <si>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</si>
  <si>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</si>
  <si>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</si>
  <si>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</si>
  <si>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</si>
  <si>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</si>
  <si>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</si>
  <si>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</si>
  <si>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</si>
  <si>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</si>
  <si>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</si>
  <si>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</si>
  <si>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</si>
  <si>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</si>
  <si>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</si>
  <si>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</si>
  <si>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</si>
  <si>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</si>
  <si>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</si>
  <si>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</si>
  <si>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</si>
  <si>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</si>
  <si>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</si>
  <si>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</si>
  <si>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</si>
  <si>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</si>
  <si>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</si>
  <si>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</si>
  <si>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</si>
  <si>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</si>
  <si>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</si>
  <si>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</si>
  <si>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</si>
  <si>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</si>
  <si>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</si>
  <si>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</si>
  <si>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</si>
  <si>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</si>
  <si>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</si>
  <si>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</si>
  <si>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</si>
  <si>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</si>
  <si>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</si>
  <si>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</si>
  <si>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</si>
  <si>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</si>
  <si>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</si>
  <si>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</si>
  <si>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</si>
  <si>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</si>
  <si>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</si>
  <si>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</si>
  <si>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</si>
  <si>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</si>
  <si>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</si>
  <si>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</si>
  <si>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</si>
  <si>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</si>
  <si>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</si>
  <si>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</si>
  <si>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</si>
  <si>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</si>
  <si>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</si>
  <si>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</si>
  <si>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</si>
  <si>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</si>
  <si>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</si>
  <si>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</si>
  <si>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</si>
  <si>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</si>
  <si>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</si>
  <si>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</si>
  <si>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</si>
  <si>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</si>
  <si>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</si>
  <si>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</si>
  <si>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</si>
  <si>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</si>
  <si>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</si>
  <si>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</si>
  <si>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</si>
  <si>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</si>
  <si>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</si>
  <si>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</si>
  <si>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</si>
  <si>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</si>
  <si>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</si>
  <si>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</si>
  <si>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</si>
  <si>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</si>
  <si>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</si>
  <si>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</si>
  <si>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</si>
  <si>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</si>
  <si>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</si>
  <si>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</si>
  <si>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</si>
  <si>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</si>
  <si>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</si>
  <si>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</si>
  <si>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</si>
  <si>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</si>
  <si>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</si>
  <si>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</si>
  <si>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</si>
  <si>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</si>
  <si>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</si>
  <si>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</si>
  <si>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</si>
  <si>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</si>
  <si>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</si>
  <si>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</si>
  <si>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</si>
  <si>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</si>
  <si>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</si>
  <si>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</si>
  <si>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</si>
  <si>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</si>
  <si>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</si>
  <si>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</si>
  <si>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</si>
  <si>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</si>
  <si>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</si>
  <si>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</si>
  <si>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</si>
  <si>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</si>
  <si>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</si>
  <si>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</si>
  <si>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</si>
  <si>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</si>
  <si>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</si>
  <si>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</si>
  <si>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</si>
  <si>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</si>
  <si>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</si>
  <si>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</si>
  <si>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</si>
  <si>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</si>
  <si>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</si>
  <si>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</si>
  <si>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</si>
  <si>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</si>
  <si>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</si>
  <si>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</si>
  <si>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</si>
  <si>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</si>
  <si>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</si>
  <si>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</si>
  <si>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</si>
  <si>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</si>
  <si>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</si>
  <si>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</si>
  <si>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</si>
  <si>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</si>
  <si>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</si>
  <si>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</si>
  <si>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</si>
  <si>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</si>
  <si>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</si>
  <si>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</si>
  <si>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</si>
  <si>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</si>
  <si>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</si>
  <si>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</si>
  <si>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</si>
  <si>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</si>
  <si>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</si>
  <si>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</si>
  <si>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</si>
  <si>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</si>
  <si>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</si>
  <si>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</si>
  <si>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</si>
  <si>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</si>
  <si>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</si>
  <si>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</si>
  <si>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</si>
  <si>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</si>
  <si>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</si>
  <si>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</si>
  <si>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</si>
  <si>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</si>
  <si>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</si>
  <si>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</si>
  <si>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</si>
  <si>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</si>
  <si>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</si>
  <si>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</si>
  <si>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</si>
  <si>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</si>
  <si>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</si>
  <si>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</si>
  <si>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</si>
  <si>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</si>
  <si>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</si>
  <si>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</si>
  <si>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</si>
  <si>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</si>
  <si>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</si>
  <si>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</si>
  <si>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</si>
  <si>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</si>
  <si>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</si>
  <si>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</si>
  <si>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</si>
  <si>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</si>
  <si>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</si>
  <si>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</si>
  <si>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</si>
  <si>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</si>
  <si>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</si>
  <si>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</si>
  <si>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</si>
  <si>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</si>
  <si>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</si>
  <si>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</si>
  <si>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</si>
  <si>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</si>
  <si>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</si>
  <si>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</si>
  <si>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</si>
  <si>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</si>
  <si>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</si>
  <si>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</si>
  <si>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</si>
  <si>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</si>
  <si>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</si>
  <si>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</si>
  <si>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</si>
  <si>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</si>
  <si>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</si>
  <si>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</si>
  <si>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</si>
  <si>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</si>
  <si>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</si>
  <si>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</si>
  <si>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</si>
  <si>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</si>
  <si>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</si>
  <si>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</si>
  <si>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</si>
  <si>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</si>
  <si>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</si>
  <si>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</si>
  <si>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</si>
  <si>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</si>
  <si>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</si>
  <si>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</si>
  <si>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</si>
  <si>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</si>
  <si>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</si>
  <si>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</si>
  <si>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</si>
  <si>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</si>
  <si>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</si>
  <si>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</si>
  <si>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</si>
  <si>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</si>
  <si>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</si>
  <si>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</si>
  <si>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</si>
  <si>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</si>
  <si>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</si>
  <si>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</si>
  <si>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</si>
  <si>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</si>
  <si>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</si>
  <si>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</si>
  <si>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</si>
  <si>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</si>
  <si>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</si>
  <si>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</si>
  <si>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</si>
  <si>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</si>
  <si>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</si>
  <si>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</si>
  <si>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</si>
  <si>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</si>
  <si>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</si>
  <si>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</si>
  <si>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</si>
  <si>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</si>
  <si>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</si>
  <si>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</si>
  <si>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</si>
  <si>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</si>
  <si>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</si>
  <si>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</si>
  <si>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</si>
  <si>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</si>
  <si>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</si>
  <si>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</si>
  <si>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</si>
  <si>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</si>
  <si>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</si>
  <si>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</si>
  <si>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</si>
  <si>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</si>
  <si>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</si>
  <si>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</si>
  <si>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</si>
  <si>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</si>
  <si>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</si>
  <si>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</si>
  <si>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</si>
  <si>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</si>
  <si>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</si>
  <si>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</si>
  <si>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</si>
  <si>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</si>
  <si>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</si>
  <si>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</si>
  <si>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</si>
  <si>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</si>
  <si>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</si>
  <si>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</si>
  <si>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</si>
  <si>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</si>
  <si>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</si>
  <si>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</si>
  <si>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</si>
  <si>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</si>
  <si>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</si>
  <si>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</si>
  <si>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</si>
  <si>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</si>
  <si>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</si>
  <si>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</si>
  <si>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</si>
  <si>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</si>
  <si>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</si>
  <si>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</si>
  <si>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</si>
  <si>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</si>
  <si>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</si>
  <si>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</si>
  <si>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</si>
  <si>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</si>
  <si>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</si>
  <si>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</si>
  <si>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</si>
  <si>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</si>
  <si>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</si>
  <si>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</si>
  <si>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</si>
  <si>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</si>
  <si>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</si>
  <si>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</si>
  <si>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</si>
  <si>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</si>
  <si>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</si>
  <si>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</si>
  <si>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</si>
  <si>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</si>
  <si>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</si>
  <si>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</si>
  <si>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</si>
  <si>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</si>
  <si>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</si>
  <si>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</si>
  <si>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</si>
  <si>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</si>
  <si>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</si>
  <si>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</si>
  <si>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</si>
  <si>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</si>
  <si>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</si>
  <si>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</si>
  <si>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</si>
  <si>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</si>
  <si>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</si>
  <si>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</si>
  <si>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</si>
  <si>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</si>
  <si>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</si>
  <si>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</si>
  <si>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</si>
  <si>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</si>
  <si>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</si>
  <si>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</si>
  <si>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</si>
  <si>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</si>
  <si>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</si>
  <si>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</si>
  <si>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</si>
  <si>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</si>
  <si>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</si>
  <si>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</si>
  <si>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</si>
  <si>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</si>
  <si>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</si>
  <si>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</si>
  <si>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</si>
  <si>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</si>
  <si>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</si>
  <si>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</si>
  <si>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</si>
  <si>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</si>
  <si>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</si>
  <si>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</si>
  <si>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</si>
  <si>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</si>
  <si>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</si>
  <si>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</si>
  <si>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</si>
  <si>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</si>
  <si>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</si>
  <si>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</si>
  <si>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</si>
  <si>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</si>
  <si>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</si>
  <si>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</si>
  <si>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</si>
  <si>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</si>
  <si>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</si>
  <si>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</si>
  <si>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</si>
  <si>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</si>
  <si>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</si>
  <si>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</si>
  <si>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</si>
  <si>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</si>
  <si>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</si>
  <si>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</si>
  <si>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</si>
  <si>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</si>
  <si>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</si>
  <si>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</si>
  <si>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</si>
  <si>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</si>
  <si>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</si>
  <si>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</si>
  <si>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</si>
  <si>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</si>
  <si>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</si>
  <si>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</si>
  <si>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</si>
  <si>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</si>
  <si>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</si>
  <si>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</si>
  <si>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</si>
  <si>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</si>
  <si>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</si>
  <si>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</si>
  <si>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</si>
  <si>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</si>
  <si>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</si>
  <si>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</si>
  <si>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</si>
  <si>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</si>
  <si>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</si>
  <si>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</si>
  <si>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</si>
  <si>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</si>
  <si>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</si>
  <si>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</si>
  <si>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</si>
  <si>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</si>
  <si>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</si>
  <si>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</si>
  <si>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</si>
  <si>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</si>
  <si>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</si>
  <si>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</si>
  <si>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</si>
  <si>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</si>
  <si>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</si>
  <si>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</si>
  <si>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</si>
  <si>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</si>
  <si>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</si>
  <si>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</si>
  <si>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</si>
  <si>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</si>
  <si>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</si>
  <si>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</si>
  <si>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</si>
  <si>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</si>
  <si>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</si>
  <si>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</si>
  <si>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</si>
  <si>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</si>
  <si>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</si>
  <si>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</si>
  <si>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</si>
  <si>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</si>
  <si>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</si>
  <si>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</si>
  <si>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</si>
  <si>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</si>
  <si>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</si>
  <si>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</si>
  <si>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</si>
  <si>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</si>
  <si>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</si>
  <si>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</si>
  <si>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</si>
  <si>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</si>
  <si>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</si>
  <si>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</si>
  <si>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</si>
  <si>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</si>
  <si>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</si>
  <si>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</si>
  <si>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</si>
  <si>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</si>
  <si>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</si>
  <si>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</si>
  <si>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</si>
  <si>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</si>
  <si>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</si>
  <si>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</si>
  <si>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</si>
  <si>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</si>
  <si>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</si>
  <si>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</si>
  <si>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</si>
  <si>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</si>
  <si>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</si>
  <si>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</si>
  <si>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</si>
  <si>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</si>
  <si>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</si>
  <si>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</si>
  <si>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</si>
  <si>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</si>
  <si>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</si>
  <si>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</si>
  <si>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</si>
  <si>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</si>
  <si>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</si>
  <si>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</si>
  <si>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</si>
  <si>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</si>
  <si>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</si>
  <si>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</si>
  <si>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</si>
  <si>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</si>
  <si>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</si>
  <si>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</si>
  <si>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</si>
  <si>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</si>
  <si>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</si>
  <si>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</si>
  <si>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</si>
  <si>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</si>
  <si>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</si>
  <si>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</si>
  <si>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</si>
  <si>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</si>
  <si>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</si>
  <si>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</si>
  <si>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</si>
  <si>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</si>
  <si>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</si>
  <si>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</si>
  <si>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</si>
  <si>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</si>
  <si>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</si>
  <si>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</si>
  <si>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</si>
  <si>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</si>
  <si>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</si>
  <si>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</si>
  <si>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</si>
  <si>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</si>
  <si>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</si>
  <si>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</si>
  <si>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</si>
  <si>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</si>
  <si>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</si>
  <si>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</si>
  <si>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</si>
  <si>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</si>
  <si>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</si>
  <si>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</si>
  <si>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</si>
  <si>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</si>
  <si>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</si>
  <si>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</si>
  <si>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</si>
  <si>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</si>
  <si>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</si>
  <si>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</si>
  <si>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</si>
  <si>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</si>
  <si>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</si>
  <si>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</si>
  <si>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</si>
  <si>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</si>
  <si>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</si>
  <si>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</si>
  <si>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</si>
  <si>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</si>
  <si>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</si>
  <si>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</si>
  <si>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</si>
  <si>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</si>
  <si>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</si>
  <si>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</si>
  <si>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</si>
  <si>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</si>
  <si>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</si>
  <si>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</si>
  <si>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</si>
  <si>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</si>
  <si>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</si>
  <si>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</si>
  <si>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</si>
  <si>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</si>
  <si>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</si>
  <si>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</si>
  <si>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</si>
  <si>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</si>
  <si>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</si>
  <si>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</si>
  <si>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</si>
  <si>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</si>
  <si>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</si>
  <si>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</si>
  <si>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</si>
  <si>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</si>
  <si>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</si>
  <si>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</si>
  <si>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</si>
  <si>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</si>
  <si>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</si>
  <si>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</si>
  <si>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</si>
  <si>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</si>
  <si>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</si>
  <si>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</si>
  <si>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</si>
  <si>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</si>
  <si>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</si>
  <si>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</si>
  <si>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</si>
  <si>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</si>
  <si>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</si>
  <si>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</si>
  <si>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</si>
  <si>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</si>
  <si>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</si>
  <si>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</si>
  <si>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</si>
  <si>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</si>
  <si>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</si>
  <si>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</si>
  <si>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</si>
  <si>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</si>
  <si>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</si>
  <si>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</si>
  <si>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</si>
  <si>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</si>
  <si>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</si>
  <si>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</si>
  <si>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</si>
  <si>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</si>
  <si>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</si>
  <si>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</si>
  <si>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</si>
  <si>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</si>
  <si>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</si>
  <si>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</si>
  <si>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</si>
  <si>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</si>
  <si>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</si>
  <si>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</si>
  <si>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</si>
  <si>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</si>
  <si>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</si>
  <si>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</si>
  <si>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</si>
  <si>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</si>
  <si>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</si>
  <si>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</si>
  <si>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</si>
  <si>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</si>
  <si>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</si>
  <si>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</si>
  <si>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</si>
  <si>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</si>
  <si>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</si>
  <si>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</si>
  <si>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</si>
  <si>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</si>
  <si>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</si>
  <si>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</si>
  <si>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</si>
  <si>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</si>
  <si>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</si>
  <si>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</si>
  <si>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</si>
  <si>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</si>
  <si>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</si>
  <si>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</si>
  <si>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</si>
  <si>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</si>
  <si>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</si>
  <si>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</si>
  <si>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</si>
  <si>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</si>
  <si>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</si>
  <si>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</si>
  <si>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</si>
  <si>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</si>
  <si>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</si>
  <si>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</si>
  <si>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</si>
  <si>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</si>
  <si>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</si>
  <si>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</si>
  <si>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</si>
  <si>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</si>
  <si>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</si>
  <si>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</si>
  <si>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</si>
  <si>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</si>
  <si>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</si>
  <si>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</si>
  <si>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</si>
  <si>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</si>
  <si>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</si>
  <si>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</si>
  <si>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</si>
  <si>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</si>
  <si>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</si>
  <si>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</si>
  <si>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</si>
  <si>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</si>
  <si>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</si>
  <si>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</si>
  <si>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</si>
  <si>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</si>
  <si>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</si>
  <si>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</si>
  <si>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</si>
  <si>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</si>
  <si>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</si>
  <si>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</si>
  <si>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</si>
  <si>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</si>
  <si>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</si>
  <si>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</si>
  <si>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</si>
  <si>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</si>
  <si>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</si>
  <si>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</si>
  <si>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</si>
  <si>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</si>
  <si>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</si>
  <si>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</si>
  <si>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</si>
  <si>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</si>
  <si>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</si>
  <si>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</si>
  <si>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</si>
  <si>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</si>
  <si>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</si>
  <si>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</si>
  <si>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</si>
  <si>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</si>
  <si>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</si>
  <si>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</si>
  <si>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</si>
  <si>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</si>
  <si>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</si>
  <si>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</si>
  <si>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</si>
  <si>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</si>
  <si>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</si>
  <si>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</si>
  <si>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</si>
  <si>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</si>
  <si>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</si>
  <si>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</si>
  <si>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</si>
  <si>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</si>
  <si>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</si>
  <si>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</si>
  <si>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</si>
  <si>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</si>
  <si>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</si>
  <si>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</si>
  <si>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</si>
  <si>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</si>
  <si>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</si>
  <si>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</si>
  <si>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</si>
  <si>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</si>
  <si>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</si>
  <si>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</si>
  <si>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</si>
  <si>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</si>
  <si>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</si>
  <si>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</si>
  <si>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</si>
  <si>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</si>
  <si>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</si>
  <si>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</si>
  <si>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</si>
  <si>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</si>
  <si>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</si>
  <si>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</si>
  <si>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</si>
  <si>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</si>
  <si>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</si>
  <si>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</si>
  <si>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</si>
  <si>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</si>
  <si>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</si>
  <si>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</si>
  <si>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</si>
  <si>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</si>
  <si>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</si>
  <si>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</si>
  <si>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</si>
  <si>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</si>
  <si>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</si>
  <si>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</si>
  <si>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</si>
  <si>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</si>
  <si>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</si>
  <si>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</si>
  <si>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</si>
  <si>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</si>
  <si>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</si>
  <si>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</si>
  <si>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</si>
  <si>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</si>
  <si>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</si>
  <si>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</si>
  <si>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</si>
  <si>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</si>
  <si>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</si>
  <si>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</si>
  <si>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</si>
  <si>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</si>
  <si>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</si>
  <si>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</si>
  <si>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</si>
  <si>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</si>
  <si>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</si>
  <si>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</si>
  <si>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</si>
  <si>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</si>
  <si>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</si>
  <si>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</si>
  <si>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</si>
  <si>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</si>
  <si>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</si>
  <si>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</si>
  <si>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</si>
  <si>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</si>
  <si>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</si>
  <si>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</si>
  <si>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</si>
  <si>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</si>
  <si>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</si>
  <si>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</si>
  <si>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</si>
  <si>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</si>
  <si>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</si>
  <si>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</si>
  <si>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</si>
  <si>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</si>
  <si>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</si>
  <si>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</si>
  <si>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</si>
  <si>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</si>
  <si>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</si>
  <si>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</si>
  <si>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</si>
  <si>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</si>
  <si>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</si>
  <si>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</si>
  <si>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</si>
  <si>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</si>
  <si>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</si>
  <si>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</si>
  <si>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</si>
  <si>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</si>
  <si>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</si>
  <si>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</si>
  <si>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</si>
  <si>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</si>
  <si>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</si>
  <si>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</si>
  <si>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</si>
  <si>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</si>
  <si>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</si>
  <si>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</si>
  <si>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</si>
  <si>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</si>
  <si>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</si>
  <si>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</si>
  <si>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</si>
  <si>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</si>
  <si>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</si>
  <si>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</si>
  <si>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</si>
  <si>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</si>
  <si>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</si>
  <si>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</si>
  <si>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</si>
  <si>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</si>
  <si>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</si>
  <si>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</si>
  <si>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</si>
  <si>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</si>
  <si>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</si>
  <si>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</si>
  <si>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</si>
  <si>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</si>
  <si>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</si>
  <si>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</si>
  <si>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</si>
  <si>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</si>
  <si>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</si>
  <si>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</si>
  <si>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</si>
  <si>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</si>
  <si>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</si>
  <si>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</si>
  <si>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</si>
  <si>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</si>
  <si>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</si>
  <si>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</si>
  <si>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</si>
  <si>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</si>
  <si>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</si>
  <si>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</si>
  <si>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</si>
  <si>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</si>
  <si>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</si>
  <si>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</si>
  <si>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</si>
  <si>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</si>
  <si>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</si>
  <si>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</si>
  <si>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</si>
  <si>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</si>
  <si>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</si>
  <si>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</si>
  <si>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</si>
  <si>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</si>
  <si>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</si>
  <si>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</si>
  <si>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</si>
  <si>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</si>
  <si>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</si>
  <si>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</si>
  <si>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</si>
  <si>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</si>
  <si>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</si>
  <si>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</si>
  <si>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</si>
  <si>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</si>
  <si>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</si>
  <si>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</si>
  <si>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</si>
  <si>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</si>
  <si>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</si>
  <si>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</si>
  <si>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</si>
  <si>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</si>
  <si>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</si>
  <si>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</si>
  <si>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</si>
  <si>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</si>
  <si>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</si>
  <si>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</si>
  <si>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</si>
  <si>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</si>
  <si>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</si>
  <si>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</si>
  <si>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</si>
  <si>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</si>
  <si>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</si>
  <si>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</si>
  <si>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</si>
  <si>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</si>
  <si>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</si>
  <si>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</si>
  <si>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</si>
  <si>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</si>
  <si>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</si>
  <si>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</si>
  <si>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</si>
  <si>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</si>
  <si>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</si>
  <si>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</si>
  <si>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</si>
  <si>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</si>
  <si>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</si>
  <si>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</si>
  <si>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</si>
  <si>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</si>
  <si>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</si>
  <si>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</si>
  <si>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</si>
  <si>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</si>
  <si>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</si>
  <si>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</si>
  <si>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</si>
  <si>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</si>
  <si>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</si>
  <si>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</si>
  <si>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</si>
  <si>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</si>
  <si>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</si>
  <si>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</si>
  <si>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</si>
  <si>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</si>
  <si>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</si>
  <si>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</si>
  <si>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</si>
  <si>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</si>
  <si>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</si>
  <si>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</si>
  <si>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</si>
  <si>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</si>
  <si>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</si>
  <si>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</si>
  <si>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</si>
  <si>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</si>
  <si>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</si>
  <si>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</si>
  <si>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</si>
  <si>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</si>
  <si>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</si>
  <si>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</si>
  <si>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</si>
  <si>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</si>
  <si>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</si>
  <si>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</si>
  <si>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</si>
  <si>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</si>
  <si>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</si>
  <si>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</si>
  <si>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</si>
  <si>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</si>
  <si>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</si>
  <si>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</si>
  <si>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</si>
  <si>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</si>
  <si>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</si>
  <si>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</si>
  <si>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</si>
  <si>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</si>
  <si>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</si>
  <si>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</si>
  <si>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</si>
  <si>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</si>
  <si>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</si>
  <si>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</si>
  <si>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</si>
  <si>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</si>
  <si>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</si>
  <si>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</si>
  <si>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</si>
  <si>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</si>
  <si>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</si>
  <si>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</si>
  <si>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</si>
  <si>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</si>
  <si>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</si>
  <si>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</si>
  <si>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</si>
  <si>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</si>
  <si>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</si>
  <si>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</si>
  <si>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</si>
  <si>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</si>
  <si>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</si>
  <si>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</si>
  <si>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</si>
  <si>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</si>
  <si>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</si>
  <si>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</si>
  <si>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</si>
  <si>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</si>
  <si>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</si>
  <si>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</si>
  <si>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</si>
  <si>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</si>
  <si>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</si>
  <si>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</si>
  <si>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</si>
  <si>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</si>
  <si>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</si>
  <si>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</si>
  <si>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</si>
  <si>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</si>
  <si>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</si>
  <si>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</si>
  <si>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</si>
  <si>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</si>
  <si>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</si>
  <si>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</si>
  <si>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</si>
  <si>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</si>
  <si>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</si>
  <si>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</si>
  <si>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</si>
  <si>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</si>
  <si>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</si>
  <si>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</si>
  <si>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</si>
  <si>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</si>
  <si>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</si>
  <si>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</si>
  <si>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</si>
  <si>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</si>
  <si>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</si>
  <si>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</si>
  <si>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</si>
  <si>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</si>
  <si>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</si>
  <si>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</si>
  <si>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</si>
  <si>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</si>
  <si>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</si>
  <si>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</si>
  <si>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</si>
  <si>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</si>
  <si>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</si>
  <si>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</si>
  <si>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</si>
  <si>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</si>
  <si>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</si>
  <si>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</si>
  <si>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</si>
  <si>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</si>
  <si>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</si>
  <si>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</si>
  <si>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</si>
  <si>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</si>
  <si>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</si>
  <si>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</si>
  <si>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</si>
  <si>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</si>
  <si>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</si>
  <si>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</si>
  <si>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</si>
  <si>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</si>
  <si>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</si>
  <si>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</si>
  <si>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</si>
  <si>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</si>
  <si>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</si>
  <si>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</si>
  <si>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</si>
  <si>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</si>
  <si>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</si>
  <si>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</si>
  <si>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</si>
  <si>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</si>
  <si>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</si>
  <si>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</si>
  <si>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</si>
  <si>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</si>
  <si>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</si>
  <si>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</si>
  <si>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</si>
  <si>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</si>
  <si>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</si>
  <si>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</si>
  <si>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</si>
  <si>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</si>
  <si>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</si>
  <si>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</si>
  <si>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</si>
  <si>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</si>
  <si>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</si>
  <si>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</si>
  <si>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</si>
  <si>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</si>
  <si>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</si>
  <si>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</si>
  <si>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</si>
  <si>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</si>
  <si>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</si>
  <si>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</si>
  <si>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</si>
  <si>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</si>
  <si>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</si>
  <si>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</si>
  <si>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</si>
  <si>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</si>
  <si>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</si>
  <si>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</si>
  <si>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</si>
  <si>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</si>
  <si>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</si>
  <si>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</si>
  <si>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</si>
  <si>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</si>
  <si>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</si>
  <si>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</si>
  <si>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</si>
  <si>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</si>
  <si>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</si>
  <si>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</si>
  <si>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</si>
  <si>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</si>
  <si>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</si>
  <si>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</si>
  <si>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</si>
  <si>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</si>
  <si>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</si>
  <si>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</si>
  <si>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</si>
  <si>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</si>
  <si>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</si>
  <si>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</si>
  <si>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</si>
  <si>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</si>
  <si>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</si>
  <si>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</si>
  <si>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</si>
  <si>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</si>
  <si>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</si>
  <si>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</si>
  <si>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</si>
  <si>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</si>
  <si>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</si>
  <si>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</si>
  <si>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</si>
  <si>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</si>
  <si>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</si>
  <si>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</si>
  <si>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</si>
  <si>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</si>
  <si>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</si>
  <si>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</si>
  <si>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</si>
  <si>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</si>
  <si>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</si>
  <si>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</si>
  <si>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</si>
  <si>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</si>
  <si>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</si>
  <si>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</si>
  <si>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</si>
  <si>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</si>
  <si>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</si>
  <si>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</si>
  <si>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</si>
  <si>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</si>
  <si>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</si>
  <si>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</si>
  <si>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</si>
  <si>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</si>
  <si>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</si>
  <si>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</si>
  <si>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</si>
  <si>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</si>
  <si>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</si>
  <si>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</si>
  <si>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</si>
  <si>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</si>
  <si>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</si>
  <si>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</si>
  <si>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</si>
  <si>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</si>
  <si>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</si>
  <si>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</si>
  <si>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</si>
  <si>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</si>
  <si>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</si>
  <si>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</si>
  <si>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</si>
  <si>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</si>
  <si>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</si>
  <si>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</si>
  <si>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</si>
  <si>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</si>
  <si>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</si>
  <si>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</si>
  <si>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</si>
  <si>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</si>
  <si>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</si>
  <si>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</si>
  <si>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</si>
  <si>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</si>
  <si>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</si>
  <si>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</si>
  <si>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</si>
  <si>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</si>
  <si>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</si>
  <si>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</si>
  <si>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</si>
  <si>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</si>
  <si>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</si>
  <si>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</si>
  <si>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</si>
  <si>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</si>
  <si>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</si>
  <si>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</si>
  <si>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</si>
  <si>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</si>
  <si>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</si>
  <si>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</si>
  <si>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</si>
  <si>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</si>
  <si>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</si>
  <si>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</si>
  <si>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</si>
  <si>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</si>
  <si>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</si>
  <si>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</si>
  <si>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</si>
  <si>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</si>
  <si>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</si>
  <si>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</si>
  <si>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</si>
  <si>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</si>
  <si>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</si>
  <si>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</si>
  <si>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</si>
  <si>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</si>
  <si>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</si>
  <si>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</si>
  <si>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</si>
  <si>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</si>
  <si>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</si>
  <si>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</si>
  <si>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</si>
  <si>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</si>
  <si>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</si>
  <si>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</si>
  <si>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</si>
  <si>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</si>
  <si>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</si>
  <si>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</si>
  <si>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</si>
  <si>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</si>
  <si>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</si>
  <si>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</si>
  <si>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</si>
  <si>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</si>
  <si>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</si>
  <si>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</si>
  <si>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</si>
  <si>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</si>
  <si>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</si>
  <si>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</si>
  <si>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</si>
  <si>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</si>
  <si>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</si>
  <si>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</si>
  <si>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</si>
  <si>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</si>
  <si>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</si>
  <si>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</si>
  <si>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</si>
  <si>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</si>
  <si>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</si>
  <si>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</si>
  <si>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</si>
  <si>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</si>
  <si>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</si>
  <si>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</si>
  <si>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</si>
  <si>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</si>
  <si>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</si>
  <si>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</si>
  <si>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</si>
  <si>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</si>
  <si>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</si>
  <si>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</si>
  <si>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</si>
  <si>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</si>
  <si>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</si>
  <si>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</si>
  <si>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</si>
  <si>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</si>
  <si>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</si>
  <si>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</si>
  <si>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</si>
  <si>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</si>
  <si>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</si>
  <si>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</si>
  <si>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</si>
  <si>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</si>
  <si>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</si>
  <si>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</si>
  <si>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</si>
  <si>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</si>
  <si>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</si>
  <si>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</si>
  <si>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</si>
  <si>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</si>
  <si>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</si>
  <si>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</si>
  <si>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</si>
  <si>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</si>
  <si>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</si>
  <si>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</si>
  <si>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</si>
  <si>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</si>
  <si>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</si>
  <si>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</si>
  <si>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</si>
  <si>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</si>
  <si>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</si>
  <si>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</si>
  <si>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</si>
  <si>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</si>
  <si>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</si>
  <si>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</si>
  <si>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</si>
  <si>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</si>
  <si>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</si>
  <si>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</si>
  <si>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</si>
  <si>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</si>
  <si>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</si>
  <si>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</si>
  <si>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</si>
  <si>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</si>
  <si>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</si>
  <si>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</si>
  <si>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</si>
  <si>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</si>
  <si>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</si>
  <si>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</si>
  <si>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</si>
  <si>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</si>
  <si>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</si>
  <si>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</si>
  <si>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</si>
  <si>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</si>
  <si>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</si>
  <si>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</si>
  <si>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</si>
  <si>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</si>
  <si>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</si>
  <si>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</si>
  <si>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</si>
  <si>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</si>
  <si>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</si>
  <si>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</si>
  <si>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</si>
  <si>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</si>
  <si>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</si>
  <si>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</si>
  <si>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</si>
  <si>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</si>
  <si>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</si>
  <si>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</si>
  <si>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</si>
  <si>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</si>
  <si>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</si>
  <si>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</si>
  <si>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</si>
  <si>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</si>
  <si>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</si>
  <si>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</si>
  <si>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</si>
  <si>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</si>
  <si>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</si>
  <si>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</si>
  <si>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</si>
  <si>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</si>
  <si>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</si>
  <si>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</si>
  <si>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</si>
  <si>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</si>
  <si>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</si>
  <si>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</si>
  <si>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</si>
  <si>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</si>
  <si>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</si>
  <si>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</si>
  <si>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</si>
  <si>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</si>
  <si>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</si>
  <si>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</si>
  <si>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</si>
  <si>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</si>
  <si>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</si>
  <si>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</si>
  <si>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</si>
  <si>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</si>
  <si>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</si>
  <si>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</si>
  <si>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</si>
  <si>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</si>
  <si>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</si>
  <si>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</si>
  <si>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</si>
  <si>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</si>
  <si>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</si>
  <si>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</si>
  <si>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</si>
  <si>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</si>
  <si>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</si>
  <si>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</si>
  <si>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</si>
  <si>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</si>
  <si>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</si>
  <si>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</si>
  <si>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</si>
  <si>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</si>
  <si>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</si>
  <si>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</si>
  <si>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</si>
  <si>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</si>
  <si>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</si>
  <si>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</si>
  <si>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</si>
  <si>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</si>
  <si>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</si>
  <si>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</si>
  <si>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</si>
  <si>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</si>
  <si>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</si>
  <si>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</si>
  <si>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</si>
  <si>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</si>
  <si>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</si>
  <si>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</si>
  <si>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</si>
  <si>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</si>
  <si>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</si>
  <si>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</si>
  <si>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</si>
  <si>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</si>
  <si>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</si>
  <si>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</si>
  <si>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</si>
  <si>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</si>
  <si>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</si>
  <si>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</si>
  <si>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</si>
  <si>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</si>
  <si>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</si>
  <si>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</si>
  <si>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</si>
  <si>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</si>
  <si>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</si>
  <si>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</si>
  <si>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</si>
  <si>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</si>
  <si>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</si>
  <si>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</si>
  <si>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</si>
  <si>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</si>
  <si>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</si>
  <si>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</si>
  <si>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</si>
  <si>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</si>
  <si>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</si>
  <si>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</si>
  <si>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</si>
  <si>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</si>
  <si>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</si>
  <si>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</si>
  <si>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</si>
  <si>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</si>
  <si>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</si>
  <si>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</si>
  <si>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</si>
  <si>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</si>
  <si>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</si>
  <si>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</si>
  <si>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</si>
  <si>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</si>
  <si>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</si>
  <si>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</si>
  <si>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</si>
  <si>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</si>
  <si>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</si>
  <si>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</si>
  <si>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</si>
  <si>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</si>
  <si>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</si>
  <si>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</si>
  <si>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</si>
  <si>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</si>
  <si>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</si>
  <si>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</si>
  <si>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</si>
  <si>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</si>
  <si>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</si>
  <si>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</si>
  <si>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</si>
  <si>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</si>
  <si>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</si>
  <si>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</si>
  <si>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</si>
  <si>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</si>
  <si>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</si>
  <si>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</si>
  <si>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</si>
  <si>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</si>
  <si>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</si>
  <si>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</si>
  <si>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</si>
  <si>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</si>
  <si>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</si>
  <si>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</si>
  <si>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</si>
  <si>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</si>
  <si>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</si>
  <si>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</si>
  <si>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</si>
  <si>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</si>
  <si>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</si>
  <si>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</si>
  <si>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</si>
  <si>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</si>
  <si>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</si>
  <si>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</si>
  <si>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</si>
  <si>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</si>
  <si>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</si>
  <si>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</si>
  <si>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</si>
  <si>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</si>
  <si>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</si>
  <si>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</si>
  <si>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</si>
  <si>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</si>
  <si>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</si>
  <si>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</si>
  <si>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</si>
  <si>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</si>
  <si>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</si>
  <si>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</si>
  <si>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</si>
  <si>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</si>
  <si>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</si>
  <si>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</si>
  <si>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</si>
  <si>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</si>
  <si>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</si>
  <si>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</si>
  <si>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</si>
  <si>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</si>
  <si>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</si>
  <si>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</si>
  <si>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</si>
  <si>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</si>
  <si>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</si>
  <si>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</si>
  <si>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</si>
  <si>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</si>
  <si>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</si>
  <si>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</si>
  <si>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</si>
  <si>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</si>
  <si>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</si>
  <si>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</si>
  <si>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</si>
  <si>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</si>
  <si>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</si>
  <si>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</si>
  <si>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</si>
  <si>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</si>
  <si>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</si>
  <si>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</si>
  <si>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</si>
  <si>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</si>
  <si>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</si>
  <si>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</si>
  <si>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</si>
  <si>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</si>
  <si>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</si>
  <si>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</si>
  <si>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</si>
  <si>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</si>
  <si>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</si>
  <si>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</si>
  <si>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</si>
  <si>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</si>
  <si>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</si>
  <si>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</si>
  <si>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</si>
  <si>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</si>
  <si>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</si>
  <si>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</si>
  <si>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</si>
  <si>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</si>
  <si>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</si>
  <si>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</si>
  <si>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</si>
  <si>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</si>
  <si>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</si>
  <si>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</si>
  <si>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</si>
  <si>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</si>
  <si>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</si>
  <si>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</si>
  <si>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</si>
  <si>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</si>
  <si>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</si>
  <si>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</si>
  <si>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</si>
  <si>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</si>
  <si>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</si>
  <si>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</si>
  <si>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</si>
  <si>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</si>
  <si>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</si>
  <si>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</si>
  <si>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</si>
  <si>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</si>
  <si>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</si>
  <si>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</si>
  <si>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</si>
  <si>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</si>
  <si>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</si>
  <si>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</si>
  <si>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</si>
  <si>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</si>
  <si>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</si>
  <si>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</si>
  <si>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</si>
  <si>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</si>
  <si>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</si>
  <si>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</si>
  <si>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</si>
  <si>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</si>
  <si>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</si>
  <si>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</si>
  <si>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</si>
  <si>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</si>
  <si>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</si>
  <si>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</si>
  <si>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</si>
  <si>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</si>
  <si>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</si>
  <si>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</si>
  <si>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</si>
  <si>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</si>
  <si>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</si>
  <si>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</si>
  <si>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</si>
  <si>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</si>
  <si>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</si>
  <si>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</si>
  <si>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</si>
  <si>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</si>
  <si>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</si>
  <si>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</si>
  <si>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</si>
  <si>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</si>
  <si>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</si>
  <si>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</si>
  <si>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</si>
  <si>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</si>
  <si>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</si>
  <si>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</si>
  <si>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</si>
  <si>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</si>
  <si>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</si>
  <si>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</si>
  <si>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</si>
  <si>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</si>
  <si>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</si>
  <si>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</si>
  <si>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</si>
  <si>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</si>
  <si>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</si>
  <si>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</si>
  <si>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</si>
  <si>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</si>
  <si>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</si>
  <si>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</si>
  <si>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</si>
  <si>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</si>
  <si>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</si>
  <si>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</si>
  <si>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</si>
  <si>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</si>
  <si>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</si>
  <si>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</si>
  <si>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</si>
  <si>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</si>
  <si>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</si>
  <si>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</si>
  <si>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</si>
  <si>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</si>
  <si>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</si>
  <si>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</si>
  <si>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</si>
  <si>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</si>
  <si>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</si>
  <si>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</si>
  <si>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</si>
  <si>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</si>
  <si>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</si>
  <si>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</si>
  <si>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</si>
  <si>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</si>
  <si>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</si>
  <si>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</si>
  <si>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</si>
  <si>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</si>
  <si>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</si>
  <si>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</si>
  <si>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</si>
  <si>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</si>
  <si>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</si>
  <si>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</si>
  <si>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</si>
  <si>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</si>
  <si>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</si>
  <si>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</si>
  <si>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</si>
  <si>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</si>
  <si>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</si>
  <si>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</si>
  <si>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</si>
  <si>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</si>
  <si>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</si>
  <si>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</si>
  <si>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</si>
  <si>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</si>
  <si>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</si>
  <si>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</si>
  <si>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</si>
  <si>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</si>
  <si>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</si>
  <si>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</si>
  <si>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</si>
  <si>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</si>
  <si>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</si>
  <si>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</si>
  <si>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</si>
  <si>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</si>
  <si>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</si>
  <si>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</si>
  <si>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</si>
  <si>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</si>
  <si>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</si>
  <si>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</si>
  <si>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</si>
  <si>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</si>
  <si>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</si>
  <si>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</si>
  <si>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</si>
  <si>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</si>
  <si>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</si>
  <si>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</si>
  <si>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</si>
  <si>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</si>
  <si>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</si>
  <si>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</si>
  <si>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</si>
  <si>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</si>
  <si>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</si>
  <si>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</si>
  <si>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</si>
  <si>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</si>
  <si>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</si>
  <si>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</si>
  <si>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</si>
  <si>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</si>
  <si>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</si>
  <si>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</si>
  <si>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</si>
  <si>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</si>
  <si>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</si>
  <si>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</si>
  <si>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</si>
  <si>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</si>
  <si>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</si>
  <si>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</si>
  <si>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</si>
  <si>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</si>
  <si>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</si>
  <si>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</si>
  <si>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</si>
  <si>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</si>
  <si>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</si>
  <si>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</si>
  <si>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</si>
  <si>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</si>
  <si>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</si>
  <si>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</si>
  <si>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</si>
  <si>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</si>
  <si>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</si>
  <si>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</si>
  <si>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</si>
  <si>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</si>
  <si>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</si>
  <si>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</si>
  <si>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</si>
  <si>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</si>
  <si>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</si>
  <si>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</si>
  <si>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</si>
  <si>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</si>
  <si>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</si>
  <si>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</si>
  <si>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</si>
  <si>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</si>
  <si>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</si>
  <si>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</si>
  <si>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</si>
  <si>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</si>
  <si>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</si>
  <si>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</si>
  <si>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</si>
  <si>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</si>
  <si>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</si>
  <si>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</si>
  <si>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</si>
  <si>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</si>
  <si>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</si>
  <si>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</si>
  <si>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</si>
  <si>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</si>
  <si>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</si>
  <si>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</si>
  <si>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</si>
  <si>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</si>
  <si>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</si>
  <si>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</si>
  <si>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</si>
  <si>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</si>
  <si>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</si>
  <si>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</si>
  <si>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</si>
  <si>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</si>
  <si>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</si>
  <si>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</si>
  <si>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</si>
  <si>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</si>
  <si>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</si>
  <si>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</si>
  <si>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</si>
  <si>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</si>
  <si>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</si>
  <si>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</si>
  <si>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</si>
  <si>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</si>
  <si>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</si>
  <si>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</si>
  <si>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</si>
  <si>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</si>
  <si>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</si>
  <si>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</si>
  <si>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</si>
  <si>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</si>
  <si>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</si>
  <si>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</si>
  <si>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</si>
  <si>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</si>
  <si>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</si>
  <si>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</si>
  <si>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</si>
  <si>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</si>
  <si>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</si>
  <si>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</si>
  <si>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</si>
  <si>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</si>
  <si>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</si>
  <si>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</si>
  <si>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</si>
  <si>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</si>
  <si>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</si>
  <si>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</si>
  <si>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</si>
  <si>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</si>
  <si>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</si>
  <si>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</si>
  <si>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</si>
  <si>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</si>
  <si>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</si>
  <si>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</si>
  <si>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</si>
  <si>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</si>
  <si>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</si>
  <si>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</si>
  <si>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</si>
  <si>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</si>
  <si>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</si>
  <si>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</si>
  <si>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</si>
  <si>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</si>
  <si>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</si>
  <si>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</si>
  <si>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</si>
  <si>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</si>
  <si>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</si>
  <si>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</si>
  <si>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</si>
  <si>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</si>
  <si>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</si>
  <si>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</si>
  <si>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</si>
  <si>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</si>
  <si>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</si>
  <si>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</si>
  <si>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</si>
  <si>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</si>
  <si>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</si>
  <si>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</si>
  <si>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</si>
  <si>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</si>
  <si>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</si>
  <si>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</si>
  <si>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</si>
  <si>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</si>
  <si>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</si>
  <si>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</si>
  <si>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</si>
  <si>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</si>
  <si>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</si>
  <si>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</si>
  <si>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</si>
  <si>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</si>
  <si>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</si>
  <si>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</si>
  <si>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</si>
  <si>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</si>
  <si>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</si>
  <si>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</si>
  <si>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</si>
  <si>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</si>
  <si>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</si>
  <si>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</si>
  <si>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</si>
  <si>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</si>
  <si>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</si>
  <si>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</si>
  <si>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</si>
  <si>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</si>
  <si>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</si>
  <si>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</si>
  <si>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</si>
  <si>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</si>
  <si>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</si>
  <si>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</si>
  <si>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</si>
  <si>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</si>
  <si>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</si>
  <si>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</si>
  <si>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</si>
  <si>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</si>
  <si>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</si>
  <si>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</si>
  <si>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</si>
  <si>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</si>
  <si>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</si>
  <si>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</si>
  <si>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</si>
  <si>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</si>
  <si>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</si>
  <si>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</si>
  <si>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</si>
  <si>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</si>
  <si>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</si>
  <si>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</si>
  <si>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</si>
  <si>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</si>
  <si>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</si>
  <si>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</si>
  <si>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</si>
  <si>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</si>
  <si>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</si>
  <si>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</si>
  <si>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</si>
  <si>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</si>
  <si>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</si>
  <si>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</si>
  <si>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</si>
  <si>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</si>
  <si>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</si>
  <si>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</si>
  <si>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</si>
  <si>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</si>
  <si>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</si>
  <si>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</si>
  <si>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</si>
  <si>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</si>
  <si>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</si>
  <si>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</si>
  <si>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</si>
  <si>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</si>
  <si>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</si>
  <si>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</si>
  <si>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</si>
  <si>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</si>
  <si>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</si>
  <si>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</si>
  <si>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</si>
  <si>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</si>
  <si>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</si>
  <si>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</si>
  <si>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</si>
  <si>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</si>
  <si>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</si>
  <si>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</si>
  <si>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</si>
  <si>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</si>
  <si>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</si>
  <si>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</si>
  <si>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</si>
  <si>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</si>
  <si>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</si>
  <si>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</si>
  <si>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</si>
  <si>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</si>
  <si>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</si>
  <si>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</si>
  <si>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</si>
  <si>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</si>
  <si>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</si>
  <si>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</si>
  <si>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</si>
  <si>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</si>
  <si>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</si>
  <si>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</si>
  <si>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</si>
  <si>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</si>
  <si>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</si>
  <si>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</si>
  <si>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</si>
  <si>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</si>
  <si>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</si>
  <si>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</si>
  <si>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</si>
  <si>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</si>
  <si>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</si>
  <si>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</si>
  <si>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</si>
  <si>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</si>
  <si>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</si>
  <si>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</si>
  <si>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</si>
  <si>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</si>
  <si>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</si>
  <si>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</si>
  <si>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</si>
  <si>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</si>
  <si>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</si>
  <si>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</si>
  <si>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</si>
  <si>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</si>
  <si>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</si>
  <si>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</si>
  <si>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</si>
  <si>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</si>
  <si>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</si>
  <si>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</si>
  <si>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</si>
  <si>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</si>
  <si>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</si>
  <si>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</si>
  <si>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</si>
  <si>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</si>
  <si>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</si>
  <si>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</si>
  <si>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</si>
  <si>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</si>
  <si>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</si>
  <si>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</si>
  <si>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</si>
  <si>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</si>
  <si>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</si>
  <si>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</si>
  <si>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</si>
  <si>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</si>
  <si>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</si>
  <si>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</si>
  <si>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</si>
  <si>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</si>
  <si>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</si>
  <si>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</si>
  <si>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</si>
  <si>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</si>
  <si>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</si>
  <si>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</si>
  <si>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</si>
  <si>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</si>
  <si>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</si>
  <si>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</si>
  <si>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</si>
  <si>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</si>
  <si>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</si>
  <si>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</si>
  <si>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</si>
  <si>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</si>
  <si>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</si>
  <si>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</si>
  <si>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</si>
  <si>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</si>
  <si>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</si>
  <si>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</si>
  <si>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</si>
  <si>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</si>
  <si>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</si>
  <si>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</si>
  <si>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</si>
  <si>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</si>
  <si>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</si>
  <si>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</si>
  <si>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</si>
  <si>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</si>
  <si>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</si>
  <si>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</si>
  <si>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</si>
  <si>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</si>
  <si>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</si>
  <si>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</si>
  <si>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</si>
  <si>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</si>
  <si>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</si>
  <si>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</si>
  <si>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</si>
  <si>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</si>
  <si>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</si>
  <si>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</si>
  <si>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</si>
  <si>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</si>
  <si>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</si>
  <si>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</si>
  <si>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</si>
  <si>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</si>
  <si>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</si>
  <si>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</si>
  <si>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</si>
  <si>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</si>
  <si>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</si>
  <si>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</si>
  <si>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</si>
  <si>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</si>
  <si>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</si>
  <si>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</si>
  <si>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</si>
  <si>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</si>
  <si>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</si>
  <si>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</si>
  <si>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</si>
  <si>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</si>
  <si>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</si>
  <si>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</si>
  <si>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</si>
  <si>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</si>
  <si>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</si>
  <si>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</si>
  <si>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</si>
  <si>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</si>
  <si>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</si>
  <si>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</si>
  <si>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</si>
  <si>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</si>
  <si>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</si>
  <si>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</si>
  <si>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</si>
  <si>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</si>
  <si>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</si>
  <si>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</si>
  <si>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</si>
  <si>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</si>
  <si>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</si>
  <si>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</si>
  <si>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</si>
  <si>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</si>
  <si>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</si>
  <si>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</si>
  <si>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</si>
  <si>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</si>
  <si>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</si>
  <si>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</si>
  <si>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</si>
  <si>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</si>
  <si>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</si>
  <si>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</si>
  <si>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</si>
  <si>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</si>
  <si>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</si>
  <si>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</si>
  <si>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</si>
  <si>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</si>
  <si>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</si>
  <si>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</si>
  <si>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</si>
  <si>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</si>
  <si>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</si>
  <si>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</si>
  <si>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</si>
  <si>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</si>
  <si>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</si>
  <si>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</si>
  <si>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</si>
  <si>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</si>
  <si>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</si>
  <si>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</si>
  <si>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</si>
  <si>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</si>
  <si>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</si>
  <si>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</si>
  <si>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</si>
  <si>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</si>
  <si>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</si>
  <si>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</si>
  <si>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</si>
  <si>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</si>
  <si>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</si>
  <si>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</si>
  <si>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</si>
  <si>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</si>
  <si>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</si>
  <si>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</si>
  <si>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</si>
  <si>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</si>
  <si>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</si>
  <si>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</si>
  <si>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</si>
  <si>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</si>
  <si>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</si>
  <si>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</si>
  <si>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</si>
  <si>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</si>
  <si>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</si>
  <si>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</si>
  <si>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</si>
  <si>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</si>
  <si>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</si>
  <si>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</si>
  <si>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</si>
  <si>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</si>
  <si>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</si>
  <si>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</si>
  <si>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</si>
  <si>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</si>
  <si>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</si>
  <si>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</si>
  <si>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</si>
  <si>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</si>
  <si>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</si>
  <si>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</si>
  <si>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</si>
  <si>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</si>
  <si>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</si>
  <si>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</si>
  <si>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</si>
  <si>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</si>
  <si>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</si>
  <si>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</si>
  <si>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</si>
  <si>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</si>
  <si>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</si>
  <si>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</si>
  <si>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</si>
  <si>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</si>
  <si>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</si>
  <si>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</si>
  <si>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</si>
  <si>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</si>
  <si>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</si>
  <si>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</si>
  <si>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</si>
  <si>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</si>
  <si>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</si>
  <si>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</si>
  <si>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</si>
  <si>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</si>
  <si>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</si>
  <si>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</si>
  <si>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</si>
  <si>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</si>
  <si>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估价对象6</t>
  </si>
  <si>
    <t>估价对象7</t>
  </si>
  <si>
    <t>估价对象8</t>
  </si>
  <si>
    <t>估价对象9</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</si>
  <si>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</si>
  <si>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</si>
  <si>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</si>
  <si>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</si>
  <si>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</si>
  <si>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</si>
  <si>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</si>
  <si>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</si>
  <si>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</si>
  <si>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</si>
  <si>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</si>
  <si>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</si>
  <si>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</si>
  <si>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</si>
  <si>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</si>
  <si>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</si>
  <si>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</si>
  <si>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</si>
  <si>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</si>
  <si>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</si>
  <si>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</si>
  <si>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</si>
  <si>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</si>
  <si>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</si>
  <si>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</si>
  <si>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</si>
  <si>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</si>
  <si>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</si>
  <si>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</si>
  <si>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</si>
  <si>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</si>
  <si>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</si>
  <si>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</si>
  <si>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</si>
  <si>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</si>
  <si>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</si>
  <si>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</si>
  <si>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</si>
  <si>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</si>
  <si>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</si>
  <si>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</si>
  <si>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</si>
  <si>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</si>
  <si>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</si>
  <si>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</si>
  <si>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</si>
  <si>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</si>
  <si>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</si>
  <si>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</si>
  <si>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</si>
  <si>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</si>
  <si>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</si>
  <si>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</si>
  <si>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</si>
  <si>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</si>
  <si>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</si>
  <si>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</si>
  <si>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</si>
  <si>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</si>
  <si>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</si>
  <si>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</si>
  <si>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</si>
  <si>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</si>
  <si>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</si>
  <si>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</si>
  <si>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</si>
  <si>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</si>
  <si>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</si>
  <si>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</si>
  <si>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</si>
  <si>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</si>
  <si>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</si>
  <si>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</si>
  <si>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</si>
  <si>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</si>
  <si>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</si>
  <si>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</si>
  <si>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</si>
  <si>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</si>
  <si>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</si>
  <si>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</si>
  <si>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</si>
  <si>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</si>
  <si>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</si>
  <si>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</si>
  <si>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</si>
  <si>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</si>
  <si>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</si>
  <si>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</si>
  <si>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</si>
  <si>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</si>
  <si>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</si>
  <si>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</si>
  <si>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</si>
  <si>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</si>
  <si>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</si>
  <si>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</si>
  <si>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</si>
  <si>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</si>
  <si>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</si>
  <si>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</si>
  <si>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</si>
  <si>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</si>
  <si>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</si>
  <si>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</si>
  <si>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</si>
  <si>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</si>
  <si>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</si>
  <si>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</si>
  <si>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</si>
  <si>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</si>
  <si>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</si>
  <si>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地号</t>
  </si>
  <si>
    <t>出让合同编号</t>
  </si>
  <si>
    <t>出让总面积</t>
  </si>
  <si>
    <t>包含地块</t>
  </si>
  <si>
    <t>签订日期</t>
  </si>
  <si>
    <t>地价款</t>
  </si>
  <si>
    <t>出让楼面单价</t>
  </si>
  <si>
    <t>约定竣工日期</t>
  </si>
  <si>
    <t>用途</t>
  </si>
  <si>
    <t>土地面积</t>
  </si>
  <si>
    <t>用地规划许可证</t>
  </si>
  <si>
    <t>计容建筑面积</t>
  </si>
  <si>
    <t>终止日期</t>
  </si>
  <si>
    <t>备注</t>
  </si>
  <si>
    <t>M05-1/02</t>
  </si>
  <si>
    <t>M02/02、M05-1/02、M06/02、M10-1/02</t>
  </si>
  <si>
    <t>城镇住宅、商业</t>
  </si>
  <si>
    <t>地字第500113201400537号</t>
  </si>
  <si>
    <t>202D房地证2014字第00220号</t>
  </si>
  <si>
    <t>2063-9-29（住宅）、2053-9-29（商业）</t>
  </si>
  <si>
    <t>限高40米</t>
  </si>
  <si>
    <t>1.商业20%；2.停车场；3.道路；4.02内有高压线</t>
  </si>
  <si>
    <t>M02/02</t>
  </si>
  <si>
    <t>202D房地证2014字第00221号</t>
  </si>
  <si>
    <t>M03/02</t>
  </si>
  <si>
    <t>5001132013B00523</t>
  </si>
  <si>
    <t>M03/02、M04/02、M07-1/02、M07-1/02、M08-1/02、M08-2/02</t>
  </si>
  <si>
    <t>202D房地证2014字第01031号</t>
  </si>
  <si>
    <t>M04/02</t>
  </si>
  <si>
    <t>202D房地证2014字第01034号</t>
  </si>
  <si>
    <t>M11-1/02</t>
  </si>
  <si>
    <t>5001132013B00497</t>
  </si>
  <si>
    <t>商业</t>
  </si>
  <si>
    <t>地字第500113201300061号</t>
  </si>
  <si>
    <t>202D房地证2014字第00085号</t>
  </si>
  <si>
    <t>2053-9-29（商业）</t>
    <phoneticPr fontId="233" type="noConversion"/>
  </si>
  <si>
    <t>1.M11-3/02地块规划2400平方米停车场是否在该地块范围内；</t>
    <phoneticPr fontId="233" type="noConversion"/>
  </si>
  <si>
    <t>2063-9-29（住宅）、2053-9-29（商业）</t>
    <phoneticPr fontId="233" type="noConversion"/>
  </si>
  <si>
    <t>出让</t>
  </si>
  <si>
    <t>中诚信托有限责任公司</t>
    <phoneticPr fontId="6" type="noConversion"/>
  </si>
  <si>
    <t>重庆融创启阳置业有限公司</t>
    <phoneticPr fontId="6" type="noConversion"/>
  </si>
  <si>
    <t>抵押</t>
  </si>
  <si>
    <t>抵押价格</t>
  </si>
  <si>
    <t>其他：</t>
  </si>
  <si>
    <t>重庆市</t>
    <phoneticPr fontId="6" type="noConversion"/>
  </si>
  <si>
    <t>巴南区南泉鹿角</t>
    <phoneticPr fontId="6" type="noConversion"/>
  </si>
  <si>
    <t>企业</t>
  </si>
  <si>
    <t>房地产权证号</t>
    <phoneticPr fontId="233" type="noConversion"/>
  </si>
  <si>
    <t>5001132013B00515</t>
    <phoneticPr fontId="233" type="noConversion"/>
  </si>
  <si>
    <t>否</t>
  </si>
  <si>
    <t>地上</t>
  </si>
  <si>
    <t>联排别墅</t>
    <phoneticPr fontId="7" type="noConversion"/>
  </si>
  <si>
    <t>商业裙房</t>
    <phoneticPr fontId="7" type="noConversion"/>
  </si>
  <si>
    <t>省会市名称</t>
  </si>
  <si>
    <t>建筑型式</t>
  </si>
  <si>
    <t>多层</t>
  </si>
  <si>
    <t>小高层</t>
  </si>
  <si>
    <t>高层</t>
  </si>
  <si>
    <t>重庆</t>
  </si>
  <si>
    <t>1500</t>
  </si>
  <si>
    <t>1430</t>
  </si>
  <si>
    <t>1660</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</si>
  <si>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</si>
  <si>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</si>
  <si>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</si>
  <si>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</si>
  <si>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</si>
  <si>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</si>
  <si>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</si>
  <si>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</si>
  <si>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</si>
  <si>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</si>
  <si>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</si>
  <si>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</si>
  <si>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</si>
  <si>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</si>
  <si>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</si>
  <si>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</si>
  <si>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</si>
  <si>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巴南区李家沱组团V分区V14-1/03号宗地</t>
  </si>
  <si>
    <t>重庆市</t>
  </si>
  <si>
    <t>住宅用地</t>
  </si>
  <si>
    <t>二类居住用地</t>
  </si>
  <si>
    <t>＞1并且≤2.2</t>
  </si>
  <si>
    <t>2018-10-22</t>
  </si>
  <si>
    <t>渝[2018]40号-3</t>
  </si>
  <si>
    <t>重庆巴源建设投资有限公司</t>
  </si>
  <si>
    <t>住宅50年,商业40年</t>
  </si>
  <si>
    <t>巴南区李家沱组团V分区V14-2-1/03号宗地</t>
  </si>
  <si>
    <t>2018-08-08</t>
  </si>
  <si>
    <t>渝[2018]26号</t>
  </si>
  <si>
    <t>上海大发房地产集团有限公司</t>
  </si>
  <si>
    <t>40年</t>
  </si>
  <si>
    <t>巴南区李家沱-鱼洞组团Q分区Q23-7/02、Q27-2/03、Q28-4/02、Q29-4/02、Q30-2/03、Q30-3/03、Q30-6/03号宗地</t>
  </si>
  <si>
    <t>＞1并且≤1.8</t>
  </si>
  <si>
    <t>2018-06-27</t>
  </si>
  <si>
    <t>渝[2018]22号-2</t>
  </si>
  <si>
    <t>重庆龙湖企业拓展有限公司</t>
  </si>
  <si>
    <t>巴南区界石组团N分区N07/03、N08-1/03号宗地</t>
  </si>
  <si>
    <t>＞1并且≤2.5</t>
  </si>
  <si>
    <t>2018-06-22</t>
  </si>
  <si>
    <t>巴南区李家沱-鱼洞组团P分区P06-12-2/04号宗地</t>
  </si>
  <si>
    <t>＞1并且≤2</t>
  </si>
  <si>
    <t>2018-06-19</t>
  </si>
  <si>
    <t>渝[2018]18号</t>
  </si>
  <si>
    <t>重庆市利百旺房地产开发有限公司</t>
  </si>
  <si>
    <t>巴南区李家沱-鱼洞组团P分区P06-02/03号宗地</t>
  </si>
  <si>
    <t>渝[2018]17号-3</t>
  </si>
  <si>
    <t>重庆辉沛企业管理有限公司、重庆旭中房地产开发有限公司</t>
  </si>
  <si>
    <t>巴南区界石组团M分区M40/02、M41/02号宗地</t>
  </si>
  <si>
    <t>综合用地(含住宅)</t>
  </si>
  <si>
    <t>二类居住用地、商业用地</t>
  </si>
  <si>
    <t>2018-06-13</t>
  </si>
  <si>
    <t>渝[2018]16号-5</t>
  </si>
  <si>
    <t>四川新希望房地产开发有限公司</t>
  </si>
  <si>
    <t>巴南区李家沱组团S分区S17/04、S18-1/03、S18-2/03号宗地</t>
  </si>
  <si>
    <t>保利(重庆)投资实业有限公司</t>
  </si>
  <si>
    <t>巴南区鱼洞组团P分区P07-8/05、P07-9-1/04、P07-14-2/04、P07-14-3/04、P07-17/03、P07-19/05、P07-21/03号宗地</t>
  </si>
  <si>
    <t>≥1并且≤1.94</t>
  </si>
  <si>
    <t>2018-04-24</t>
  </si>
  <si>
    <t>渝[2018]12号-1</t>
  </si>
  <si>
    <t>重庆辉沛企业管理有限公司、重庆金科房地产开发有限公司</t>
  </si>
  <si>
    <t>巴南区界石组团T分区T12-4/02、T12-5/03号宗地</t>
  </si>
  <si>
    <t>＞1并且＜2.2</t>
  </si>
  <si>
    <t>2018-03-27</t>
  </si>
  <si>
    <t>渝[2018]7号-5</t>
  </si>
  <si>
    <t>四川新希望房地产开发有限公司、重庆惠登房地产开发有限公司</t>
  </si>
  <si>
    <t>巴南区李家沱组团A、B分区A01-3/05、A01-4/05、A01-6/05、A01-7/05、A01-9/05、A02-2/05、A02-4/05、A02-5/05、B10-1/05、B10-3/05、B10-4/05、B10-7/05号宗地</t>
  </si>
  <si>
    <t>二类居住用地、商业用地、商务用地</t>
  </si>
  <si>
    <t>＞1并且≤2.96</t>
  </si>
  <si>
    <t>2018-01-31</t>
  </si>
  <si>
    <t>渝[2018]2号-1</t>
  </si>
  <si>
    <t>巴南区界石组团M分区M38-3/02、M39/02号宗地</t>
  </si>
  <si>
    <t>＞1并且≤1.72</t>
  </si>
  <si>
    <t>渝[2018]2号-2</t>
  </si>
  <si>
    <t>保亿置业集团有限公司</t>
  </si>
  <si>
    <t>巴南区南彭功能区组团B分区B10-1/01、B11-1/02</t>
  </si>
  <si>
    <t>＞1并且≤1.84</t>
  </si>
  <si>
    <t>2018-01-18</t>
  </si>
  <si>
    <t>渝[2017]52号-3</t>
  </si>
  <si>
    <t>重庆振中房地产开发有限公司</t>
  </si>
  <si>
    <t>巴南区李家沱组团S分区S42-4/04号宗地</t>
  </si>
  <si>
    <t>＞1并且≤2.8</t>
  </si>
  <si>
    <t>重庆金科房地产开发有限公司</t>
  </si>
  <si>
    <t>巴南区李家沱-鱼洞组团Q分区Q25-3/01、Q25-6/03、Q25-8-1/02、Q25-9/02、Q25-10/02、Q28-1/02号宗地</t>
  </si>
  <si>
    <t>≥1并且≤3</t>
  </si>
  <si>
    <t>2018-01-02</t>
  </si>
  <si>
    <t>渝[2017]50号-1</t>
  </si>
  <si>
    <t>中国电建地产集团有限公司、南国置业股份有限公司</t>
  </si>
  <si>
    <t>巴南区李家沱组团K分区K12-6/03、K13-12/03、K13-13/03、K14-3/03、K14-4/03、K14-6/05、K14-7-1/07号宗地</t>
  </si>
  <si>
    <t>＞1并且≤2.45</t>
  </si>
  <si>
    <t>2017-12-21</t>
  </si>
  <si>
    <t>渝[2017]48号</t>
  </si>
  <si>
    <t>中建三局房地产开发有限公司</t>
  </si>
  <si>
    <t>巴南区李家沱组团G分区G25-1/03、G26-1/03、G2-1/04号宗地</t>
  </si>
  <si>
    <t>二类居住用地、娱乐康体用地、商业用地</t>
  </si>
  <si>
    <t>2017-11-09</t>
  </si>
  <si>
    <t>渝[2017]41号-1</t>
  </si>
  <si>
    <t>北京市华远置业有限公司</t>
  </si>
  <si>
    <t>巴南区李家沱组团B分区B12-6/03号宗地</t>
  </si>
  <si>
    <t>＞1并且≤3</t>
  </si>
  <si>
    <t>2017-09-27</t>
  </si>
  <si>
    <t>渝[2017]34号-1</t>
  </si>
  <si>
    <t>深圳联新投资管理有限公司、中铁房地产集团西南有限公司</t>
  </si>
  <si>
    <t>巴南区李家沱-鱼洞组团Q分区Q24-1/01、Q24-2/01号宗地</t>
  </si>
  <si>
    <t>商业用地、商务用地、二类居住用地</t>
  </si>
  <si>
    <t>＞1并且≤3.6</t>
  </si>
  <si>
    <t>2017-08-29</t>
  </si>
  <si>
    <t>渝[2017]28号-1</t>
  </si>
  <si>
    <t>南国置业股份有限公司、中国电建地产集团有限公司、嘉兴鼎然投资合伙企业(有限合伙)</t>
  </si>
  <si>
    <t>巴南区南彭功能区组团B分区B8-1/02号宗地</t>
  </si>
  <si>
    <t>≥1并且≤2</t>
  </si>
  <si>
    <t>2017-07-31</t>
  </si>
  <si>
    <t>渝[2017]25号-5</t>
  </si>
  <si>
    <t>巴南区南彭功能区组团B分区B9-4/02号宗地</t>
  </si>
  <si>
    <t>巴南区南彭功能区组团B分区B7-6/02号宗地</t>
  </si>
  <si>
    <t>巴南区南彭功能区组团B分区B1-1/01号宗地</t>
  </si>
  <si>
    <t>巴南区李家沱-鱼洞组团O分区O24-5/04号宗地</t>
  </si>
  <si>
    <t>≥1并且≤3.6</t>
  </si>
  <si>
    <t>重庆华熙国信体育文化产业发展有限公司</t>
  </si>
  <si>
    <t>巴南区界石组团N分区N12/02号宗地</t>
  </si>
  <si>
    <t>≥1并且≤2.5</t>
  </si>
  <si>
    <t>2017-07-28</t>
  </si>
  <si>
    <t>渝[2017]24号-1</t>
  </si>
  <si>
    <t>巴南区界石组团N标准分区N15-1/02、N15-2/02号宗地</t>
  </si>
  <si>
    <t>二类居住用地、服务设施用地</t>
  </si>
  <si>
    <t>≥1并且≤1.9</t>
  </si>
  <si>
    <t>宁波投创荣安置业有限公司</t>
  </si>
  <si>
    <t>巴南区界石组团N标准分区N16-1/02、N16-3/02、N17/02、N18/02号宗地</t>
  </si>
  <si>
    <t>≥1并且≤2.3</t>
  </si>
  <si>
    <t>四川雅居乐房地产开发有限公司</t>
  </si>
  <si>
    <t>巴南区李家沱组团G分区G27-1/03、G28-1/03、G30-1/03、G1-8/03号宗地</t>
  </si>
  <si>
    <t>≥1并且≤2.9</t>
  </si>
  <si>
    <t>2017-06-16</t>
  </si>
  <si>
    <t>渝[2017]18号-1</t>
  </si>
  <si>
    <t>华润置地(常州)有限公司</t>
  </si>
  <si>
    <t>巴南区李家沱组团V分区V1-4/03*、V1-2/02号宗地</t>
  </si>
  <si>
    <t>重庆远轩房地产开发有限公司</t>
  </si>
  <si>
    <t>巴南区李家沱组团G分区G14-2/03、G15-3/03、G16-3/03号宗地</t>
  </si>
  <si>
    <t>≤2.337</t>
  </si>
  <si>
    <t>2017-06-09</t>
  </si>
  <si>
    <t>重庆辉沛企业管理有限公司和重庆市垫江县碧桂园房地产</t>
  </si>
  <si>
    <t>巴南区李家沱组团G分区G21-1/03、G21-3/03、G22-1/03号宗地</t>
  </si>
  <si>
    <t>≤3</t>
  </si>
  <si>
    <t>巴南区李家沱-鱼洞组团O分区O20-3/02、O20-4/02号宗地</t>
  </si>
  <si>
    <t>≤2.923</t>
  </si>
  <si>
    <t>巴南区李家沱-鱼洞组团Q分区Q21-5/01、Q22-1/02、Q23-1/01号宗地</t>
  </si>
  <si>
    <t>≤2.395</t>
  </si>
  <si>
    <t>巴南区民主工贸园组团D分区D6-4-1/07号宗地</t>
  </si>
  <si>
    <t>≤1</t>
  </si>
  <si>
    <t>国有建设用地使用权公开出让公告(2017-05-20)</t>
  </si>
  <si>
    <t>重庆市垫江县碧桂园房地产开发有限公司</t>
  </si>
  <si>
    <t>巴南区李家沱组团B分区B-13-1/06、B-13-2/06、B-19-5/07号宗地</t>
  </si>
  <si>
    <t>≤3.26</t>
  </si>
  <si>
    <t>重庆远澜房地产开发有限公司</t>
  </si>
  <si>
    <t>商业40年、住宅70年</t>
  </si>
  <si>
    <t>巴南区木洞组团C分区C34-1/01号宗地</t>
  </si>
  <si>
    <t>二类居住用地、商业用地、交通场站用地</t>
  </si>
  <si>
    <t>2017-05-27</t>
  </si>
  <si>
    <t>渝[2017]14号</t>
  </si>
  <si>
    <t>重庆麻柳沿江开发投资有限公司</t>
  </si>
  <si>
    <t>巴南区李家沱组团S分区S41-2/03号宗地</t>
  </si>
  <si>
    <t>＞1并且≤2.3</t>
  </si>
  <si>
    <t>2017-05-18</t>
  </si>
  <si>
    <t>渝[2017]13号-1</t>
  </si>
  <si>
    <t>重庆铭邦房地产开发有限公司</t>
  </si>
  <si>
    <t>巴南区李家沱-鱼洞组团Q分区Q02-2-1/03号宗地</t>
  </si>
  <si>
    <t>福州世欧房地产开发有限公司</t>
  </si>
  <si>
    <t>巴南区D分区D6-1-1/04号宗地</t>
  </si>
  <si>
    <t>2017-04-07</t>
  </si>
  <si>
    <t>渝[2017]9号-3</t>
  </si>
  <si>
    <t>重庆华宇集团有限公司</t>
  </si>
  <si>
    <t>50年</t>
  </si>
  <si>
    <t>巴南区接龙镇组团分区A2-06/02号宗地</t>
  </si>
  <si>
    <t>≤2</t>
  </si>
  <si>
    <t>2017-02-09</t>
  </si>
  <si>
    <t>渝[2017]3号-2</t>
  </si>
  <si>
    <t>重庆市景园房地产开发有限公司</t>
  </si>
  <si>
    <t>70年40年</t>
  </si>
  <si>
    <t>巴南区李家沱组团V分区V6-1/03、V6-4/03号宗地</t>
  </si>
  <si>
    <t>≤2.3</t>
  </si>
  <si>
    <t>2016-12-08</t>
  </si>
  <si>
    <t>渝国土房管告字[2016]37号-3</t>
  </si>
  <si>
    <t>恒大地产集团重庆有限公司</t>
  </si>
  <si>
    <t>70年</t>
  </si>
  <si>
    <t>巴南区李家沱组团V分区V5-1/04、V5-2/04号宗地</t>
  </si>
  <si>
    <t>渝国土房管告字[2016]37号-2</t>
  </si>
  <si>
    <t>巴南区龙州湾组团M分区M11-1-3/02号宗地</t>
  </si>
  <si>
    <t>≤2.5</t>
  </si>
  <si>
    <t>渝国土房管告字[2016]37号-1</t>
  </si>
  <si>
    <t>深圳市悦港电子商务有限公司、重庆佳兆业房地产开发有限公司</t>
  </si>
  <si>
    <t>巴南区李家沱组团L分区L1-1/04、L1-3/04、L2-1/03、L3-1/03、L4-1/03、L5-1/03、L6-1/03号宗地</t>
  </si>
  <si>
    <t>文化设施用地、二类居住用地、商业用地</t>
  </si>
  <si>
    <t>≤1.9</t>
  </si>
  <si>
    <t>2016-12-07</t>
  </si>
  <si>
    <t>渝国土房管告字[2016]36号-2</t>
  </si>
  <si>
    <t>荣盛房地产发展股份有限公司</t>
  </si>
  <si>
    <t>巴南区李家沱-鱼洞组团Q标准分区Q19-2/02、Q21-1/01、Q21-2/02、Q21-3/02号宗地</t>
  </si>
  <si>
    <t>≤2.2</t>
  </si>
  <si>
    <t>渝国土房管告字[2016]36号-3</t>
  </si>
  <si>
    <t>巴南区李家沱-鱼洞组团Q分区Q17-2/01、Q18-2/02、Q19-1/01、Q19-4/01号宗地</t>
  </si>
  <si>
    <t>≤1.92</t>
  </si>
  <si>
    <t>2016-11-28</t>
  </si>
  <si>
    <t>渝国土房管告字[2016]35号-2</t>
  </si>
  <si>
    <t>联发集团重庆房地产开发有限公司</t>
  </si>
  <si>
    <t>70年、40年</t>
  </si>
  <si>
    <t>巴南区李家沱组团B分区B07-4/01、B07-3/02号宗地</t>
  </si>
  <si>
    <t>≤1.5</t>
  </si>
  <si>
    <t>2016-11-15</t>
  </si>
  <si>
    <t>渝国土房管告字[2016]34号-3</t>
  </si>
  <si>
    <t>中铁房地产集团西南有限公司</t>
  </si>
  <si>
    <t>巴南区李家沱组团R分区R13-3/02、R13-5/01、R13-8/01、R13-10/01号宗地</t>
  </si>
  <si>
    <t>≤2.1</t>
  </si>
  <si>
    <t>渝国土房管告字[2016]34号-2</t>
  </si>
  <si>
    <t>重庆云鸥产业有限公司</t>
  </si>
  <si>
    <t>巴南区李家沱-鱼洞组团B标准分区B12-3/02、B12-5/02号宗地</t>
  </si>
  <si>
    <t>二类居住用地,商业用地</t>
  </si>
  <si>
    <t>≤3.18</t>
  </si>
  <si>
    <t>2016-10-24</t>
  </si>
  <si>
    <t>渝国土房管告字[2016]32号-2</t>
  </si>
  <si>
    <t>重庆市诚投房地产开发有限公司</t>
  </si>
  <si>
    <t>巴南区南彭功能区组团分区B7-1/01号宗地</t>
  </si>
  <si>
    <t>2016-10-08</t>
  </si>
  <si>
    <t>渝国土房管告字[2016]30号</t>
  </si>
  <si>
    <t>重庆华南城有限公司</t>
  </si>
  <si>
    <t>楼面地价</t>
  </si>
  <si>
    <t>较好</t>
  </si>
  <si>
    <t>一般</t>
  </si>
  <si>
    <t>联排别墅</t>
  </si>
  <si>
    <t>商业裙房</t>
  </si>
  <si>
    <t>比较法-住宅、综合</t>
  </si>
  <si>
    <t>剩余法-待开发</t>
  </si>
  <si>
    <t>渝[2018]20号-2</t>
    <phoneticPr fontId="233" type="noConversion"/>
  </si>
  <si>
    <t>卓越置业集团重庆两江有限公司、四川新希望房地产开发有限公司</t>
    <phoneticPr fontId="233" type="noConversion"/>
  </si>
  <si>
    <t>年期修正系数</t>
    <phoneticPr fontId="26" type="noConversion"/>
  </si>
  <si>
    <r>
      <t>40</t>
    </r>
    <r>
      <rPr>
        <sz val="11"/>
        <color indexed="8"/>
        <rFont val="宋体"/>
        <family val="3"/>
        <charset val="134"/>
      </rPr>
      <t>年</t>
    </r>
    <phoneticPr fontId="26"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</si>
  <si>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</si>
  <si>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</si>
  <si>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巴南区界石组团N分区N07/03、N08-1/03号宗地</t>
    <phoneticPr fontId="233" type="noConversion"/>
  </si>
  <si>
    <t>新希望·卓越璟樾云山</t>
    <phoneticPr fontId="26" type="noConversion"/>
  </si>
  <si>
    <t>巴南区界石组团M分区M40/02、M41/02号宗地</t>
    <phoneticPr fontId="233" type="noConversion"/>
  </si>
  <si>
    <t>新希望鹿角观山御景</t>
    <phoneticPr fontId="26" type="noConversion"/>
  </si>
  <si>
    <t>巴南区界石组团M分区M38-3/02、M39/02号宗地</t>
    <phoneticPr fontId="233" type="noConversion"/>
  </si>
  <si>
    <t>保亿湖山鹿鸣</t>
    <phoneticPr fontId="26" type="noConversion"/>
  </si>
  <si>
    <t>较规则</t>
  </si>
  <si>
    <t>较规则</t>
    <phoneticPr fontId="26" type="noConversion"/>
  </si>
  <si>
    <t>较好</t>
    <phoneticPr fontId="26" type="noConversion"/>
  </si>
  <si>
    <t>六通</t>
  </si>
  <si>
    <t>六通</t>
    <phoneticPr fontId="26" type="noConversion"/>
  </si>
  <si>
    <t>支路</t>
  </si>
  <si>
    <t>支路</t>
    <phoneticPr fontId="26" type="noConversion"/>
  </si>
  <si>
    <t>住宅</t>
    <phoneticPr fontId="26" type="noConversion"/>
  </si>
  <si>
    <t>请录依据文件名称：《重庆市城市建设配套费征收管理办法》（重庆市人民政府令第253号）</t>
    <phoneticPr fontId="3" type="noConversion"/>
  </si>
  <si>
    <r>
      <rPr>
        <sz val="11"/>
        <color indexed="8"/>
        <rFont val="宋体"/>
        <family val="3"/>
        <charset val="134"/>
      </rPr>
      <t>住宅</t>
    </r>
    <r>
      <rPr>
        <sz val="11"/>
        <color indexed="8"/>
        <rFont val="Arial"/>
        <family val="2"/>
      </rPr>
      <t>50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</si>
  <si>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商业占比</t>
    <phoneticPr fontId="26" type="noConversion"/>
  </si>
  <si>
    <r>
      <t>20%</t>
    </r>
    <r>
      <rPr>
        <sz val="11"/>
        <rFont val="宋体"/>
        <family val="3"/>
        <charset val="134"/>
      </rPr>
      <t>商业</t>
    </r>
    <phoneticPr fontId="26" type="noConversion"/>
  </si>
  <si>
    <r>
      <t>20%</t>
    </r>
    <r>
      <rPr>
        <sz val="11"/>
        <color indexed="8"/>
        <rFont val="宋体"/>
        <family val="3"/>
        <charset val="134"/>
      </rPr>
      <t>商业</t>
    </r>
    <phoneticPr fontId="26" type="noConversion"/>
  </si>
  <si>
    <t>A</t>
    <phoneticPr fontId="26" type="noConversion"/>
  </si>
  <si>
    <t>B</t>
    <phoneticPr fontId="26" type="noConversion"/>
  </si>
  <si>
    <t>C</t>
    <phoneticPr fontId="26" type="noConversion"/>
  </si>
  <si>
    <t>其他省市请录依据文件名称：重庆市人民政府关于调整主城区城镇土地使用税等级税额标准的通知</t>
    <phoneticPr fontId="3" type="noConversion"/>
  </si>
  <si>
    <r>
      <rPr>
        <b/>
        <sz val="11"/>
        <color rgb="FFFF0000"/>
        <rFont val="仿宋_GB2312"/>
        <family val="3"/>
        <charset val="134"/>
      </rPr>
      <t>商业繁华度</t>
    </r>
    <phoneticPr fontId="26" type="noConversion"/>
  </si>
  <si>
    <t>独栋</t>
    <phoneticPr fontId="21" type="noConversion"/>
  </si>
  <si>
    <t>联排</t>
  </si>
  <si>
    <t>联排</t>
    <phoneticPr fontId="21" type="noConversion"/>
  </si>
  <si>
    <t>叠拼</t>
  </si>
  <si>
    <t>叠拼</t>
    <phoneticPr fontId="21" type="noConversion"/>
  </si>
  <si>
    <t>洋房</t>
  </si>
  <si>
    <t>洋房</t>
    <phoneticPr fontId="21" type="noConversion"/>
  </si>
  <si>
    <t>高层</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</si>
  <si>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</si>
  <si>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</si>
  <si>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</si>
  <si>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</si>
  <si>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</si>
  <si>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</si>
  <si>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六通</t>
    <phoneticPr fontId="21" type="noConversion"/>
  </si>
  <si>
    <t>专业</t>
  </si>
  <si>
    <t>专业</t>
    <phoneticPr fontId="21" type="noConversion"/>
  </si>
  <si>
    <t>较好</t>
    <phoneticPr fontId="21" type="noConversion"/>
  </si>
  <si>
    <t>钢混</t>
  </si>
  <si>
    <t>钢混</t>
    <phoneticPr fontId="21" type="noConversion"/>
  </si>
  <si>
    <t>住宅</t>
    <phoneticPr fontId="21"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</si>
  <si>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</si>
  <si>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</si>
  <si>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t>40-50（含）</t>
  </si>
  <si>
    <t>30-40（含）</t>
  </si>
  <si>
    <t>不动产收益法</t>
  </si>
  <si>
    <t>土地（套用方法）</t>
  </si>
  <si>
    <t>按租金收入计税</t>
  </si>
  <si>
    <t>支路</t>
    <phoneticPr fontId="21" type="noConversion"/>
  </si>
  <si>
    <t>售价</t>
  </si>
  <si>
    <r>
      <rPr>
        <b/>
        <sz val="11"/>
        <color rgb="FFFF0000"/>
        <rFont val="仿宋_GB2312"/>
        <family val="3"/>
        <charset val="134"/>
      </rPr>
      <t>土地使用年限（年）</t>
    </r>
    <phoneticPr fontId="3" type="noConversion"/>
  </si>
  <si>
    <t>土地</t>
  </si>
  <si>
    <t>《国有建设用地使用权出让合同》[电子监管号：5001132013B00515]及附件</t>
    <phoneticPr fontId="6" type="noConversion"/>
  </si>
  <si>
    <t>住宅、商业</t>
    <phoneticPr fontId="6" type="noConversion"/>
  </si>
  <si>
    <t>二类居住用地</t>
    <phoneticPr fontId="6" type="noConversion"/>
  </si>
  <si>
    <t>《国有建设用地使用权出让合同》[电子监管号：5001132013B00515]及附件</t>
    <phoneticPr fontId="6" type="noConversion"/>
  </si>
  <si>
    <t>1.计容建筑面积354245.8平方米，商业118549.16平方米，住宅235696.64平方米；2.03、04内有高压线；3.道路、幼儿园、托老所等等等</t>
    <phoneticPr fontId="233" type="noConversion"/>
  </si>
  <si>
    <t>价值时点</t>
  </si>
  <si>
    <t>法定最高/出让年限</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</si>
  <si>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</si>
  <si>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</si>
  <si>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</si>
  <si>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</si>
  <si>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</si>
  <si>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</si>
  <si>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</si>
  <si>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</si>
  <si>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</si>
  <si>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</si>
  <si>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</si>
  <si>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</si>
  <si>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</si>
  <si>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</si>
  <si>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</si>
  <si>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</si>
  <si>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</si>
  <si>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r>
      <rPr>
        <b/>
        <sz val="11"/>
        <color rgb="FFFF0000"/>
        <rFont val="仿宋_GB2312"/>
        <family val="3"/>
        <charset val="134"/>
      </rPr>
      <t>土地使用年限（年）</t>
    </r>
    <phoneticPr fontId="3" type="noConversion"/>
  </si>
  <si>
    <r>
      <rPr>
        <b/>
        <sz val="12"/>
        <rFont val="宋体"/>
        <family val="3"/>
        <charset val="134"/>
      </rPr>
      <t>巴南区界石组团</t>
    </r>
    <r>
      <rPr>
        <b/>
        <sz val="12"/>
        <rFont val="Arial"/>
        <family val="2"/>
      </rPr>
      <t>N</t>
    </r>
    <r>
      <rPr>
        <b/>
        <sz val="12"/>
        <rFont val="宋体"/>
        <family val="3"/>
        <charset val="134"/>
      </rPr>
      <t>分区</t>
    </r>
    <r>
      <rPr>
        <b/>
        <sz val="12"/>
        <rFont val="Arial"/>
        <family val="2"/>
      </rPr>
      <t>N12/02</t>
    </r>
    <r>
      <rPr>
        <b/>
        <sz val="12"/>
        <rFont val="宋体"/>
        <family val="3"/>
        <charset val="134"/>
      </rPr>
      <t>号宗地</t>
    </r>
    <phoneticPr fontId="21" type="noConversion"/>
  </si>
  <si>
    <t>M02</t>
    <phoneticPr fontId="3" type="noConversion"/>
  </si>
  <si>
    <t>估价对象1（M02）</t>
    <phoneticPr fontId="233" type="noConversion"/>
  </si>
  <si>
    <t>估价对象2（M03）</t>
    <phoneticPr fontId="233" type="noConversion"/>
  </si>
  <si>
    <t>估价对象3（M04）</t>
    <phoneticPr fontId="233" type="noConversion"/>
  </si>
  <si>
    <t>估价对象4（M05）</t>
    <phoneticPr fontId="233" type="noConversion"/>
  </si>
  <si>
    <t>估价对象5（M11）</t>
    <phoneticPr fontId="233" type="noConversion"/>
  </si>
  <si>
    <t>正常</t>
  </si>
  <si>
    <t>非个人房产</t>
  </si>
  <si>
    <t>美的荣安公园天下</t>
    <phoneticPr fontId="3" type="noConversion"/>
  </si>
  <si>
    <t>巴南片区天鹿大道</t>
    <phoneticPr fontId="3" type="noConversion"/>
  </si>
  <si>
    <t>保亿湖山鹿鸣</t>
    <phoneticPr fontId="3" type="noConversion"/>
  </si>
  <si>
    <t>中海悦麓山</t>
    <phoneticPr fontId="3" type="noConversion"/>
  </si>
  <si>
    <t>重庆市巴南区鹿角天路大道</t>
    <phoneticPr fontId="3" type="noConversion"/>
  </si>
  <si>
    <t>道路级别</t>
    <phoneticPr fontId="21" type="noConversion"/>
  </si>
  <si>
    <t>估价对象</t>
  </si>
  <si>
    <t>地块</t>
  </si>
  <si>
    <t>《房地产权证》证号</t>
  </si>
  <si>
    <t>规划建筑面积</t>
  </si>
  <si>
    <t>其中</t>
  </si>
  <si>
    <t>独立商业</t>
  </si>
  <si>
    <r>
      <t>202D</t>
    </r>
    <r>
      <rPr>
        <sz val="9"/>
        <color theme="1"/>
        <rFont val="仿宋_GB2312"/>
        <family val="3"/>
        <charset val="134"/>
      </rPr>
      <t>房地证</t>
    </r>
    <r>
      <rPr>
        <sz val="9"/>
        <color theme="1"/>
        <rFont val="Arial"/>
        <family val="2"/>
      </rPr>
      <t>2014</t>
    </r>
    <r>
      <rPr>
        <sz val="9"/>
        <color theme="1"/>
        <rFont val="仿宋_GB2312"/>
        <family val="3"/>
        <charset val="134"/>
      </rPr>
      <t>字第</t>
    </r>
    <r>
      <rPr>
        <sz val="9"/>
        <color theme="1"/>
        <rFont val="Arial"/>
        <family val="2"/>
      </rPr>
      <t>00221</t>
    </r>
    <r>
      <rPr>
        <sz val="9"/>
        <color theme="1"/>
        <rFont val="仿宋_GB2312"/>
        <family val="3"/>
        <charset val="134"/>
      </rPr>
      <t>号</t>
    </r>
  </si>
  <si>
    <r>
      <t>202D</t>
    </r>
    <r>
      <rPr>
        <sz val="9"/>
        <color theme="1"/>
        <rFont val="仿宋_GB2312"/>
        <family val="3"/>
        <charset val="134"/>
      </rPr>
      <t>房地证</t>
    </r>
    <r>
      <rPr>
        <sz val="9"/>
        <color theme="1"/>
        <rFont val="Arial"/>
        <family val="2"/>
      </rPr>
      <t>2014</t>
    </r>
    <r>
      <rPr>
        <sz val="9"/>
        <color theme="1"/>
        <rFont val="仿宋_GB2312"/>
        <family val="3"/>
        <charset val="134"/>
      </rPr>
      <t>字第</t>
    </r>
    <r>
      <rPr>
        <sz val="9"/>
        <color theme="1"/>
        <rFont val="Arial"/>
        <family val="2"/>
      </rPr>
      <t>01031</t>
    </r>
    <r>
      <rPr>
        <sz val="9"/>
        <color theme="1"/>
        <rFont val="仿宋_GB2312"/>
        <family val="3"/>
        <charset val="134"/>
      </rPr>
      <t>号</t>
    </r>
  </si>
  <si>
    <r>
      <t>202D</t>
    </r>
    <r>
      <rPr>
        <sz val="9"/>
        <color theme="1"/>
        <rFont val="仿宋_GB2312"/>
        <family val="3"/>
        <charset val="134"/>
      </rPr>
      <t>房地证</t>
    </r>
    <r>
      <rPr>
        <sz val="9"/>
        <color theme="1"/>
        <rFont val="Arial"/>
        <family val="2"/>
      </rPr>
      <t>2014</t>
    </r>
    <r>
      <rPr>
        <sz val="9"/>
        <color theme="1"/>
        <rFont val="仿宋_GB2312"/>
        <family val="3"/>
        <charset val="134"/>
      </rPr>
      <t>字第</t>
    </r>
    <r>
      <rPr>
        <sz val="9"/>
        <color theme="1"/>
        <rFont val="Arial"/>
        <family val="2"/>
      </rPr>
      <t>01034</t>
    </r>
    <r>
      <rPr>
        <sz val="9"/>
        <color theme="1"/>
        <rFont val="仿宋_GB2312"/>
        <family val="3"/>
        <charset val="134"/>
      </rPr>
      <t>号</t>
    </r>
  </si>
  <si>
    <r>
      <t>202D</t>
    </r>
    <r>
      <rPr>
        <sz val="9"/>
        <color theme="1"/>
        <rFont val="仿宋_GB2312"/>
        <family val="3"/>
        <charset val="134"/>
      </rPr>
      <t>房地证</t>
    </r>
    <r>
      <rPr>
        <sz val="9"/>
        <color theme="1"/>
        <rFont val="Arial"/>
        <family val="2"/>
      </rPr>
      <t>2014</t>
    </r>
    <r>
      <rPr>
        <sz val="9"/>
        <color theme="1"/>
        <rFont val="仿宋_GB2312"/>
        <family val="3"/>
        <charset val="134"/>
      </rPr>
      <t>字第</t>
    </r>
    <r>
      <rPr>
        <sz val="9"/>
        <color theme="1"/>
        <rFont val="Arial"/>
        <family val="2"/>
      </rPr>
      <t>00220</t>
    </r>
    <r>
      <rPr>
        <sz val="9"/>
        <color theme="1"/>
        <rFont val="仿宋_GB2312"/>
        <family val="3"/>
        <charset val="134"/>
      </rPr>
      <t>号</t>
    </r>
  </si>
  <si>
    <r>
      <t>202D</t>
    </r>
    <r>
      <rPr>
        <sz val="9"/>
        <color theme="1"/>
        <rFont val="仿宋_GB2312"/>
        <family val="3"/>
        <charset val="134"/>
      </rPr>
      <t>房地证</t>
    </r>
    <r>
      <rPr>
        <sz val="9"/>
        <color theme="1"/>
        <rFont val="Arial"/>
        <family val="2"/>
      </rPr>
      <t>2014</t>
    </r>
    <r>
      <rPr>
        <sz val="9"/>
        <color theme="1"/>
        <rFont val="仿宋_GB2312"/>
        <family val="3"/>
        <charset val="134"/>
      </rPr>
      <t>字第</t>
    </r>
    <r>
      <rPr>
        <sz val="9"/>
        <color theme="1"/>
        <rFont val="Arial"/>
        <family val="2"/>
      </rPr>
      <t>00085</t>
    </r>
    <r>
      <rPr>
        <sz val="9"/>
        <color theme="1"/>
        <rFont val="仿宋_GB2312"/>
        <family val="3"/>
        <charset val="134"/>
      </rPr>
      <t>号</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</si>
</sst>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华文细黑"/>
      <family val="3"/>
      <charset val="134"/>
    </font>
    <font>
      <b/>
      <sz val="10"/>
      <color theme="3"/>
      <name val="宋体"/>
      <family val="3"/>
      <charset val="134"/>
    </font>
    <font>
      <b/>
      <sz val="11"/>
      <color rgb="FFFF0000"/>
      <name val="仿宋_GB2312"/>
      <family val="3"/>
      <charset val="134"/>
    </font>
    <font>
      <sz val="9"/>
      <color theme="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FFC000"/>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277" fillId="0" borderId="0" xfId="0" applyFont="1" applyAlignment="1">
      <alignment horizontal="left" vertical="center"/>
    </xf>
    <xf numFmtId="190" fontId="277" fillId="0" borderId="0" xfId="0" applyNumberFormat="1" applyFont="1" applyAlignment="1">
      <alignment horizontal="left" vertical="center"/>
    </xf>
    <xf numFmtId="58" fontId="277" fillId="0" borderId="0" xfId="0" applyNumberFormat="1" applyFont="1" applyAlignment="1">
      <alignment horizontal="left" vertical="center"/>
    </xf>
    <xf numFmtId="0" fontId="277" fillId="17" borderId="0" xfId="0" applyFont="1" applyFill="1" applyAlignment="1">
      <alignment horizontal="left" vertical="center"/>
    </xf>
    <xf numFmtId="0" fontId="277" fillId="0" borderId="0" xfId="0" applyFont="1" applyAlignment="1">
      <alignment horizontal="left" vertical="center" wrapText="1"/>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0" fillId="18" borderId="0" xfId="0" applyFill="1" applyAlignment="1"/>
    <xf numFmtId="0" fontId="0" fillId="18" borderId="0" xfId="0" applyFill="1">
      <alignment vertical="center"/>
    </xf>
    <xf numFmtId="0" fontId="0" fillId="19" borderId="0" xfId="0" applyFill="1" applyAlignment="1"/>
    <xf numFmtId="0" fontId="0" fillId="19" borderId="0" xfId="0" applyFill="1">
      <alignment vertical="center"/>
    </xf>
    <xf numFmtId="0" fontId="145" fillId="19" borderId="0" xfId="0" applyFont="1" applyFill="1" applyAlignment="1"/>
    <xf numFmtId="0" fontId="208" fillId="8" borderId="63" xfId="0" applyFont="1" applyFill="1" applyBorder="1" applyAlignment="1" applyProtection="1">
      <alignment horizontal="left" vertical="center" wrapText="1"/>
      <protection locked="0"/>
    </xf>
    <xf numFmtId="0" fontId="278" fillId="5" borderId="0" xfId="0" applyFont="1" applyFill="1" applyAlignment="1" applyProtection="1">
      <alignment vertical="center"/>
      <protection locked="0"/>
    </xf>
    <xf numFmtId="0" fontId="205" fillId="0" borderId="2" xfId="0" applyNumberFormat="1" applyFont="1" applyFill="1" applyBorder="1" applyAlignment="1" applyProtection="1">
      <alignment horizontal="center" vertical="center" wrapText="1"/>
      <protection locked="0"/>
    </xf>
    <xf numFmtId="0" fontId="205"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4" fillId="5" borderId="0" xfId="0" applyNumberFormat="1" applyFont="1" applyFill="1" applyAlignment="1" applyProtection="1">
      <alignment horizontal="center" vertical="center"/>
      <protection locked="0"/>
    </xf>
    <xf numFmtId="0" fontId="205" fillId="5" borderId="25" xfId="0" applyFont="1" applyFill="1" applyBorder="1" applyAlignment="1" applyProtection="1">
      <alignment horizontal="center" vertical="center" wrapText="1"/>
    </xf>
    <xf numFmtId="0" fontId="101" fillId="5"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5" fillId="5" borderId="16" xfId="0" applyFont="1" applyFill="1" applyBorder="1" applyAlignment="1" applyProtection="1">
      <alignment horizontal="left" vertical="center" wrapText="1"/>
    </xf>
    <xf numFmtId="49" fontId="195" fillId="0" borderId="17" xfId="0" applyNumberFormat="1" applyFont="1" applyFill="1" applyBorder="1" applyAlignment="1" applyProtection="1">
      <alignment horizontal="left" vertical="center"/>
      <protection locked="0"/>
    </xf>
    <xf numFmtId="0" fontId="160" fillId="5" borderId="33" xfId="4" applyFont="1" applyFill="1" applyBorder="1"/>
    <xf numFmtId="183" fontId="71" fillId="0" borderId="34" xfId="4" applyNumberFormat="1" applyFont="1" applyFill="1" applyBorder="1" applyAlignment="1" applyProtection="1">
      <alignment horizontal="center" vertical="center"/>
      <protection locked="0"/>
    </xf>
    <xf numFmtId="0" fontId="160" fillId="0" borderId="0" xfId="4" applyFont="1"/>
    <xf numFmtId="180"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79"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7" fontId="71" fillId="6" borderId="11" xfId="2" applyNumberFormat="1" applyFont="1" applyFill="1" applyBorder="1" applyAlignment="1" applyProtection="1">
      <alignment horizontal="center" vertical="center"/>
      <protection locked="0"/>
    </xf>
    <xf numFmtId="183" fontId="71" fillId="0" borderId="2" xfId="4" applyNumberFormat="1" applyFont="1" applyFill="1" applyBorder="1" applyAlignment="1" applyProtection="1">
      <alignment horizontal="center" vertical="center"/>
      <protection locked="0"/>
    </xf>
    <xf numFmtId="181" fontId="149" fillId="0" borderId="12" xfId="4" applyNumberFormat="1" applyFont="1" applyFill="1" applyBorder="1" applyAlignment="1" applyProtection="1">
      <alignment horizontal="center" vertical="center"/>
      <protection locked="0"/>
    </xf>
    <xf numFmtId="177" fontId="71" fillId="6" borderId="43" xfId="2" applyNumberFormat="1" applyFont="1" applyFill="1" applyBorder="1" applyAlignment="1" applyProtection="1">
      <alignment horizontal="center" vertical="center"/>
      <protection locked="0"/>
    </xf>
    <xf numFmtId="183" fontId="71" fillId="0" borderId="44" xfId="4" applyNumberFormat="1" applyFont="1" applyFill="1" applyBorder="1" applyAlignment="1" applyProtection="1">
      <alignment horizontal="center" vertical="center"/>
      <protection locked="0"/>
    </xf>
    <xf numFmtId="179" fontId="84" fillId="5" borderId="44" xfId="2" applyNumberFormat="1" applyFont="1" applyFill="1" applyBorder="1" applyAlignment="1" applyProtection="1">
      <alignment horizontal="center" vertical="center"/>
    </xf>
    <xf numFmtId="180" fontId="84" fillId="5" borderId="44" xfId="2" applyNumberFormat="1" applyFont="1" applyFill="1" applyBorder="1" applyAlignment="1" applyProtection="1">
      <alignment horizontal="center" vertical="center"/>
    </xf>
    <xf numFmtId="181" fontId="149" fillId="0" borderId="46" xfId="4" applyNumberFormat="1" applyFont="1" applyFill="1" applyBorder="1" applyAlignment="1" applyProtection="1">
      <alignment horizontal="center" vertical="center"/>
      <protection locked="0"/>
    </xf>
    <xf numFmtId="0" fontId="279"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84" fillId="5" borderId="6" xfId="4" applyFont="1" applyFill="1" applyBorder="1" applyAlignment="1">
      <alignment horizontal="center"/>
    </xf>
    <xf numFmtId="9" fontId="149" fillId="0" borderId="6" xfId="4" applyNumberFormat="1" applyFont="1" applyBorder="1" applyAlignment="1" applyProtection="1">
      <alignment horizontal="center"/>
      <protection locked="0"/>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9" fontId="149" fillId="0" borderId="44" xfId="4" applyNumberFormat="1" applyFont="1" applyBorder="1" applyAlignment="1" applyProtection="1">
      <alignment horizontal="center"/>
      <protection locked="0"/>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79" fontId="149" fillId="0" borderId="6" xfId="4" applyNumberFormat="1" applyFont="1" applyBorder="1" applyAlignment="1" applyProtection="1">
      <alignment horizontal="center"/>
      <protection locked="0"/>
    </xf>
    <xf numFmtId="0" fontId="52" fillId="0" borderId="4" xfId="0" applyFont="1" applyFill="1" applyBorder="1" applyAlignment="1" applyProtection="1">
      <alignment horizontal="center" vertical="center" wrapText="1"/>
      <protection locked="0"/>
    </xf>
    <xf numFmtId="0" fontId="71" fillId="20" borderId="2" xfId="0" applyNumberFormat="1" applyFont="1" applyFill="1" applyBorder="1" applyAlignment="1" applyProtection="1">
      <alignment horizontal="center" vertical="center" wrapText="1"/>
      <protection locked="0"/>
    </xf>
    <xf numFmtId="0" fontId="99" fillId="20" borderId="9" xfId="0" applyNumberFormat="1" applyFont="1" applyFill="1" applyBorder="1" applyAlignment="1" applyProtection="1">
      <alignment horizontal="center" vertical="center" wrapText="1"/>
      <protection locked="0"/>
    </xf>
    <xf numFmtId="0" fontId="106" fillId="20" borderId="16" xfId="0" applyNumberFormat="1" applyFont="1" applyFill="1" applyBorder="1" applyAlignment="1" applyProtection="1">
      <alignment horizontal="center" vertical="center" wrapText="1"/>
      <protection locked="0"/>
    </xf>
    <xf numFmtId="0" fontId="280" fillId="0" borderId="160"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60" xfId="0" applyFont="1" applyBorder="1" applyAlignment="1">
      <alignment horizontal="justify"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95" fillId="8" borderId="5" xfId="0" applyFont="1" applyFill="1" applyBorder="1" applyAlignment="1" applyProtection="1">
      <alignment vertical="center"/>
      <protection locked="0"/>
    </xf>
    <xf numFmtId="0" fontId="195" fillId="8" borderId="8" xfId="0" applyFont="1" applyFill="1" applyBorder="1" applyAlignment="1" applyProtection="1">
      <alignment vertical="center"/>
      <protection locked="0"/>
    </xf>
    <xf numFmtId="0" fontId="19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162" xfId="0" applyFont="1" applyBorder="1" applyAlignment="1">
      <alignment horizontal="justify" vertical="center" wrapText="1"/>
    </xf>
    <xf numFmtId="0" fontId="280" fillId="0" borderId="159" xfId="0" applyFont="1" applyBorder="1" applyAlignment="1">
      <alignment horizontal="justify" vertical="center" wrapText="1"/>
    </xf>
    <xf numFmtId="0" fontId="280" fillId="0" borderId="161" xfId="0" applyFont="1" applyBorder="1" applyAlignment="1">
      <alignment horizontal="justify" vertical="center" wrapText="1"/>
    </xf>
    <xf numFmtId="0" fontId="280" fillId="0" borderId="156" xfId="0" applyFont="1" applyBorder="1" applyAlignment="1">
      <alignment horizontal="justify" vertical="center" wrapText="1"/>
    </xf>
    <xf numFmtId="0" fontId="280" fillId="0" borderId="158" xfId="0" applyFont="1" applyBorder="1" applyAlignment="1">
      <alignment horizontal="justify" vertical="center" wrapText="1"/>
    </xf>
    <xf numFmtId="0" fontId="280" fillId="0" borderId="163" xfId="0" applyFont="1" applyBorder="1" applyAlignment="1">
      <alignment horizontal="justify" vertical="center" wrapText="1"/>
    </xf>
    <xf numFmtId="0" fontId="280" fillId="0" borderId="164" xfId="0" applyFont="1" applyBorder="1" applyAlignment="1">
      <alignment horizontal="justify" vertical="center" wrapText="1"/>
    </xf>
    <xf numFmtId="0" fontId="280" fillId="0" borderId="157" xfId="0" applyFont="1" applyBorder="1" applyAlignment="1">
      <alignment horizontal="justify" vertical="center" wrapText="1"/>
    </xf>
    <xf numFmtId="190" fontId="277" fillId="0" borderId="0" xfId="0" applyNumberFormat="1" applyFont="1" applyAlignment="1">
      <alignment horizontal="left" vertical="center"/>
    </xf>
    <xf numFmtId="0" fontId="277" fillId="0" borderId="0" xfId="0" applyFont="1" applyAlignment="1">
      <alignment horizontal="left" vertical="center" wrapText="1"/>
    </xf>
    <xf numFmtId="0" fontId="277" fillId="0" borderId="0" xfId="0" applyFont="1" applyAlignment="1">
      <alignment horizontal="left" vertical="center"/>
    </xf>
    <xf numFmtId="58" fontId="277" fillId="0" borderId="0" xfId="0" applyNumberFormat="1" applyFont="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49"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58" fillId="5" borderId="36" xfId="4" applyFont="1" applyFill="1" applyBorder="1" applyAlignment="1">
      <alignment horizontal="center"/>
    </xf>
    <xf numFmtId="0" fontId="58" fillId="5" borderId="37" xfId="4"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561975</xdr:colOff>
      <xdr:row>74</xdr:row>
      <xdr:rowOff>152400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8915400"/>
          <a:ext cx="6734175" cy="3924300"/>
        </a:xfrm>
        <a:prstGeom prst="rect">
          <a:avLst/>
        </a:prstGeom>
        <a:noFill/>
        <a:ln w="1">
          <a:noFill/>
          <a:miter lim="800000"/>
          <a:headEnd/>
          <a:tailEnd type="none" w="med" len="med"/>
        </a:ln>
        <a:effectLst/>
      </xdr:spPr>
    </xdr:pic>
    <xdr:clientData/>
  </xdr:twoCellAnchor>
  <xdr:twoCellAnchor editAs="oneCell">
    <xdr:from>
      <xdr:col>7</xdr:col>
      <xdr:colOff>0</xdr:colOff>
      <xdr:row>52</xdr:row>
      <xdr:rowOff>0</xdr:rowOff>
    </xdr:from>
    <xdr:to>
      <xdr:col>12</xdr:col>
      <xdr:colOff>2981325</xdr:colOff>
      <xdr:row>79</xdr:row>
      <xdr:rowOff>114300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43800" y="8915400"/>
          <a:ext cx="7105650" cy="4743450"/>
        </a:xfrm>
        <a:prstGeom prst="rect">
          <a:avLst/>
        </a:prstGeom>
        <a:noFill/>
        <a:ln w="1">
          <a:noFill/>
          <a:miter lim="800000"/>
          <a:headEnd/>
          <a:tailEnd type="none" w="med" len="med"/>
        </a:ln>
        <a:effectLst/>
      </xdr:spPr>
    </xdr:pic>
    <xdr:clientData/>
  </xdr:twoCellAnchor>
  <xdr:twoCellAnchor editAs="oneCell">
    <xdr:from>
      <xdr:col>0</xdr:col>
      <xdr:colOff>0</xdr:colOff>
      <xdr:row>80</xdr:row>
      <xdr:rowOff>0</xdr:rowOff>
    </xdr:from>
    <xdr:to>
      <xdr:col>6</xdr:col>
      <xdr:colOff>352425</xdr:colOff>
      <xdr:row>106</xdr:row>
      <xdr:rowOff>28575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3716000"/>
          <a:ext cx="7210425" cy="44862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6</xdr:col>
      <xdr:colOff>619125</xdr:colOff>
      <xdr:row>133</xdr:row>
      <xdr:rowOff>152400</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8345150"/>
          <a:ext cx="7477125" cy="4610100"/>
        </a:xfrm>
        <a:prstGeom prst="rect">
          <a:avLst/>
        </a:prstGeom>
        <a:noFill/>
        <a:ln w="1">
          <a:noFill/>
          <a:miter lim="800000"/>
          <a:headEnd/>
          <a:tailEnd type="none" w="med" len="med"/>
        </a:ln>
        <a:effectLst/>
      </xdr:spPr>
    </xdr:pic>
    <xdr:clientData/>
  </xdr:twoCellAnchor>
  <xdr:twoCellAnchor editAs="oneCell">
    <xdr:from>
      <xdr:col>8</xdr:col>
      <xdr:colOff>0</xdr:colOff>
      <xdr:row>107</xdr:row>
      <xdr:rowOff>0</xdr:rowOff>
    </xdr:from>
    <xdr:to>
      <xdr:col>12</xdr:col>
      <xdr:colOff>5210175</xdr:colOff>
      <xdr:row>134</xdr:row>
      <xdr:rowOff>0</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8258175" y="18345150"/>
          <a:ext cx="8620125" cy="4629150"/>
        </a:xfrm>
        <a:prstGeom prst="rect">
          <a:avLst/>
        </a:prstGeom>
        <a:noFill/>
        <a:ln w="1">
          <a:noFill/>
          <a:miter lim="800000"/>
          <a:headEnd/>
          <a:tailEnd type="none" w="med" len="med"/>
        </a:ln>
        <a:effectLst/>
      </xdr:spPr>
    </xdr:pic>
    <xdr:clientData/>
  </xdr:twoCellAnchor>
  <xdr:twoCellAnchor editAs="oneCell">
    <xdr:from>
      <xdr:col>0</xdr:col>
      <xdr:colOff>0</xdr:colOff>
      <xdr:row>136</xdr:row>
      <xdr:rowOff>0</xdr:rowOff>
    </xdr:from>
    <xdr:to>
      <xdr:col>8</xdr:col>
      <xdr:colOff>333375</xdr:colOff>
      <xdr:row>163</xdr:row>
      <xdr:rowOff>66675</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23317200"/>
          <a:ext cx="8591550" cy="4695825"/>
        </a:xfrm>
        <a:prstGeom prst="rect">
          <a:avLst/>
        </a:prstGeom>
        <a:noFill/>
        <a:ln w="1">
          <a:noFill/>
          <a:miter lim="800000"/>
          <a:headEnd/>
          <a:tailEnd type="none" w="med" len="med"/>
        </a:ln>
        <a:effectLst/>
      </xdr:spPr>
    </xdr:pic>
    <xdr:clientData/>
  </xdr:twoCellAnchor>
  <xdr:twoCellAnchor editAs="oneCell">
    <xdr:from>
      <xdr:col>13</xdr:col>
      <xdr:colOff>0</xdr:colOff>
      <xdr:row>52</xdr:row>
      <xdr:rowOff>0</xdr:rowOff>
    </xdr:from>
    <xdr:to>
      <xdr:col>15</xdr:col>
      <xdr:colOff>1304925</xdr:colOff>
      <xdr:row>63</xdr:row>
      <xdr:rowOff>95250</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17907000" y="1543050"/>
          <a:ext cx="2676525" cy="1981200"/>
        </a:xfrm>
        <a:prstGeom prst="rect">
          <a:avLst/>
        </a:prstGeom>
        <a:noFill/>
        <a:ln w="1">
          <a:noFill/>
          <a:miter lim="800000"/>
          <a:headEnd/>
          <a:tailEnd type="none" w="med" len="med"/>
        </a:ln>
        <a:effectLst/>
      </xdr:spPr>
    </xdr:pic>
    <xdr:clientData/>
  </xdr:twoCellAnchor>
  <xdr:twoCellAnchor editAs="oneCell">
    <xdr:from>
      <xdr:col>3</xdr:col>
      <xdr:colOff>438150</xdr:colOff>
      <xdr:row>169</xdr:row>
      <xdr:rowOff>0</xdr:rowOff>
    </xdr:from>
    <xdr:to>
      <xdr:col>10</xdr:col>
      <xdr:colOff>704155</xdr:colOff>
      <xdr:row>203</xdr:row>
      <xdr:rowOff>56415</xdr:rowOff>
    </xdr:to>
    <xdr:pic>
      <xdr:nvPicPr>
        <xdr:cNvPr id="3" name="图片 2"/>
        <xdr:cNvPicPr>
          <a:picLocks noChangeAspect="1"/>
        </xdr:cNvPicPr>
      </xdr:nvPicPr>
      <xdr:blipFill>
        <a:blip xmlns:r="http://schemas.openxmlformats.org/officeDocument/2006/relationships" r:embed="rId8"/>
        <a:stretch>
          <a:fillRect/>
        </a:stretch>
      </xdr:blipFill>
      <xdr:spPr>
        <a:xfrm>
          <a:off x="5238750" y="21602700"/>
          <a:ext cx="5561905" cy="5885715"/>
        </a:xfrm>
        <a:prstGeom prst="rect">
          <a:avLst/>
        </a:prstGeom>
      </xdr:spPr>
    </xdr:pic>
    <xdr:clientData/>
  </xdr:twoCellAnchor>
  <xdr:twoCellAnchor editAs="oneCell">
    <xdr:from>
      <xdr:col>0</xdr:col>
      <xdr:colOff>0</xdr:colOff>
      <xdr:row>170</xdr:row>
      <xdr:rowOff>0</xdr:rowOff>
    </xdr:from>
    <xdr:to>
      <xdr:col>3</xdr:col>
      <xdr:colOff>570829</xdr:colOff>
      <xdr:row>193</xdr:row>
      <xdr:rowOff>18555</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774150"/>
          <a:ext cx="5371429" cy="3961905"/>
        </a:xfrm>
        <a:prstGeom prst="rect">
          <a:avLst/>
        </a:prstGeom>
      </xdr:spPr>
    </xdr:pic>
    <xdr:clientData/>
  </xdr:twoCellAnchor>
  <xdr:twoCellAnchor editAs="oneCell">
    <xdr:from>
      <xdr:col>11</xdr:col>
      <xdr:colOff>0</xdr:colOff>
      <xdr:row>170</xdr:row>
      <xdr:rowOff>0</xdr:rowOff>
    </xdr:from>
    <xdr:to>
      <xdr:col>12</xdr:col>
      <xdr:colOff>4485629</xdr:colOff>
      <xdr:row>189</xdr:row>
      <xdr:rowOff>56736</xdr:rowOff>
    </xdr:to>
    <xdr:pic>
      <xdr:nvPicPr>
        <xdr:cNvPr id="5" name="图片 4"/>
        <xdr:cNvPicPr>
          <a:picLocks noChangeAspect="1"/>
        </xdr:cNvPicPr>
      </xdr:nvPicPr>
      <xdr:blipFill>
        <a:blip xmlns:r="http://schemas.openxmlformats.org/officeDocument/2006/relationships" r:embed="rId10"/>
        <a:stretch>
          <a:fillRect/>
        </a:stretch>
      </xdr:blipFill>
      <xdr:spPr>
        <a:xfrm>
          <a:off x="10982325" y="21774150"/>
          <a:ext cx="5171429" cy="3314286"/>
        </a:xfrm>
        <a:prstGeom prst="rect">
          <a:avLst/>
        </a:prstGeom>
      </xdr:spPr>
    </xdr:pic>
    <xdr:clientData/>
  </xdr:twoCellAnchor>
  <xdr:twoCellAnchor editAs="oneCell">
    <xdr:from>
      <xdr:col>0</xdr:col>
      <xdr:colOff>0</xdr:colOff>
      <xdr:row>207</xdr:row>
      <xdr:rowOff>0</xdr:rowOff>
    </xdr:from>
    <xdr:to>
      <xdr:col>3</xdr:col>
      <xdr:colOff>47019</xdr:colOff>
      <xdr:row>223</xdr:row>
      <xdr:rowOff>104419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8117800"/>
          <a:ext cx="4847619" cy="2847619"/>
        </a:xfrm>
        <a:prstGeom prst="rect">
          <a:avLst/>
        </a:prstGeom>
      </xdr:spPr>
    </xdr:pic>
    <xdr:clientData/>
  </xdr:twoCellAnchor>
  <xdr:twoCellAnchor editAs="oneCell">
    <xdr:from>
      <xdr:col>8</xdr:col>
      <xdr:colOff>0</xdr:colOff>
      <xdr:row>81</xdr:row>
      <xdr:rowOff>0</xdr:rowOff>
    </xdr:from>
    <xdr:to>
      <xdr:col>12</xdr:col>
      <xdr:colOff>4751955</xdr:colOff>
      <xdr:row>117</xdr:row>
      <xdr:rowOff>56372</xdr:rowOff>
    </xdr:to>
    <xdr:pic>
      <xdr:nvPicPr>
        <xdr:cNvPr id="7" name="图片 6"/>
        <xdr:cNvPicPr>
          <a:picLocks noChangeAspect="1"/>
        </xdr:cNvPicPr>
      </xdr:nvPicPr>
      <xdr:blipFill>
        <a:blip xmlns:r="http://schemas.openxmlformats.org/officeDocument/2006/relationships" r:embed="rId12"/>
        <a:stretch>
          <a:fillRect/>
        </a:stretch>
      </xdr:blipFill>
      <xdr:spPr>
        <a:xfrm>
          <a:off x="8258175" y="6515100"/>
          <a:ext cx="8161905" cy="6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325;&#24198;&#34701;&#21019;-&#22303;&#22320;-M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7325;&#24198;&#34701;&#21019;-&#22303;&#22320;-M03&#65288;&#3584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7325;&#24198;&#34701;&#21019;-&#22303;&#22320;-M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37325;&#24198;&#34701;&#21019;-&#22303;&#22320;-M04&#65288;&#3584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37325;&#24198;&#34701;&#21019;-&#22303;&#22320;-M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37325;&#24198;&#34701;&#21019;-&#22303;&#22320;-M05&#65288;&#3584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37325;&#24198;&#34701;&#21019;-&#22303;&#22320;-M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47329</v>
          </cell>
          <cell r="E3">
            <v>85192</v>
          </cell>
        </row>
      </sheetData>
      <sheetData sheetId="14"/>
      <sheetData sheetId="15"/>
      <sheetData sheetId="16"/>
      <sheetData sheetId="17">
        <row r="19">
          <cell r="G19">
            <v>48109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43667</v>
          </cell>
        </row>
        <row r="79">
          <cell r="O79">
            <v>33239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40447</v>
          </cell>
          <cell r="E3">
            <v>72805</v>
          </cell>
        </row>
      </sheetData>
      <sheetData sheetId="14"/>
      <sheetData sheetId="15"/>
      <sheetData sheetId="16"/>
      <sheetData sheetId="17">
        <row r="19">
          <cell r="G19">
            <v>37316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37316</v>
          </cell>
        </row>
        <row r="79">
          <cell r="O79">
            <v>28405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31639</v>
          </cell>
          <cell r="E3">
            <v>50622</v>
          </cell>
        </row>
      </sheetData>
      <sheetData sheetId="14"/>
      <sheetData sheetId="15"/>
      <sheetData sheetId="16"/>
      <sheetData sheetId="17">
        <row r="32">
          <cell r="C32">
            <v>24918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年期修正系数"/>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2">
          <cell r="C32">
            <v>24918</v>
          </cell>
        </row>
        <row r="79">
          <cell r="O79">
            <v>19263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16132</v>
          </cell>
          <cell r="E3">
            <v>40330</v>
          </cell>
        </row>
      </sheetData>
      <sheetData sheetId="14"/>
      <sheetData sheetId="15"/>
      <sheetData sheetId="16"/>
      <sheetData sheetId="17">
        <row r="32">
          <cell r="C32">
            <v>8929</v>
          </cell>
        </row>
        <row r="79">
          <cell r="O79">
            <v>8449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50',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重庆市巴南区南泉鹿角出让国有建设用地使用权抵押价格预评估</v>
      </c>
      <c r="AX2" s="2897"/>
      <c r="AZ2" s="2897"/>
      <c r="BA2" s="2898"/>
      <c r="BC2" s="2898"/>
    </row>
    <row r="3" spans="1:55" s="2899" customFormat="1">
      <c r="A3" s="2878" t="s">
        <v>2660</v>
      </c>
      <c r="B3" s="2881" t="str">
        <f>'预评函-封皮'!B40</f>
        <v>中诚信托有限责任公司</v>
      </c>
    </row>
    <row r="4" spans="1:55" s="2880" customFormat="1">
      <c r="A4" s="2878" t="s">
        <v>2661</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2662</v>
      </c>
      <c r="B5" s="2901" t="str">
        <f>'预评函-封皮'!B49</f>
        <v>康正预评字号</v>
      </c>
    </row>
    <row r="6" spans="1:55" s="2902" customFormat="1" ht="15" thickTop="1">
      <c r="A6" s="2894" t="s">
        <v>2704</v>
      </c>
      <c r="B6" s="2895" t="str">
        <f>'预评函-1'!A4</f>
        <v>受贵公司委托，我公司对重庆市巴南区南泉鹿角出让国有建设用地使用权抵押价格进行了预评估。</v>
      </c>
      <c r="AM6" s="2903"/>
    </row>
    <row r="7" spans="1:55" s="2877" customFormat="1">
      <c r="A7" s="2878" t="s">
        <v>2656</v>
      </c>
      <c r="B7" s="2879" t="str">
        <f>'预评函-1'!A6</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7" customFormat="1">
      <c r="A10" s="2878" t="s">
        <v>2658</v>
      </c>
      <c r="B10" s="2879" t="str">
        <f>'预评函-1'!A11</f>
        <v>2018年11月22日（评估专业人员勘察现场之日）</v>
      </c>
    </row>
    <row r="11" spans="1:55" s="2877" customFormat="1">
      <c r="A11" s="2878" t="s">
        <v>2664</v>
      </c>
      <c r="B11" s="2879" t="str">
        <f>'预评函-1'!A14</f>
        <v>根据202D房地证2014字第00221号，本次评估估价对象证载（地类）用途为二类居住用地。</v>
      </c>
    </row>
    <row r="12" spans="1:55" s="2877" customFormat="1">
      <c r="A12" s="2878" t="s">
        <v>2665</v>
      </c>
      <c r="B12" s="2879" t="str">
        <f>'预评函-1'!A15</f>
        <v>本次评估设定用途即为证载用途住宅、商业。</v>
      </c>
    </row>
    <row r="13" spans="1:55" s="2877" customFormat="1">
      <c r="A13" s="2878" t="s">
        <v>2666</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根据，估价对象（分摊）出让国有建设用地使用权面积为35272平方米。根据《国有建设用地使用权出让合同》[电子监管号：5001132013B00515]及附件，估价对象规划建筑面积为56435平方米。</v>
      </c>
    </row>
    <row r="16" spans="1:55" s="2877" customFormat="1">
      <c r="A16" s="2878" t="s">
        <v>2668</v>
      </c>
      <c r="B16" s="2879" t="str">
        <f>'预评函-1'!A22</f>
        <v>本次估价对象为出让国有建设用地使用权，依据202D房地证2014字第00221号、《国有建设用地使用权出让合同》[电子监管号：5001132013B00515]及附件，土地终止日期为住宅2063年9月29日、商业2053年9月29日。截至估价期日，出让国有建设用地使用权剩余土地使用年限为。</v>
      </c>
    </row>
    <row r="17" spans="1:48" s="2877" customFormat="1">
      <c r="A17" s="2878" t="s">
        <v>2669</v>
      </c>
      <c r="B17" s="2879" t="str">
        <f>'预评函-1'!A23</f>
        <v>本次评估设定估价对象剩余土地使用年限为。</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2674</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估价期日：2018年11月22日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二类居住用地</v>
      </c>
      <c r="AV32" s="2883"/>
    </row>
    <row r="33" spans="1:2">
      <c r="A33" s="2878" t="s">
        <v>2712</v>
      </c>
      <c r="B33" s="2879">
        <f>'预评函-2'!F5</f>
        <v>258</v>
      </c>
    </row>
    <row r="34" spans="1:2">
      <c r="A34" s="2878" t="s">
        <v>2713</v>
      </c>
      <c r="B34" s="2879" t="str">
        <f>'预评函-2'!G5</f>
        <v>住宅、商业</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v>
      </c>
    </row>
    <row r="39" spans="1:2">
      <c r="A39" s="2878" t="s">
        <v>2718</v>
      </c>
      <c r="B39" s="2879" t="str">
        <f>'预评函-2'!L5</f>
        <v>红线外七通、宗地红线内场地</v>
      </c>
    </row>
    <row r="40" spans="1:2">
      <c r="A40" s="2878" t="s">
        <v>2737</v>
      </c>
      <c r="B40" s="2879" t="str">
        <f>'预评函-2'!M3</f>
        <v>（剩余）土地使用年限/年</v>
      </c>
    </row>
    <row r="41" spans="1:2">
      <c r="A41" s="2878" t="s">
        <v>2719</v>
      </c>
      <c r="B41" s="2879">
        <f>'预评函-2'!M5</f>
        <v>0</v>
      </c>
    </row>
    <row r="42" spans="1:2">
      <c r="A42" s="2878" t="s">
        <v>2738</v>
      </c>
      <c r="B42" s="2879" t="str">
        <f>'预评函-2'!N3</f>
        <v>（分摊）出让国有建设用地使用权面积/㎡</v>
      </c>
    </row>
    <row r="43" spans="1:2">
      <c r="A43" s="2878" t="s">
        <v>2720</v>
      </c>
      <c r="B43" s="2879">
        <f>'预评函-2'!N5</f>
        <v>35272</v>
      </c>
    </row>
    <row r="44" spans="1:2">
      <c r="A44" s="2878" t="s">
        <v>2739</v>
      </c>
      <c r="B44" s="2879" t="str">
        <f>'预评函-2'!O3</f>
        <v>规划建筑面积/㎡</v>
      </c>
    </row>
    <row r="45" spans="1:2">
      <c r="A45" s="2878" t="s">
        <v>2721</v>
      </c>
      <c r="B45" s="2879">
        <f>'预评函-2'!O5</f>
        <v>56435</v>
      </c>
    </row>
    <row r="46" spans="1:2">
      <c r="A46" s="2878" t="s">
        <v>2722</v>
      </c>
      <c r="B46" s="2879">
        <f ca="1">'预评函-2'!P5</f>
        <v>7976</v>
      </c>
    </row>
    <row r="47" spans="1:2">
      <c r="A47" s="2878" t="s">
        <v>2723</v>
      </c>
      <c r="B47" s="2879">
        <f ca="1">'预评函-2'!Q5</f>
        <v>4985</v>
      </c>
    </row>
    <row r="48" spans="1:2">
      <c r="A48" s="2878" t="s">
        <v>2724</v>
      </c>
      <c r="B48" s="2879">
        <f ca="1">'预评函-2'!R5</f>
        <v>28132</v>
      </c>
    </row>
    <row r="49" spans="1:2">
      <c r="A49" s="2878" t="s">
        <v>2740</v>
      </c>
      <c r="B49" s="2879" t="str">
        <f>'预评函-2'!A6</f>
        <v>抵押价格</v>
      </c>
    </row>
    <row r="50" spans="1:2">
      <c r="A50" s="2878" t="s">
        <v>2725</v>
      </c>
      <c r="B50" s="2879">
        <f ca="1">'预评函-2'!R6</f>
        <v>28132</v>
      </c>
    </row>
    <row r="51" spans="1:2">
      <c r="A51" s="2878" t="s">
        <v>2741</v>
      </c>
      <c r="B51" s="2879" t="str">
        <f>'预评函-2'!A7</f>
        <v>——</v>
      </c>
    </row>
    <row r="52" spans="1:2">
      <c r="A52" s="2878" t="s">
        <v>2726</v>
      </c>
      <c r="B52" s="2879" t="str">
        <f>'预评函-2'!R7</f>
        <v>——</v>
      </c>
    </row>
    <row r="53" spans="1:2">
      <c r="A53" s="2878" t="s">
        <v>2742</v>
      </c>
      <c r="B53" s="2879" t="str">
        <f>'预评函-2'!A8</f>
        <v>抵押净值</v>
      </c>
    </row>
    <row r="54" spans="1:2" s="2893" customFormat="1" ht="15" thickBot="1">
      <c r="A54" s="2900" t="s">
        <v>2727</v>
      </c>
      <c r="B54" s="2901">
        <f ca="1">'预评函-2'!R8</f>
        <v>21643</v>
      </c>
    </row>
    <row r="55" spans="1:2" ht="15" thickTop="1">
      <c r="A55" s="2889" t="s">
        <v>2677</v>
      </c>
      <c r="B55" s="2890" t="str">
        <f>'预评函-3'!A2</f>
        <v>1.权利限制：根据估价对象《不动产权证书》原件、《国有土地使用权》复印件，截至估价期日，估价对象已设定抵押。未设定租赁等其他他项权利。</v>
      </c>
    </row>
    <row r="56" spans="1:2">
      <c r="A56" s="2878" t="s">
        <v>2678</v>
      </c>
      <c r="B56" s="2879" t="str">
        <f>'预评函-3'!A3</f>
        <v>2.基础设施条件：估价对象实际开发程度为红线外七通、宗地红线内；本次评估设定开发程度为红线外七通、宗地红线内场地。</v>
      </c>
    </row>
    <row r="57" spans="1:2">
      <c r="A57" s="2878" t="s">
        <v>2679</v>
      </c>
      <c r="B57" s="2879" t="str">
        <f>'预评函-3'!A4</f>
        <v>3.估价规划限制条件：详见《国有建设用地使用权出让合同》[电子监管号：5001132013B00515]及附件。</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'预评函-3'!A14</f>
        <v>综上，本次评估不存在估价师知悉的法定优先受偿款</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土地估价师</v>
      </c>
    </row>
    <row r="70" spans="1:2">
      <c r="A70" s="2878" t="s">
        <v>2689</v>
      </c>
      <c r="B70" s="2885">
        <f>'预评函-3'!B20</f>
        <v>0</v>
      </c>
    </row>
    <row r="71" spans="1:2">
      <c r="A71" s="2878" t="s">
        <v>2690</v>
      </c>
      <c r="B71" s="2879" t="str">
        <f>'预评函-3'!A21</f>
        <v>土地估价师</v>
      </c>
    </row>
    <row r="72" spans="1:2" s="2893" customFormat="1" ht="15" thickBot="1">
      <c r="A72" s="2900" t="s">
        <v>2690</v>
      </c>
      <c r="B72" s="2906">
        <f>'预评函-3'!B21</f>
        <v>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90" customWidth="1"/>
    <col min="2" max="2" width="11.375" style="1690" customWidth="1"/>
    <col min="3" max="3" width="12.625" style="1690" customWidth="1"/>
    <col min="4" max="4" width="14.875" style="1690" customWidth="1"/>
    <col min="5" max="5" width="12.5" style="1690" customWidth="1"/>
    <col min="6" max="6" width="11.375" style="1690" customWidth="1"/>
    <col min="7" max="7" width="12.375" style="1690" customWidth="1"/>
    <col min="8" max="8" width="10" style="1690" customWidth="1"/>
    <col min="9" max="9" width="17.37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90" t="str">
        <f>IF(B10="北京市","北京市",C10)&amp;F10&amp;B16&amp;"国有建设用地使用权"&amp;B9&amp;"预评估"</f>
        <v>重庆市巴南区南泉鹿角出让国有建设用地使用权抵押价格预评估</v>
      </c>
      <c r="C1" s="3291"/>
      <c r="D1" s="3291"/>
      <c r="E1" s="3291"/>
      <c r="F1" s="3291"/>
      <c r="G1" s="3291"/>
      <c r="H1" s="3291"/>
      <c r="I1" s="3292"/>
      <c r="J1" s="1693"/>
      <c r="K1" s="2455" t="str">
        <f>IF(B10="北京市","北京市",C10)&amp;F10&amp;B16&amp;"国有建设用地使用权"&amp;B9</f>
        <v>重庆市巴南区南泉鹿角出让国有建设用地使用权抵押价格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5" t="str">
        <f>IF(B10="北京市","北京市",C10)&amp;F10&amp;B16&amp;"国有建设用地使用权"</f>
        <v>重庆市巴南区南泉鹿角出让国有建设用地使用权</v>
      </c>
      <c r="L2" s="1722"/>
      <c r="M2" s="1722"/>
      <c r="N2" s="1693"/>
      <c r="O2" s="1694"/>
      <c r="P2" s="1693"/>
      <c r="Q2" s="1693"/>
      <c r="R2" s="1693"/>
      <c r="S2" s="1693"/>
      <c r="T2" s="1693"/>
      <c r="U2" s="1693"/>
    </row>
    <row r="3" spans="1:21">
      <c r="A3" s="1661" t="s">
        <v>1941</v>
      </c>
      <c r="B3" s="1662">
        <v>43426</v>
      </c>
      <c r="C3" s="1663" t="s">
        <v>1997</v>
      </c>
      <c r="D3" s="1662">
        <v>43426</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2882</v>
      </c>
      <c r="C4" s="1845">
        <f>SUMIF(土地估价师,B4,估价师及机构信息!E3:E24)</f>
        <v>0</v>
      </c>
      <c r="D4" s="1842" t="s">
        <v>2882</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5" t="s">
        <v>1943</v>
      </c>
      <c r="B5" s="1788" t="s">
        <v>3015</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3015</v>
      </c>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2706</v>
      </c>
      <c r="B7" s="1788" t="s">
        <v>3016</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3017</v>
      </c>
      <c r="C8" s="1671"/>
      <c r="D8" s="3296" t="s">
        <v>1946</v>
      </c>
      <c r="E8" s="1843" t="s">
        <v>3018</v>
      </c>
      <c r="F8" s="1672"/>
      <c r="G8" s="1660"/>
      <c r="H8" s="1660"/>
      <c r="I8" s="1706"/>
      <c r="J8" s="1693"/>
      <c r="K8" s="1773"/>
      <c r="L8" s="1722"/>
      <c r="M8" s="1722"/>
      <c r="N8" s="1693"/>
      <c r="O8" s="1694"/>
      <c r="P8" s="1693"/>
      <c r="Q8" s="1693"/>
      <c r="R8" s="1693"/>
      <c r="S8" s="1693"/>
      <c r="T8" s="1693"/>
      <c r="U8" s="1693"/>
    </row>
    <row r="9" spans="1:21" ht="15" thickBot="1">
      <c r="A9" s="1673" t="s">
        <v>1945</v>
      </c>
      <c r="B9" s="1674" t="s">
        <v>3018</v>
      </c>
      <c r="C9" s="1675"/>
      <c r="D9" s="3297"/>
      <c r="E9" s="1674" t="s">
        <v>2853</v>
      </c>
      <c r="F9" s="1746"/>
      <c r="G9" s="1741"/>
      <c r="H9" s="1741"/>
      <c r="I9" s="1742"/>
      <c r="J9" s="1693"/>
      <c r="K9" s="1773"/>
      <c r="L9" s="1722"/>
      <c r="M9" s="1722"/>
      <c r="N9" s="1693"/>
      <c r="O9" s="1694"/>
      <c r="P9" s="1693"/>
      <c r="Q9" s="1693"/>
      <c r="R9" s="1693"/>
      <c r="S9" s="1693"/>
      <c r="T9" s="1693"/>
      <c r="U9" s="1693"/>
    </row>
    <row r="10" spans="1:21" ht="15" thickTop="1">
      <c r="A10" s="1743" t="s">
        <v>2000</v>
      </c>
      <c r="B10" s="3180" t="s">
        <v>3019</v>
      </c>
      <c r="C10" s="1676" t="s">
        <v>3020</v>
      </c>
      <c r="D10" s="1667"/>
      <c r="E10" s="1677" t="s">
        <v>1948</v>
      </c>
      <c r="F10" s="3212" t="s">
        <v>3021</v>
      </c>
      <c r="G10" s="1744"/>
      <c r="H10" s="1745"/>
      <c r="I10" s="1667"/>
      <c r="J10" s="1693"/>
      <c r="K10" s="1773"/>
      <c r="L10" s="1722"/>
      <c r="M10" s="1722"/>
      <c r="N10" s="1693"/>
      <c r="O10" s="1694"/>
      <c r="P10" s="1693"/>
      <c r="Q10" s="1693"/>
      <c r="R10" s="1693"/>
      <c r="S10" s="1693"/>
      <c r="T10" s="1693"/>
      <c r="U10" s="1693"/>
    </row>
    <row r="11" spans="1:21" ht="28.5">
      <c r="A11" s="1696" t="s">
        <v>2001</v>
      </c>
      <c r="B11" s="1697" t="s">
        <v>3022</v>
      </c>
      <c r="C11" s="1678" t="s">
        <v>3016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93" t="s">
        <v>3332</v>
      </c>
      <c r="C12" s="3294"/>
      <c r="D12" s="3295"/>
      <c r="E12" s="1698" t="s">
        <v>2062</v>
      </c>
      <c r="F12" s="3314" t="str">
        <f>面积表!P7</f>
        <v>202D房地证2014字第00221号</v>
      </c>
      <c r="G12" s="3315"/>
      <c r="H12" s="3315"/>
      <c r="I12" s="3316"/>
      <c r="J12" s="1693"/>
      <c r="K12" s="1773"/>
      <c r="L12" s="1722"/>
      <c r="M12" s="1722"/>
      <c r="N12" s="1693"/>
      <c r="O12" s="1694"/>
      <c r="P12" s="1693"/>
      <c r="Q12" s="1693"/>
      <c r="R12" s="1693"/>
      <c r="S12" s="1693"/>
      <c r="T12" s="1693"/>
      <c r="U12" s="1693"/>
    </row>
    <row r="13" spans="1:21">
      <c r="A13" s="1686" t="s">
        <v>2060</v>
      </c>
      <c r="B13" s="3293" t="s">
        <v>3331</v>
      </c>
      <c r="C13" s="3294"/>
      <c r="D13" s="3295"/>
      <c r="E13" s="1698" t="s">
        <v>2062</v>
      </c>
      <c r="F13" s="3314" t="s">
        <v>3330</v>
      </c>
      <c r="G13" s="3315"/>
      <c r="H13" s="3315"/>
      <c r="I13" s="3316"/>
      <c r="J13" s="1693"/>
      <c r="K13" s="1773"/>
      <c r="L13" s="1722"/>
      <c r="M13" s="1722"/>
      <c r="N13" s="1693"/>
      <c r="O13" s="1694"/>
      <c r="P13" s="1693"/>
      <c r="Q13" s="1693"/>
      <c r="R13" s="1693"/>
      <c r="S13" s="1693"/>
      <c r="T13" s="1693"/>
      <c r="U13" s="1693"/>
    </row>
    <row r="14" spans="1:21">
      <c r="A14" s="1661"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3014</v>
      </c>
      <c r="C16" s="1698" t="s">
        <v>1950</v>
      </c>
      <c r="D16" s="2646" t="s">
        <v>1951</v>
      </c>
      <c r="E16" s="1721" t="s">
        <v>3008</v>
      </c>
      <c r="F16" s="1721"/>
      <c r="G16" s="1721"/>
      <c r="H16" s="1721"/>
      <c r="I16" s="1685" t="s">
        <v>1956</v>
      </c>
      <c r="J16" s="1693"/>
      <c r="K16" s="2456" t="str">
        <f>IF(D17="","",D16&amp;TEXT(D17,"yyyy年m月d日;;"))</f>
        <v>住宅2063年9月29日</v>
      </c>
      <c r="L16" s="1698" t="str">
        <f>IF(OR(K16="",M16=""),"","、")</f>
        <v>、</v>
      </c>
      <c r="M16" s="2456" t="str">
        <f>IF(E17="","",E16&amp;TEXT(E17,"yyyy年m月d日;;"))</f>
        <v>商业2053年9月29日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1957</v>
      </c>
      <c r="D17" s="1699">
        <v>59808</v>
      </c>
      <c r="E17" s="1699">
        <v>56156</v>
      </c>
      <c r="F17" s="1699"/>
      <c r="G17" s="1699"/>
      <c r="H17" s="1699"/>
      <c r="I17" s="1699"/>
      <c r="J17" s="1693"/>
      <c r="K17" s="2455" t="str">
        <f>CONCATENATE(K16,L16,M16,N16,O16,P16,Q16,R16,S16,T16,,U16)</f>
        <v>住宅2063年9月29日、商业2053年9月29日</v>
      </c>
      <c r="L17" s="1722"/>
      <c r="M17" s="1722"/>
      <c r="N17" s="1693"/>
      <c r="O17" s="1694"/>
      <c r="P17" s="1693"/>
      <c r="Q17" s="1693"/>
      <c r="R17" s="1693"/>
      <c r="S17" s="1693"/>
      <c r="T17" s="1693"/>
      <c r="U17" s="1693"/>
    </row>
    <row r="18" spans="1:21">
      <c r="A18" s="1762"/>
      <c r="B18" s="1681"/>
      <c r="C18" s="1682" t="s">
        <v>1958</v>
      </c>
      <c r="D18" s="1683">
        <v>50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f>IF(B16="出让",IF(D17="","",ROUNDDOWN(MIN((D17-$D$3)/365,D18),2)),D18)</f>
        <v>44.88</v>
      </c>
      <c r="E19" s="1684">
        <f>IF(B16="出让",IF(E17="","",ROUNDDOWN(MIN((E17-$D$3)/365,E18),2)),E18)</f>
        <v>34.869999999999997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311"/>
      <c r="E20" s="3312"/>
      <c r="F20" s="3312"/>
      <c r="G20" s="3312"/>
      <c r="H20" s="3312"/>
      <c r="I20" s="3313"/>
      <c r="J20" s="1693"/>
      <c r="K20" s="1773"/>
      <c r="L20" s="1722"/>
      <c r="M20" s="1722"/>
      <c r="N20" s="1693"/>
      <c r="O20" s="1694"/>
      <c r="P20" s="1693"/>
      <c r="Q20" s="1693"/>
      <c r="R20" s="1693"/>
      <c r="S20" s="1693"/>
      <c r="T20" s="1693"/>
      <c r="U20" s="1693"/>
    </row>
    <row r="21" spans="1:21">
      <c r="A21" s="1762" t="s">
        <v>1960</v>
      </c>
      <c r="B21" s="1763" t="s">
        <v>1961</v>
      </c>
      <c r="C21" s="1758">
        <f>'数据-汇总表'!E3</f>
        <v>56435</v>
      </c>
      <c r="D21" s="1759" t="s">
        <v>1962</v>
      </c>
      <c r="E21" s="3298" t="s">
        <v>3333</v>
      </c>
      <c r="F21" s="3299"/>
      <c r="G21" s="3299"/>
      <c r="H21" s="3299"/>
      <c r="I21" s="3300"/>
      <c r="J21" s="1693"/>
      <c r="K21" s="1773"/>
      <c r="L21" s="1722"/>
      <c r="M21" s="1722"/>
      <c r="N21" s="1693"/>
      <c r="O21" s="1694"/>
      <c r="P21" s="1693"/>
      <c r="Q21" s="1693"/>
      <c r="R21" s="1693"/>
      <c r="S21" s="1693"/>
      <c r="T21" s="1693"/>
      <c r="U21" s="1693"/>
    </row>
    <row r="22" spans="1:21">
      <c r="A22" s="3149" t="s">
        <v>951</v>
      </c>
      <c r="B22" s="1661" t="s">
        <v>1963</v>
      </c>
      <c r="C22" s="1685">
        <f>'数据-汇总表'!D3</f>
        <v>35272</v>
      </c>
      <c r="D22" s="1686" t="s">
        <v>1962</v>
      </c>
      <c r="E22" s="3301"/>
      <c r="F22" s="3302"/>
      <c r="G22" s="3302"/>
      <c r="H22" s="3302"/>
      <c r="I22" s="3303"/>
      <c r="J22" s="1693"/>
      <c r="K22" s="1773"/>
      <c r="L22" s="1722"/>
      <c r="M22" s="1722"/>
      <c r="N22" s="1693"/>
      <c r="O22" s="1694"/>
      <c r="P22" s="1693"/>
      <c r="Q22" s="1693"/>
      <c r="R22" s="1693"/>
      <c r="S22" s="1693"/>
      <c r="T22" s="1693"/>
      <c r="U22" s="1693"/>
    </row>
    <row r="23" spans="1:21" ht="29.25" thickBot="1">
      <c r="A23" s="1764" t="s">
        <v>1964</v>
      </c>
      <c r="B23" s="1700" t="s">
        <v>1965</v>
      </c>
      <c r="C23" s="1701" t="s">
        <v>1678</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304" t="s">
        <v>1968</v>
      </c>
      <c r="C24" s="3305"/>
      <c r="D24" s="3306" t="s">
        <v>1969</v>
      </c>
      <c r="E24" s="3307"/>
      <c r="F24" s="1707" t="s">
        <v>1970</v>
      </c>
      <c r="G24" s="1693"/>
      <c r="H24" s="1693"/>
      <c r="I24" s="1706"/>
      <c r="J24" s="1693"/>
      <c r="K24" s="3289"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1972</v>
      </c>
      <c r="D25" s="1709"/>
      <c r="E25" s="1710" t="s">
        <v>951</v>
      </c>
      <c r="F25" s="1711"/>
      <c r="G25" s="1693"/>
      <c r="H25" s="1693"/>
      <c r="I25" s="1706"/>
      <c r="J25" s="1693"/>
      <c r="K25" s="3289"/>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2327</v>
      </c>
      <c r="D26" s="1660"/>
      <c r="E26" s="1660"/>
      <c r="F26" s="1687"/>
      <c r="G26" s="1693"/>
      <c r="H26" s="1693"/>
      <c r="I26" s="1706"/>
      <c r="J26" s="1693"/>
      <c r="K26" s="3289"/>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319" t="s">
        <v>2002</v>
      </c>
      <c r="B31" s="1763" t="s">
        <v>2003</v>
      </c>
      <c r="C31" s="3317"/>
      <c r="D31" s="3318"/>
      <c r="E31" s="1693"/>
      <c r="F31" s="1693"/>
      <c r="G31" s="1693"/>
      <c r="H31" s="1693"/>
      <c r="I31" s="1706"/>
      <c r="J31" s="1693"/>
      <c r="K31" s="2458"/>
      <c r="L31" s="1693"/>
      <c r="M31" s="1693"/>
      <c r="N31" s="1693"/>
      <c r="O31" s="1693"/>
      <c r="P31" s="1693"/>
      <c r="Q31" s="1693"/>
      <c r="R31" s="1693"/>
      <c r="S31" s="1693"/>
      <c r="T31" s="1693"/>
      <c r="U31" s="1693"/>
    </row>
    <row r="32" spans="1:21">
      <c r="A32" s="3319"/>
      <c r="B32" s="1661"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19"/>
      <c r="B33" s="1661"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20"/>
      <c r="B34" s="1661" t="s">
        <v>2006</v>
      </c>
      <c r="C34" s="3321"/>
      <c r="D34" s="3322"/>
      <c r="E34" s="1693"/>
      <c r="F34" s="1693"/>
      <c r="G34" s="1693"/>
      <c r="H34" s="1693"/>
      <c r="I34" s="1706"/>
      <c r="J34" s="1693"/>
      <c r="K34" s="2458"/>
      <c r="L34" s="1693"/>
      <c r="M34" s="1693"/>
      <c r="N34" s="1693"/>
      <c r="O34" s="1693"/>
      <c r="P34" s="1693"/>
      <c r="Q34" s="1693"/>
      <c r="R34" s="1693"/>
      <c r="S34" s="1693"/>
      <c r="T34" s="1693"/>
      <c r="U34" s="1693"/>
    </row>
    <row r="35" spans="1:21">
      <c r="A35" s="3323" t="s">
        <v>846</v>
      </c>
      <c r="B35" s="1721"/>
      <c r="C35" s="1775" t="str">
        <f>IF(B35="场地平整","——","具体情况：")</f>
        <v>具体情况：</v>
      </c>
      <c r="D35" s="3325"/>
      <c r="E35" s="3326"/>
      <c r="F35" s="3326"/>
      <c r="G35" s="3326"/>
      <c r="H35" s="3326"/>
      <c r="I35" s="3327"/>
      <c r="J35" s="1693"/>
      <c r="K35" s="1774"/>
      <c r="L35" s="1722"/>
      <c r="M35" s="1722"/>
      <c r="N35" s="1693"/>
      <c r="O35" s="1694"/>
      <c r="P35" s="1693"/>
      <c r="Q35" s="1693"/>
      <c r="R35" s="1693"/>
      <c r="S35" s="1693"/>
      <c r="T35" s="1693"/>
      <c r="U35" s="1693"/>
    </row>
    <row r="36" spans="1:21">
      <c r="A36" s="3319"/>
      <c r="B36" s="3328" t="s">
        <v>2055</v>
      </c>
      <c r="C36" s="3329"/>
      <c r="D36" s="1791"/>
      <c r="E36" s="3330"/>
      <c r="F36" s="3330"/>
      <c r="G36" s="1686" t="str">
        <f>IF(B35="场地未平整","估价结果处理","")</f>
        <v/>
      </c>
      <c r="H36" s="3331"/>
      <c r="I36" s="3331"/>
      <c r="J36" s="1693"/>
      <c r="K36" s="1774"/>
      <c r="L36" s="1722"/>
      <c r="M36" s="1722"/>
      <c r="N36" s="1693"/>
      <c r="O36" s="1694"/>
      <c r="P36" s="1693"/>
      <c r="Q36" s="1693"/>
      <c r="R36" s="1693"/>
      <c r="S36" s="1693"/>
      <c r="T36" s="1693"/>
      <c r="U36" s="1693"/>
    </row>
    <row r="37" spans="1:21" ht="28.5">
      <c r="A37" s="3319"/>
      <c r="B37" s="3308"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319"/>
      <c r="B38" s="3309"/>
      <c r="C38" s="1669" t="s">
        <v>849</v>
      </c>
      <c r="D38" s="1790">
        <f>ROUNDDOWN(MIN(('数据-取费表'!$B$2-D37)/365,D34),1)</f>
        <v>118.9</v>
      </c>
      <c r="E38" s="1726" t="s">
        <v>850</v>
      </c>
      <c r="F38" s="1693"/>
      <c r="G38" s="1693"/>
      <c r="H38" s="1693"/>
      <c r="I38" s="1706"/>
      <c r="J38" s="1693"/>
      <c r="K38" s="1774"/>
      <c r="L38" s="1693"/>
      <c r="M38" s="1693"/>
      <c r="N38" s="1693"/>
      <c r="O38" s="1693"/>
      <c r="P38" s="1693"/>
      <c r="Q38" s="1693"/>
      <c r="R38" s="1693"/>
      <c r="S38" s="1693"/>
      <c r="T38" s="1693"/>
      <c r="U38" s="1693"/>
    </row>
    <row r="39" spans="1:21">
      <c r="A39" s="3320"/>
      <c r="B39" s="331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88" t="s">
        <v>1987</v>
      </c>
      <c r="T40" s="1730" t="str">
        <f>NUMBERSTRING(7-K40,1)&amp;"通"</f>
        <v>七通</v>
      </c>
      <c r="U40" s="1693"/>
    </row>
    <row r="41" spans="1:21">
      <c r="A41" s="1663"/>
      <c r="B41" s="3324" t="s">
        <v>1721</v>
      </c>
      <c r="C41" s="3324"/>
      <c r="D41" s="3324"/>
      <c r="E41" s="3324"/>
      <c r="F41" s="1731" t="str">
        <f>C10</f>
        <v>重庆市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8"/>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2883</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面积表!L7</f>
        <v>35272</v>
      </c>
      <c r="B3" s="22">
        <f>IF(C3="否",G5-AT5,G5)</f>
        <v>56435</v>
      </c>
      <c r="C3" s="23" t="s">
        <v>3025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56435</v>
      </c>
      <c r="H5" s="27">
        <f t="shared" ref="H5:AT5" si="0">SUM(H13:H641)</f>
        <v>56435</v>
      </c>
      <c r="I5" s="27">
        <f t="shared" si="0"/>
        <v>45148</v>
      </c>
      <c r="J5" s="27">
        <f t="shared" si="0"/>
        <v>0</v>
      </c>
      <c r="K5" s="27">
        <f t="shared" si="0"/>
        <v>11287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56435</v>
      </c>
      <c r="BA5" s="29">
        <f t="shared" si="1"/>
        <v>56435</v>
      </c>
      <c r="BB5" s="29">
        <f t="shared" si="1"/>
        <v>45148</v>
      </c>
      <c r="BC5" s="29">
        <f t="shared" si="1"/>
        <v>11287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35272</v>
      </c>
      <c r="F6" s="27" t="s">
        <v>1</v>
      </c>
      <c r="G6" s="27" t="s">
        <v>2</v>
      </c>
      <c r="H6" s="33">
        <f>SUMIF(I$12:AB$12,"总值",I6:AB6)</f>
        <v>35272</v>
      </c>
      <c r="I6" s="27">
        <f t="shared" ref="I6:AB6" si="2">ROUND($A$3*I5/$B$3,2)</f>
        <v>28217.599999999999</v>
      </c>
      <c r="J6" s="27">
        <f t="shared" si="2"/>
        <v>0</v>
      </c>
      <c r="K6" s="27">
        <f t="shared" si="2"/>
        <v>7054.4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35272</v>
      </c>
      <c r="AZ6" s="27" t="s">
        <v>3</v>
      </c>
      <c r="BA6" s="27">
        <f>ROUND($AY$6*BA5/$AZ$5,2)</f>
        <v>35272</v>
      </c>
      <c r="BB6" s="27">
        <f>ROUND($AY$6*BB5/$AZ$5,2)</f>
        <v>28217.599999999999</v>
      </c>
      <c r="BC6" s="27">
        <f t="shared" ref="BC6:BH6" si="4">ROUND($AY$6*BC5/$AZ$5,2)</f>
        <v>7054.4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3026</v>
      </c>
      <c r="J9" s="51"/>
      <c r="K9" s="3019" t="s">
        <v>3026</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922</v>
      </c>
      <c r="J10" s="51"/>
      <c r="K10" s="3021" t="s">
        <v>3008</v>
      </c>
      <c r="L10" s="51"/>
      <c r="M10" s="3021"/>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3356</v>
      </c>
      <c r="D13" s="3015" t="s">
        <v>1678</v>
      </c>
      <c r="E13" s="27">
        <f t="shared" ref="E13:E20" si="6">IF($C$3="是",ROUND($A$3*G13/$B$3,2),ROUND($A$3*(G13-AT13)/$B$3,2))</f>
        <v>35272</v>
      </c>
      <c r="F13" s="81"/>
      <c r="G13" s="82">
        <f t="shared" ref="G13:G20" si="7">H13+AC13+AT13</f>
        <v>56435</v>
      </c>
      <c r="H13" s="33">
        <f t="shared" ref="H13:H20" si="8">SUMIF(I$12:AB$12,"总值",I13:AB13)</f>
        <v>56435</v>
      </c>
      <c r="I13" s="3018">
        <f>ROUND(面积表!O7*182610.08/228262.6,2)</f>
        <v>45148</v>
      </c>
      <c r="J13" s="3018"/>
      <c r="K13" s="3018">
        <f>面积表!O7-'数据-基础表'!I13</f>
        <v>11287</v>
      </c>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M02</v>
      </c>
      <c r="AY13" s="996">
        <f t="shared" ref="AY13:AY20" si="11">ROUND($AY$6*AZ13/$AZ$5,2)</f>
        <v>35272</v>
      </c>
      <c r="AZ13" s="27">
        <f t="shared" ref="AZ13:AZ20" si="12">BA13+BL13</f>
        <v>56435</v>
      </c>
      <c r="BA13" s="27">
        <f t="shared" ref="BA13:BA20" si="13">SUM(BB13:BK13)</f>
        <v>56435</v>
      </c>
      <c r="BB13" s="27">
        <f t="shared" ref="BB13:BB20" si="14">IF($D13="是",I13-J13,0)</f>
        <v>45148</v>
      </c>
      <c r="BC13" s="27">
        <f t="shared" ref="BC13:BC20" si="15">IF($D13="是",K13-L13,0)</f>
        <v>11287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2" t="s">
        <v>0</v>
      </c>
      <c r="B1" s="3332" t="s">
        <v>4</v>
      </c>
      <c r="C1" s="3332" t="s">
        <v>5</v>
      </c>
      <c r="D1" s="3333" t="s">
        <v>40</v>
      </c>
      <c r="E1" s="3333" t="s">
        <v>41</v>
      </c>
      <c r="F1" s="3333"/>
      <c r="G1" s="3333"/>
      <c r="H1" s="3333"/>
      <c r="I1" s="3333"/>
      <c r="J1" s="3333"/>
      <c r="K1" s="3333"/>
      <c r="L1" s="3333"/>
      <c r="M1" s="3333"/>
    </row>
    <row r="2" spans="1:13" ht="27" customHeight="1">
      <c r="A2" s="3332"/>
      <c r="B2" s="3332"/>
      <c r="C2" s="3332"/>
      <c r="D2" s="3333"/>
      <c r="E2" s="3333" t="s">
        <v>24</v>
      </c>
      <c r="F2" s="3333" t="s">
        <v>25</v>
      </c>
      <c r="G2" s="3333"/>
      <c r="H2" s="3333"/>
      <c r="I2" s="3333"/>
      <c r="J2" s="3333" t="s">
        <v>26</v>
      </c>
      <c r="K2" s="3333"/>
      <c r="L2" s="3333"/>
      <c r="M2" s="3333"/>
    </row>
    <row r="3" spans="1:13" ht="28.5">
      <c r="A3" s="3332"/>
      <c r="B3" s="3332"/>
      <c r="C3" s="3332"/>
      <c r="D3" s="3333"/>
      <c r="E3" s="33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3" t="s">
        <v>42</v>
      </c>
      <c r="B9" s="3333"/>
      <c r="C9" s="33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U36"/>
  <sheetViews>
    <sheetView workbookViewId="0">
      <pane xSplit="3" ySplit="5" topLeftCell="Q12" activePane="bottomRight" state="frozen"/>
      <selection pane="topRight" activeCell="D1" sqref="D1"/>
      <selection pane="bottomLeft" activeCell="A6" sqref="A6"/>
      <selection pane="bottomRight" activeCell="T36" sqref="T36"/>
    </sheetView>
  </sheetViews>
  <sheetFormatPr defaultRowHeight="13.5"/>
  <cols>
    <col min="4" max="4" width="18.375" bestFit="1" customWidth="1"/>
    <col min="5" max="5" width="11" bestFit="1" customWidth="1"/>
    <col min="6" max="6" width="30.125" customWidth="1"/>
    <col min="7" max="7" width="14.625" bestFit="1" customWidth="1"/>
    <col min="9" max="9" width="13" bestFit="1" customWidth="1"/>
    <col min="11" max="11" width="14.875" customWidth="1"/>
    <col min="13" max="13" width="25.5" bestFit="1" customWidth="1"/>
    <col min="15" max="15" width="13" bestFit="1" customWidth="1"/>
    <col min="16" max="16" width="27.5" bestFit="1" customWidth="1"/>
    <col min="17" max="17" width="39.25" bestFit="1" customWidth="1"/>
    <col min="18" max="18" width="17.125" customWidth="1"/>
    <col min="19" max="19" width="35.125" customWidth="1"/>
  </cols>
  <sheetData>
    <row r="5" spans="3:20" s="1794" customFormat="1" ht="15.75">
      <c r="C5" s="3184" t="s">
        <v>2976</v>
      </c>
      <c r="D5" s="3184" t="s">
        <v>2977</v>
      </c>
      <c r="E5" s="3184" t="s">
        <v>2978</v>
      </c>
      <c r="F5" s="3184" t="s">
        <v>2979</v>
      </c>
      <c r="G5" s="3184" t="s">
        <v>2980</v>
      </c>
      <c r="H5" s="3184" t="s">
        <v>2981</v>
      </c>
      <c r="I5" s="3184" t="s">
        <v>2982</v>
      </c>
      <c r="J5" s="3184" t="s">
        <v>2983</v>
      </c>
      <c r="K5" s="3184" t="s">
        <v>2984</v>
      </c>
      <c r="L5" s="3184" t="s">
        <v>2985</v>
      </c>
      <c r="M5" s="3184" t="s">
        <v>2986</v>
      </c>
      <c r="N5" s="3184" t="s">
        <v>2033</v>
      </c>
      <c r="O5" s="3184" t="s">
        <v>2987</v>
      </c>
      <c r="P5" s="3184" t="s">
        <v>3023</v>
      </c>
      <c r="Q5" s="3184" t="s">
        <v>2988</v>
      </c>
      <c r="R5" s="3184" t="s">
        <v>2989</v>
      </c>
      <c r="S5" s="3184"/>
      <c r="T5" s="3181"/>
    </row>
    <row r="6" spans="3:20" s="1794" customFormat="1" ht="15.75">
      <c r="C6" s="3181" t="s">
        <v>2990</v>
      </c>
      <c r="D6" s="3344" t="s">
        <v>3024</v>
      </c>
      <c r="E6" s="3344">
        <v>132005</v>
      </c>
      <c r="F6" s="3343" t="s">
        <v>2991</v>
      </c>
      <c r="G6" s="3342">
        <v>41555</v>
      </c>
      <c r="H6" s="3344">
        <v>45652</v>
      </c>
      <c r="I6" s="3344">
        <f>ROUND(H6/228262.6*10000,0)</f>
        <v>2000</v>
      </c>
      <c r="J6" s="3345">
        <v>43008</v>
      </c>
      <c r="K6" s="3185" t="s">
        <v>2992</v>
      </c>
      <c r="L6" s="3181">
        <v>31639</v>
      </c>
      <c r="M6" s="3181" t="s">
        <v>2993</v>
      </c>
      <c r="N6" s="3181">
        <v>1.6</v>
      </c>
      <c r="O6" s="3181">
        <f>ROUND(N6*L6,0)</f>
        <v>50622</v>
      </c>
      <c r="P6" s="3181" t="s">
        <v>2994</v>
      </c>
      <c r="Q6" s="3181" t="s">
        <v>3013</v>
      </c>
      <c r="R6" s="3181" t="s">
        <v>2996</v>
      </c>
      <c r="S6" s="3343" t="s">
        <v>2997</v>
      </c>
      <c r="T6" s="3181"/>
    </row>
    <row r="7" spans="3:20" s="1794" customFormat="1" ht="15.75">
      <c r="C7" s="3181" t="s">
        <v>2998</v>
      </c>
      <c r="D7" s="3344"/>
      <c r="E7" s="3344"/>
      <c r="F7" s="3343"/>
      <c r="G7" s="3342"/>
      <c r="H7" s="3344"/>
      <c r="I7" s="3344"/>
      <c r="J7" s="3345"/>
      <c r="K7" s="3185" t="s">
        <v>2992</v>
      </c>
      <c r="L7" s="3181">
        <v>35272</v>
      </c>
      <c r="M7" s="3181" t="s">
        <v>2993</v>
      </c>
      <c r="N7" s="3181">
        <v>1.6</v>
      </c>
      <c r="O7" s="3181">
        <f>ROUND(N7*L7,0)</f>
        <v>56435</v>
      </c>
      <c r="P7" s="3181" t="s">
        <v>2999</v>
      </c>
      <c r="Q7" s="3181" t="s">
        <v>2995</v>
      </c>
      <c r="R7" s="3181" t="s">
        <v>2996</v>
      </c>
      <c r="S7" s="3343"/>
      <c r="T7" s="3181"/>
    </row>
    <row r="8" spans="3:20" s="1794" customFormat="1" ht="15.75">
      <c r="C8" s="3181" t="s">
        <v>3000</v>
      </c>
      <c r="D8" s="3344" t="s">
        <v>3001</v>
      </c>
      <c r="E8" s="3344">
        <v>179935</v>
      </c>
      <c r="F8" s="3343" t="s">
        <v>3002</v>
      </c>
      <c r="G8" s="3342">
        <v>41555</v>
      </c>
      <c r="H8" s="3344">
        <v>70849</v>
      </c>
      <c r="I8" s="3344">
        <f>ROUND(H8/354245.8*10000,0)</f>
        <v>2000</v>
      </c>
      <c r="J8" s="3345">
        <v>43008</v>
      </c>
      <c r="K8" s="3185" t="s">
        <v>2992</v>
      </c>
      <c r="L8" s="3181">
        <v>47329</v>
      </c>
      <c r="M8" s="3181" t="s">
        <v>2993</v>
      </c>
      <c r="N8" s="3181">
        <v>1.8</v>
      </c>
      <c r="O8" s="3181">
        <f>ROUND(N8*L8,0)</f>
        <v>85192</v>
      </c>
      <c r="P8" s="3181" t="s">
        <v>3003</v>
      </c>
      <c r="Q8" s="3181" t="s">
        <v>2995</v>
      </c>
      <c r="R8" s="3181" t="s">
        <v>2996</v>
      </c>
      <c r="S8" s="3343" t="s">
        <v>3334</v>
      </c>
      <c r="T8" s="3181"/>
    </row>
    <row r="9" spans="3:20" s="1794" customFormat="1" ht="15.75">
      <c r="C9" s="3181" t="s">
        <v>3004</v>
      </c>
      <c r="D9" s="3344"/>
      <c r="E9" s="3344"/>
      <c r="F9" s="3343"/>
      <c r="G9" s="3342"/>
      <c r="H9" s="3344"/>
      <c r="I9" s="3344"/>
      <c r="J9" s="3345"/>
      <c r="K9" s="3185" t="s">
        <v>2992</v>
      </c>
      <c r="L9" s="3181">
        <v>40447</v>
      </c>
      <c r="M9" s="3181" t="s">
        <v>2993</v>
      </c>
      <c r="N9" s="3181">
        <v>1.8</v>
      </c>
      <c r="O9" s="3181">
        <f>ROUND(N9*L9,0)</f>
        <v>72805</v>
      </c>
      <c r="P9" s="3181" t="s">
        <v>3005</v>
      </c>
      <c r="Q9" s="3181" t="s">
        <v>2995</v>
      </c>
      <c r="R9" s="3181" t="s">
        <v>2996</v>
      </c>
      <c r="S9" s="3343"/>
      <c r="T9" s="3181"/>
    </row>
    <row r="10" spans="3:20" s="1794" customFormat="1" ht="31.5">
      <c r="C10" s="3181" t="s">
        <v>3006</v>
      </c>
      <c r="D10" s="3181" t="s">
        <v>3007</v>
      </c>
      <c r="E10" s="3181">
        <v>16132</v>
      </c>
      <c r="F10" s="3185" t="s">
        <v>3006</v>
      </c>
      <c r="G10" s="3182">
        <v>41555</v>
      </c>
      <c r="H10" s="3181">
        <v>8066</v>
      </c>
      <c r="I10" s="3181">
        <f>ROUND(H10/O10*10000,0)</f>
        <v>2000</v>
      </c>
      <c r="J10" s="3183">
        <v>43008</v>
      </c>
      <c r="K10" s="3185" t="s">
        <v>3008</v>
      </c>
      <c r="L10" s="3181">
        <v>16132</v>
      </c>
      <c r="M10" s="3181" t="s">
        <v>3009</v>
      </c>
      <c r="N10" s="3181">
        <v>2.5</v>
      </c>
      <c r="O10" s="3181">
        <f>ROUND(N10*L10,0)</f>
        <v>40330</v>
      </c>
      <c r="P10" s="3181" t="s">
        <v>3010</v>
      </c>
      <c r="Q10" s="3183" t="s">
        <v>3011</v>
      </c>
      <c r="R10" s="3185"/>
      <c r="S10" s="3185" t="s">
        <v>3012</v>
      </c>
      <c r="T10" s="3181"/>
    </row>
    <row r="27" spans="11:21" ht="14.25" thickBot="1"/>
    <row r="28" spans="11:21" ht="14.25" thickBot="1">
      <c r="K28" s="3337" t="s">
        <v>3370</v>
      </c>
      <c r="L28" s="3337" t="s">
        <v>3371</v>
      </c>
      <c r="M28" s="3337" t="s">
        <v>3372</v>
      </c>
      <c r="N28" s="3337" t="s">
        <v>2985</v>
      </c>
      <c r="O28" s="3337" t="s">
        <v>3373</v>
      </c>
      <c r="P28" s="3334" t="s">
        <v>3374</v>
      </c>
      <c r="Q28" s="3336"/>
      <c r="R28" s="3336"/>
      <c r="S28" s="3336"/>
      <c r="T28" s="3336"/>
      <c r="U28" s="3335"/>
    </row>
    <row r="29" spans="11:21" ht="14.25" thickBot="1">
      <c r="K29" s="3341"/>
      <c r="L29" s="3341"/>
      <c r="M29" s="3341"/>
      <c r="N29" s="3341"/>
      <c r="O29" s="3341"/>
      <c r="P29" s="3337" t="s">
        <v>922</v>
      </c>
      <c r="Q29" s="3339" t="s">
        <v>3374</v>
      </c>
      <c r="R29" s="3340"/>
      <c r="S29" s="3337" t="s">
        <v>3008</v>
      </c>
      <c r="T29" s="3334" t="s">
        <v>3374</v>
      </c>
      <c r="U29" s="3335"/>
    </row>
    <row r="30" spans="11:21" ht="14.25" thickBot="1">
      <c r="K30" s="3338"/>
      <c r="L30" s="3338"/>
      <c r="M30" s="3338"/>
      <c r="N30" s="3338"/>
      <c r="O30" s="3338"/>
      <c r="P30" s="3338"/>
      <c r="Q30" s="3257" t="s">
        <v>3299</v>
      </c>
      <c r="R30" s="3257" t="s">
        <v>3301</v>
      </c>
      <c r="S30" s="3338"/>
      <c r="T30" s="3257" t="s">
        <v>3265</v>
      </c>
      <c r="U30" s="3257" t="s">
        <v>3375</v>
      </c>
    </row>
    <row r="31" spans="11:21" ht="14.25" thickBot="1">
      <c r="K31" s="3258">
        <v>1</v>
      </c>
      <c r="L31" s="3259" t="s">
        <v>2998</v>
      </c>
      <c r="M31" s="3259" t="s">
        <v>3376</v>
      </c>
      <c r="N31" s="3259">
        <v>35272</v>
      </c>
      <c r="O31" s="3259">
        <v>56435</v>
      </c>
      <c r="P31" s="3259">
        <v>45148</v>
      </c>
      <c r="Q31" s="3259">
        <v>45148</v>
      </c>
      <c r="R31" s="3257" t="s">
        <v>951</v>
      </c>
      <c r="S31" s="3259">
        <v>11287</v>
      </c>
      <c r="T31" s="3259">
        <v>11287</v>
      </c>
      <c r="U31" s="3257" t="s">
        <v>951</v>
      </c>
    </row>
    <row r="32" spans="11:21" ht="14.25" thickBot="1">
      <c r="K32" s="3258">
        <v>2</v>
      </c>
      <c r="L32" s="3259" t="s">
        <v>3000</v>
      </c>
      <c r="M32" s="3259" t="s">
        <v>3377</v>
      </c>
      <c r="N32" s="3259">
        <v>47329</v>
      </c>
      <c r="O32" s="3259">
        <v>85192</v>
      </c>
      <c r="P32" s="3259">
        <v>56682.3</v>
      </c>
      <c r="Q32" s="3257" t="s">
        <v>951</v>
      </c>
      <c r="R32" s="3259">
        <v>56682.3</v>
      </c>
      <c r="S32" s="3259">
        <v>28509.7</v>
      </c>
      <c r="T32" s="3259">
        <v>28509.7</v>
      </c>
      <c r="U32" s="3257" t="s">
        <v>951</v>
      </c>
    </row>
    <row r="33" spans="11:21" ht="14.25" thickBot="1">
      <c r="K33" s="3258">
        <v>3</v>
      </c>
      <c r="L33" s="3259" t="s">
        <v>3004</v>
      </c>
      <c r="M33" s="3259" t="s">
        <v>3378</v>
      </c>
      <c r="N33" s="3259">
        <v>40447</v>
      </c>
      <c r="O33" s="3259">
        <v>72805</v>
      </c>
      <c r="P33" s="3259">
        <v>48440.639999999999</v>
      </c>
      <c r="Q33" s="3257" t="s">
        <v>951</v>
      </c>
      <c r="R33" s="3259">
        <v>48440.639999999999</v>
      </c>
      <c r="S33" s="3259">
        <v>24364.36</v>
      </c>
      <c r="T33" s="3259">
        <v>24364.36</v>
      </c>
      <c r="U33" s="3257" t="s">
        <v>951</v>
      </c>
    </row>
    <row r="34" spans="11:21" ht="14.25" thickBot="1">
      <c r="K34" s="3258">
        <v>4</v>
      </c>
      <c r="L34" s="3259" t="s">
        <v>2990</v>
      </c>
      <c r="M34" s="3259" t="s">
        <v>3379</v>
      </c>
      <c r="N34" s="3259">
        <v>31639</v>
      </c>
      <c r="O34" s="3259">
        <v>50622</v>
      </c>
      <c r="P34" s="3259">
        <v>40497.599999999999</v>
      </c>
      <c r="Q34" s="3259">
        <v>40497.599999999999</v>
      </c>
      <c r="R34" s="3257" t="s">
        <v>951</v>
      </c>
      <c r="S34" s="3259">
        <v>10124.4</v>
      </c>
      <c r="T34" s="3259">
        <v>10124.4</v>
      </c>
      <c r="U34" s="3257" t="s">
        <v>951</v>
      </c>
    </row>
    <row r="35" spans="11:21" ht="14.25" thickBot="1">
      <c r="K35" s="3258">
        <v>5</v>
      </c>
      <c r="L35" s="3259" t="s">
        <v>3006</v>
      </c>
      <c r="M35" s="3259" t="s">
        <v>3380</v>
      </c>
      <c r="N35" s="3259">
        <v>16132</v>
      </c>
      <c r="O35" s="3259">
        <v>40330</v>
      </c>
      <c r="P35" s="3257" t="s">
        <v>951</v>
      </c>
      <c r="Q35" s="3257" t="s">
        <v>951</v>
      </c>
      <c r="R35" s="3257" t="s">
        <v>951</v>
      </c>
      <c r="S35" s="3259">
        <v>40330</v>
      </c>
      <c r="T35" s="3257" t="s">
        <v>951</v>
      </c>
      <c r="U35" s="3259">
        <v>40330</v>
      </c>
    </row>
    <row r="36" spans="11:21" ht="14.25" thickBot="1">
      <c r="K36" s="3334" t="s">
        <v>24</v>
      </c>
      <c r="L36" s="3335"/>
      <c r="M36" s="3259" t="s">
        <v>951</v>
      </c>
      <c r="N36" s="3259">
        <v>170819</v>
      </c>
      <c r="O36" s="3259">
        <v>305384</v>
      </c>
      <c r="P36" s="3259">
        <v>190768.54</v>
      </c>
      <c r="Q36" s="3259">
        <f t="shared" ref="Q36:S36" si="0">SUM(Q31:Q35)</f>
        <v>85645.6</v>
      </c>
      <c r="R36" s="3259">
        <f t="shared" si="0"/>
        <v>105122.94</v>
      </c>
      <c r="S36" s="3259">
        <f t="shared" si="0"/>
        <v>114615.45999999999</v>
      </c>
      <c r="T36" s="3259">
        <f>SUM(T31:T35)</f>
        <v>74285.459999999992</v>
      </c>
      <c r="U36" s="3259">
        <v>40330</v>
      </c>
    </row>
  </sheetData>
  <mergeCells count="27">
    <mergeCell ref="D6:D7"/>
    <mergeCell ref="D8:D9"/>
    <mergeCell ref="E6:E7"/>
    <mergeCell ref="E8:E9"/>
    <mergeCell ref="F6:F7"/>
    <mergeCell ref="F8:F9"/>
    <mergeCell ref="G6:G7"/>
    <mergeCell ref="G8:G9"/>
    <mergeCell ref="S6:S7"/>
    <mergeCell ref="S8:S9"/>
    <mergeCell ref="H6:H7"/>
    <mergeCell ref="H8:H9"/>
    <mergeCell ref="I6:I7"/>
    <mergeCell ref="I8:I9"/>
    <mergeCell ref="J6:J7"/>
    <mergeCell ref="J8:J9"/>
    <mergeCell ref="K36:L36"/>
    <mergeCell ref="P28:U28"/>
    <mergeCell ref="P29:P30"/>
    <mergeCell ref="Q29:R29"/>
    <mergeCell ref="S29:S30"/>
    <mergeCell ref="T29:U29"/>
    <mergeCell ref="K28:K30"/>
    <mergeCell ref="L28:L30"/>
    <mergeCell ref="M28:M30"/>
    <mergeCell ref="N28:N30"/>
    <mergeCell ref="O28:O30"/>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7" sqref="K3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55" t="s">
        <v>203</v>
      </c>
      <c r="B2" s="3355"/>
      <c r="C2" s="3355"/>
      <c r="D2" s="1975" t="s">
        <v>204</v>
      </c>
      <c r="E2" s="106" t="s">
        <v>205</v>
      </c>
      <c r="F2" s="1984"/>
      <c r="G2" s="1198"/>
      <c r="H2" s="1199"/>
      <c r="I2" s="1200" t="s">
        <v>856</v>
      </c>
      <c r="J2" s="1984"/>
      <c r="K2" s="1984"/>
      <c r="L2" s="1984"/>
    </row>
    <row r="3" spans="1:16" ht="15.75" thickBot="1">
      <c r="A3" s="3356" t="s">
        <v>206</v>
      </c>
      <c r="B3" s="3356"/>
      <c r="C3" s="3356"/>
      <c r="D3" s="107">
        <f>'数据-基础表'!AY6</f>
        <v>35272</v>
      </c>
      <c r="E3" s="107">
        <f>'数据-基础表'!AZ5</f>
        <v>56435</v>
      </c>
      <c r="F3" s="1984"/>
      <c r="G3" s="280" t="s">
        <v>857</v>
      </c>
      <c r="H3" s="275" t="s">
        <v>858</v>
      </c>
      <c r="I3" s="1976">
        <f>ROUND('数据-基础表'!B3/'数据-基础表'!A3,2)</f>
        <v>1.6</v>
      </c>
      <c r="J3" s="1984"/>
      <c r="K3" s="1984"/>
      <c r="L3" s="1984"/>
    </row>
    <row r="4" spans="1:16" ht="15">
      <c r="A4" s="3357"/>
      <c r="B4" s="3358"/>
      <c r="C4" s="3359"/>
      <c r="D4" s="108" t="s">
        <v>204</v>
      </c>
      <c r="E4" s="109" t="s">
        <v>205</v>
      </c>
      <c r="F4" s="1984"/>
      <c r="G4" s="1201"/>
      <c r="H4" s="275" t="s">
        <v>859</v>
      </c>
      <c r="I4" s="1976">
        <f>ROUND(SUMIF('数据-基础表'!I9:AS9,"地上",'数据-基础表'!I5:AS5)/'数据-基础表'!A3,2)</f>
        <v>1.6</v>
      </c>
      <c r="J4" s="1984"/>
      <c r="K4" s="1984"/>
      <c r="L4" s="1984"/>
    </row>
    <row r="5" spans="1:16">
      <c r="A5" s="110" t="s">
        <v>207</v>
      </c>
      <c r="B5" s="3360" t="s">
        <v>230</v>
      </c>
      <c r="C5" s="3360"/>
      <c r="D5" s="111">
        <f>ROUND($D$3*E5/$E$3,2)</f>
        <v>28217.599999999999</v>
      </c>
      <c r="E5" s="112">
        <f>SUMIF('数据-基础表'!$11:$11,"住宅",'数据-基础表'!$5:$5)</f>
        <v>45148</v>
      </c>
      <c r="F5" s="1984"/>
      <c r="G5" s="280" t="s">
        <v>860</v>
      </c>
      <c r="H5" s="275" t="s">
        <v>858</v>
      </c>
      <c r="I5" s="1976">
        <f>ROUND(E31/D31,2)</f>
        <v>1.6</v>
      </c>
      <c r="J5" s="1984"/>
      <c r="K5" s="1984"/>
      <c r="L5" s="1984"/>
    </row>
    <row r="6" spans="1:16" ht="15" thickBot="1">
      <c r="A6" s="113"/>
      <c r="B6" s="3360" t="s">
        <v>208</v>
      </c>
      <c r="C6" s="3360"/>
      <c r="D6" s="111">
        <f>ROUND($D$3*E6/$E$3,2)</f>
        <v>7054.4</v>
      </c>
      <c r="E6" s="112">
        <f>E3-E5</f>
        <v>11287</v>
      </c>
      <c r="F6" s="1984"/>
      <c r="G6" s="1201"/>
      <c r="H6" s="275" t="s">
        <v>859</v>
      </c>
      <c r="I6" s="1976">
        <f>ROUND(F31/D31,2)</f>
        <v>1.6</v>
      </c>
      <c r="J6" s="1984"/>
      <c r="K6" s="1984"/>
      <c r="L6" s="1984"/>
    </row>
    <row r="7" spans="1:16" ht="15">
      <c r="A7" s="3352"/>
      <c r="B7" s="3353"/>
      <c r="C7" s="3354"/>
      <c r="D7" s="108" t="s">
        <v>204</v>
      </c>
      <c r="E7" s="114" t="s">
        <v>231</v>
      </c>
      <c r="F7" s="1984"/>
      <c r="G7" s="1156" t="s">
        <v>1645</v>
      </c>
      <c r="H7" s="1157"/>
      <c r="I7" s="1846">
        <v>1.6</v>
      </c>
      <c r="J7" s="1984"/>
      <c r="K7" s="1984"/>
      <c r="L7" s="1984"/>
    </row>
    <row r="8" spans="1:16">
      <c r="A8" s="110" t="s">
        <v>209</v>
      </c>
      <c r="B8" s="115" t="s">
        <v>210</v>
      </c>
      <c r="C8" s="111" t="s">
        <v>211</v>
      </c>
      <c r="D8" s="111">
        <f t="shared" ref="D8:D15" si="0">ROUND($D$3*E8/$E$3,2)</f>
        <v>35272</v>
      </c>
      <c r="E8" s="116">
        <f>SUMIF('数据-基础表'!BB10:BK10,"地上",'数据-基础表'!BB5:BK5)</f>
        <v>56435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35272</v>
      </c>
      <c r="E16" s="120">
        <f>SUM(E8:E15)</f>
        <v>56435</v>
      </c>
      <c r="F16" s="1984"/>
      <c r="G16" s="1986"/>
      <c r="H16" s="968" t="s">
        <v>219</v>
      </c>
      <c r="I16" s="969"/>
      <c r="J16" s="1984"/>
      <c r="K16" s="3346" t="s">
        <v>2565</v>
      </c>
      <c r="L16" s="3347"/>
      <c r="M16" s="3347"/>
      <c r="N16" s="3347"/>
      <c r="O16" s="3347"/>
      <c r="P16" s="3348"/>
    </row>
    <row r="17" spans="1:19" ht="15">
      <c r="A17" s="121" t="s">
        <v>216</v>
      </c>
      <c r="B17" s="122" t="s">
        <v>217</v>
      </c>
      <c r="C17" s="2298" t="s">
        <v>2314</v>
      </c>
      <c r="D17" s="108" t="s">
        <v>204</v>
      </c>
      <c r="E17" s="124" t="s">
        <v>205</v>
      </c>
      <c r="F17" s="125"/>
      <c r="G17" s="1366"/>
      <c r="H17" s="970" t="s">
        <v>218</v>
      </c>
      <c r="I17" s="971" t="s">
        <v>2313</v>
      </c>
      <c r="J17" s="1984"/>
      <c r="K17" s="3349" t="s">
        <v>2566</v>
      </c>
      <c r="L17" s="3350"/>
      <c r="M17" s="3351"/>
      <c r="N17" s="3349" t="s">
        <v>2567</v>
      </c>
      <c r="O17" s="3350"/>
      <c r="P17" s="3351"/>
      <c r="R17" s="2299" t="s">
        <v>2312</v>
      </c>
      <c r="S17" s="144"/>
    </row>
    <row r="18" spans="1:19" ht="15">
      <c r="A18" s="117"/>
      <c r="B18" s="128"/>
      <c r="C18" s="129"/>
      <c r="D18" s="2642"/>
      <c r="E18" s="130" t="s">
        <v>220</v>
      </c>
      <c r="F18" s="131" t="s">
        <v>221</v>
      </c>
      <c r="G18" s="1367" t="s">
        <v>222</v>
      </c>
      <c r="H18" s="972" t="s">
        <v>223</v>
      </c>
      <c r="I18" s="973" t="s">
        <v>224</v>
      </c>
      <c r="J18" s="1984"/>
      <c r="K18" s="2605" t="s">
        <v>2568</v>
      </c>
      <c r="L18" s="2606" t="s">
        <v>2569</v>
      </c>
      <c r="M18" s="2607" t="s">
        <v>2570</v>
      </c>
      <c r="N18" s="2605" t="s">
        <v>2568</v>
      </c>
      <c r="O18" s="2606" t="s">
        <v>2569</v>
      </c>
      <c r="P18" s="2607" t="s">
        <v>2570</v>
      </c>
      <c r="R18" s="2300" t="s">
        <v>2310</v>
      </c>
      <c r="S18" s="2300" t="s">
        <v>2311</v>
      </c>
    </row>
    <row r="19" spans="1:19">
      <c r="A19" s="133"/>
      <c r="B19" s="115" t="s">
        <v>225</v>
      </c>
      <c r="C19" s="3025" t="s">
        <v>3027</v>
      </c>
      <c r="D19" s="111">
        <f t="shared" ref="D19:D26" si="1">ROUND($D$3*E19/$E$3,2)</f>
        <v>28217.599999999999</v>
      </c>
      <c r="E19" s="134">
        <f t="shared" ref="E19:E26" si="2">SUM(F19:G19)</f>
        <v>45148</v>
      </c>
      <c r="F19" s="135">
        <f>'数据-基础表'!I13</f>
        <v>45148</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28217.599999999999</v>
      </c>
      <c r="S19" s="2301">
        <f t="shared" si="5"/>
        <v>45148</v>
      </c>
    </row>
    <row r="20" spans="1:19">
      <c r="A20" s="138"/>
      <c r="B20" s="115" t="s">
        <v>226</v>
      </c>
      <c r="C20" s="3025" t="s">
        <v>3028</v>
      </c>
      <c r="D20" s="111">
        <f t="shared" si="1"/>
        <v>7054.4</v>
      </c>
      <c r="E20" s="134">
        <f t="shared" si="2"/>
        <v>11287</v>
      </c>
      <c r="F20" s="135">
        <f>'数据-基础表'!K13</f>
        <v>11287</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7054.4</v>
      </c>
      <c r="S20" s="2301">
        <f t="shared" si="5"/>
        <v>11287</v>
      </c>
    </row>
    <row r="21" spans="1:19">
      <c r="A21" s="138"/>
      <c r="B21" s="115" t="s">
        <v>226</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35272</v>
      </c>
      <c r="E27" s="143">
        <f>IF(SUM(E19:E26)='数据-基础表'!BA5,SUM(E19:E26),IF(F27="地上面积有误","面积有误","地下面积有误"))</f>
        <v>56435</v>
      </c>
      <c r="F27" s="134">
        <f>IF(SUM(F19:F26)=E8,SUM(F19:F26),"地上面积有误")</f>
        <v>56435</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35272</v>
      </c>
      <c r="S27" s="275">
        <f>IF(SUM(S19:S26)=$E$3,SUM(S19:S26),SUM(S19:S26)&amp;"误差"&amp;ROUND(SUM(S19:S26)-E3,2))</f>
        <v>56435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35272</v>
      </c>
      <c r="E31" s="1372">
        <f>E27+E30</f>
        <v>56435</v>
      </c>
      <c r="F31" s="1373">
        <f>F27+F30</f>
        <v>56435</v>
      </c>
      <c r="G31" s="1374">
        <f>G27+G30</f>
        <v>0</v>
      </c>
      <c r="H31" s="1984"/>
      <c r="I31" s="1984"/>
      <c r="J31" s="1984"/>
      <c r="K31" s="1984"/>
      <c r="L31" s="1984"/>
    </row>
    <row r="32" spans="1:19">
      <c r="A32" s="1984"/>
      <c r="B32" s="2363" t="s">
        <v>2322</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43426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21"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联排别墅</v>
      </c>
      <c r="B6" s="2337" t="str">
        <f>IF(A6=0,"","经营性")</f>
        <v>经营性</v>
      </c>
      <c r="C6" s="173" t="s">
        <v>922</v>
      </c>
      <c r="D6" s="2308">
        <f>SUMIF(项目基本情况!D$15:I$15,C6,项目基本情况!D$18:I$18)</f>
        <v>50</v>
      </c>
      <c r="E6" s="2309">
        <f>IF(B6="","",SUMIF(项目基本情况!D$15:I$15,C6,项目基本情况!D$17:I$17))</f>
        <v>59808</v>
      </c>
      <c r="F6" s="174">
        <f>SUMIF(项目基本情况!D$15:I$15,C6,项目基本情况!D$19:I$19)</f>
        <v>44.88</v>
      </c>
      <c r="G6" s="175">
        <f>IF(ISERROR(ROUND(POWER(1+H6,D6-F6)*(POWER(1+H6,F6)-1)/(POWER(1+H6,D6)-1),3)),0,ROUND(POWER(1+H6,D6-F6)*(POWER(1+H6,F6)-1)/(POWER(1+H6,D6)-1),3))</f>
        <v>0.97299999999999998</v>
      </c>
      <c r="H6" s="3026">
        <v>0.05</v>
      </c>
      <c r="I6" s="3026">
        <v>5.5E-2</v>
      </c>
      <c r="J6" s="176">
        <v>8.5000000000000006E-2</v>
      </c>
      <c r="K6" s="179">
        <f>SUMIF('数据-汇总表'!C$19:C$33,'数据-取费表'!A6,'数据-汇总表'!E$19:E$33)</f>
        <v>45148</v>
      </c>
      <c r="L6" s="3027">
        <v>3200</v>
      </c>
      <c r="M6" s="177">
        <f t="shared" ref="M6:M14" si="0">ROUND(K6*L6/10000,0)</f>
        <v>14447</v>
      </c>
      <c r="N6" s="3028">
        <v>0</v>
      </c>
      <c r="O6" s="177">
        <f>IF($N$5="成新度","——",ROUND(M6*N6,0))</f>
        <v>0</v>
      </c>
      <c r="P6" s="178">
        <f>IF($N$5="成新度","——",M6-O6)</f>
        <v>14447</v>
      </c>
      <c r="Q6" s="3029">
        <v>0.2</v>
      </c>
      <c r="R6" s="179">
        <f>SUMIF('数据-汇总表'!C$19:C$33,A6,'数据-汇总表'!R$19:R$33)</f>
        <v>28217.599999999999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0.88800000000000001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商业裙房</v>
      </c>
      <c r="B7" s="2337" t="str">
        <f t="shared" ref="B7:B13" si="1">IF(A7=0,"","经营性")</f>
        <v>经营性</v>
      </c>
      <c r="C7" s="173" t="s">
        <v>3008</v>
      </c>
      <c r="D7" s="2308">
        <f>SUMIF(项目基本情况!D$15:I$15,C7,项目基本情况!D$18:I$18)</f>
        <v>40</v>
      </c>
      <c r="E7" s="2309">
        <f>IF(B7="","",SUMIF(项目基本情况!D$15:I$15,C7,项目基本情况!D$17:I$17))</f>
        <v>56156</v>
      </c>
      <c r="F7" s="174">
        <f>SUMIF(项目基本情况!D$15:I$15,C7,项目基本情况!D$19:I$19)</f>
        <v>34.869999999999997</v>
      </c>
      <c r="G7" s="175">
        <f t="shared" ref="G7:G11" si="2">IF(ISERROR(ROUND(POWER(1+H7,D7-F7)*(POWER(1+H7,F7)-1)/(POWER(1+H7,D7)-1),3)),0,ROUND(POWER(1+H7,D7-F7)*(POWER(1+H7,F7)-1)/(POWER(1+H7,D7)-1),3))</f>
        <v>0.95799999999999996</v>
      </c>
      <c r="H7" s="3026">
        <v>5.5E-2</v>
      </c>
      <c r="I7" s="3026">
        <v>0.06</v>
      </c>
      <c r="J7" s="176">
        <v>8.5000000000000006E-2</v>
      </c>
      <c r="K7" s="179">
        <f>SUMIF('数据-汇总表'!C$19:C$33,'数据-取费表'!A7,'数据-汇总表'!E$19:E$33)</f>
        <v>11287</v>
      </c>
      <c r="L7" s="3027">
        <v>3000</v>
      </c>
      <c r="M7" s="177">
        <f t="shared" si="0"/>
        <v>3386</v>
      </c>
      <c r="N7" s="3028">
        <v>0</v>
      </c>
      <c r="O7" s="177">
        <f t="shared" ref="O7:O14" si="3">IF($N$5="成新度","——",ROUND(M7*N7,0))</f>
        <v>0</v>
      </c>
      <c r="P7" s="178">
        <f t="shared" ref="P7:P14" si="4">IF($N$5="成新度","——",M7-O7)</f>
        <v>3386</v>
      </c>
      <c r="Q7" s="3029">
        <v>0.3</v>
      </c>
      <c r="R7" s="179">
        <f>SUMIF('数据-汇总表'!C$19:C$33,A7,'数据-汇总表'!R$19:R$33)</f>
        <v>7054.4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4</v>
      </c>
      <c r="V7" s="181">
        <v>0.03</v>
      </c>
      <c r="W7" s="181">
        <v>0.15</v>
      </c>
      <c r="X7" s="2321"/>
      <c r="Y7" s="182">
        <v>1</v>
      </c>
      <c r="Z7" s="183"/>
      <c r="AA7" s="176"/>
      <c r="AB7" s="176"/>
      <c r="AC7" s="2324"/>
      <c r="AD7" s="184"/>
      <c r="AE7" s="972">
        <f t="shared" ref="AE7:AE13" ca="1" si="6">IF(AN7="",0,SUMIF(INDIRECT("'"&amp;AN7&amp;"'"&amp;"!E:E"),$AE$5,INDIRECT("'"&amp;AN7&amp;"'"&amp;"!F:F")))</f>
        <v>31.869999999999997</v>
      </c>
      <c r="AF7" s="141"/>
      <c r="AG7" s="1213">
        <f t="shared" ref="AG7:AG13" si="7">IF(AF7="",0,AE7-AF7)</f>
        <v>0</v>
      </c>
      <c r="AH7" s="141"/>
      <c r="AI7" s="187">
        <v>365</v>
      </c>
      <c r="AJ7" s="188"/>
      <c r="AK7" s="189">
        <v>1.4999999999999999E-2</v>
      </c>
      <c r="AL7" s="190">
        <v>2.5000000000000001E-3</v>
      </c>
      <c r="AM7" s="2390">
        <v>0.03</v>
      </c>
      <c r="AN7" s="2392" t="s">
        <v>3323</v>
      </c>
      <c r="AO7" s="2000"/>
      <c r="AP7" s="1204">
        <f t="shared" ref="AP7:AP13" si="8">ROUND(1-1/(1+H7)^F7,3)</f>
        <v>0.84499999999999997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0.97</v>
      </c>
      <c r="H16" s="203">
        <f>ROUND(SUMPRODUCT(H6:H13,K6:K13)/SUMPRODUCT((H6:H13&gt;0)*(K6:K13)),3)</f>
        <v>5.0999999999999997E-2</v>
      </c>
      <c r="I16" s="204"/>
      <c r="J16" s="204"/>
      <c r="K16" s="205">
        <f>SUM(K6:K15)</f>
        <v>56435</v>
      </c>
      <c r="L16" s="206">
        <f>ROUND(M16*10000/SUM(K6:K14),0)</f>
        <v>3160</v>
      </c>
      <c r="M16" s="206">
        <f>SUM(M6:M14)</f>
        <v>17833</v>
      </c>
      <c r="N16" s="207">
        <f>ROUND(SUMPRODUCT(M6:M14,N6:N14)/M16,3)</f>
        <v>0</v>
      </c>
      <c r="O16" s="206">
        <f>SUM(O6:O14)</f>
        <v>0</v>
      </c>
      <c r="P16" s="206">
        <f>SUM(P6:P14)</f>
        <v>17833</v>
      </c>
      <c r="Q16" s="208">
        <f>ROUND(SUMPRODUCT(Q6:Q13,K6:K13)/SUMPRODUCT((Q6:Q13&gt;0)*(K6:K13)),2)</f>
        <v>0.22</v>
      </c>
      <c r="R16" s="2311">
        <f>SUM(R6:R13)</f>
        <v>35272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3186" t="s">
        <v>3029</v>
      </c>
      <c r="M18" s="3361" t="s">
        <v>3030</v>
      </c>
      <c r="N18" s="3361"/>
      <c r="O18" s="3361"/>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3187"/>
      <c r="M19" s="3188" t="s">
        <v>3031</v>
      </c>
      <c r="N19" s="3188" t="s">
        <v>3032</v>
      </c>
      <c r="O19" s="3188" t="s">
        <v>3033</v>
      </c>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2336</v>
      </c>
      <c r="D20" s="1993"/>
      <c r="E20" s="1992"/>
      <c r="F20" s="1992"/>
      <c r="G20" s="1992"/>
      <c r="H20" s="1992"/>
      <c r="I20" s="1992"/>
      <c r="J20" s="1992"/>
      <c r="K20" s="1991"/>
      <c r="L20" s="3189" t="s">
        <v>3034</v>
      </c>
      <c r="M20" s="3189" t="s">
        <v>3035</v>
      </c>
      <c r="N20" s="3189" t="s">
        <v>3036</v>
      </c>
      <c r="O20" s="3189" t="s">
        <v>3037</v>
      </c>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290</v>
      </c>
      <c r="C27" s="3075" t="s">
        <v>3288</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65" t="s">
        <v>2884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2885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2886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2887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0.03</v>
      </c>
      <c r="C37" s="2365" t="s">
        <v>2888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2888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2455</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2456</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2889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5" customHeight="1">
      <c r="A46" s="239" t="s">
        <v>287</v>
      </c>
      <c r="B46" s="240">
        <v>0.02</v>
      </c>
      <c r="C46" s="2367" t="s">
        <v>2891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2892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2894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1155</v>
      </c>
      <c r="C53" s="3077" t="s">
        <v>2895</v>
      </c>
      <c r="D53" s="3078" t="s">
        <v>3296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2896</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2897</v>
      </c>
      <c r="B55" s="186">
        <v>16</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2898</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2899</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2900</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2901</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2904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2905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0" r:id="rId1" display="javascript:top.main.DataEdit('50',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62" t="s">
        <v>1663</v>
      </c>
      <c r="B1" s="3363"/>
      <c r="C1" s="3363"/>
      <c r="D1" s="3363"/>
      <c r="E1" s="3363"/>
      <c r="F1" s="3363"/>
      <c r="G1" s="3363"/>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82" t="s">
        <v>2912</v>
      </c>
      <c r="D3" s="2009"/>
      <c r="E3" s="1229" t="s">
        <v>1666</v>
      </c>
      <c r="F3" s="1230" t="s">
        <v>1654</v>
      </c>
      <c r="G3" s="3086" t="s">
        <v>2911</v>
      </c>
      <c r="H3" s="2008"/>
      <c r="I3" s="2008"/>
      <c r="J3" s="2008"/>
      <c r="K3" s="2008"/>
      <c r="L3" s="2008"/>
      <c r="M3" s="2008"/>
      <c r="N3" s="2008"/>
      <c r="O3" s="2008"/>
      <c r="P3" s="2008"/>
      <c r="Q3" s="2008"/>
      <c r="R3" s="2008"/>
    </row>
    <row r="4" spans="1:18" ht="41.25">
      <c r="A4" s="1229"/>
      <c r="B4" s="1231" t="s">
        <v>1667</v>
      </c>
      <c r="C4" s="3083" t="s">
        <v>2913</v>
      </c>
      <c r="D4" s="2009"/>
      <c r="E4" s="1232"/>
      <c r="F4" s="1233" t="s">
        <v>1668</v>
      </c>
      <c r="G4" s="3084" t="s">
        <v>2908</v>
      </c>
      <c r="H4" s="2008"/>
      <c r="I4" s="2008"/>
      <c r="J4" s="2008"/>
      <c r="K4" s="2008"/>
      <c r="L4" s="2008"/>
      <c r="M4" s="2008"/>
      <c r="N4" s="2008"/>
      <c r="O4" s="2008"/>
      <c r="P4" s="2008"/>
      <c r="Q4" s="2008"/>
      <c r="R4" s="2008"/>
    </row>
    <row r="5" spans="1:18" ht="41.25">
      <c r="A5" s="1229"/>
      <c r="B5" s="1231" t="s">
        <v>1669</v>
      </c>
      <c r="C5" s="3083" t="s">
        <v>2914</v>
      </c>
      <c r="D5" s="2009"/>
      <c r="E5" s="1232"/>
      <c r="F5" s="1231" t="s">
        <v>2545</v>
      </c>
      <c r="G5" s="3084" t="s">
        <v>2909</v>
      </c>
      <c r="H5" s="2008"/>
      <c r="I5" s="2008"/>
      <c r="J5" s="2008"/>
      <c r="K5" s="2008"/>
      <c r="L5" s="2008"/>
      <c r="M5" s="2008"/>
      <c r="N5" s="2008"/>
      <c r="O5" s="2008"/>
      <c r="P5" s="2008"/>
      <c r="Q5" s="2008"/>
      <c r="R5" s="2008"/>
    </row>
    <row r="6" spans="1:18" ht="54">
      <c r="A6" s="1229"/>
      <c r="B6" s="1231" t="s">
        <v>1655</v>
      </c>
      <c r="C6" s="3084" t="s">
        <v>2908</v>
      </c>
      <c r="D6" s="2009"/>
      <c r="E6" s="1232"/>
      <c r="F6" s="1231" t="s">
        <v>2546</v>
      </c>
      <c r="G6" s="3084" t="s">
        <v>2906</v>
      </c>
      <c r="H6" s="2008"/>
      <c r="I6" s="2008"/>
      <c r="J6" s="2008"/>
      <c r="K6" s="2008"/>
      <c r="L6" s="2008"/>
      <c r="M6" s="2008"/>
      <c r="N6" s="2008"/>
      <c r="O6" s="2008"/>
      <c r="P6" s="2008"/>
      <c r="Q6" s="2008"/>
      <c r="R6" s="2008"/>
    </row>
    <row r="7" spans="1:18" ht="41.25" thickBot="1">
      <c r="A7" s="1229"/>
      <c r="B7" s="1231" t="s">
        <v>2545</v>
      </c>
      <c r="C7" s="3084" t="s">
        <v>2909</v>
      </c>
      <c r="D7" s="2010"/>
      <c r="E7" s="1234"/>
      <c r="F7" s="1235" t="s">
        <v>1670</v>
      </c>
      <c r="G7" s="3087" t="s">
        <v>2910</v>
      </c>
      <c r="H7" s="2008"/>
      <c r="I7" s="2008"/>
      <c r="J7" s="2008"/>
      <c r="K7" s="2008"/>
      <c r="L7" s="2008"/>
      <c r="M7" s="2008"/>
      <c r="N7" s="2008"/>
      <c r="O7" s="2008"/>
      <c r="P7" s="2008"/>
      <c r="Q7" s="2008"/>
      <c r="R7" s="2008"/>
    </row>
    <row r="8" spans="1:18" ht="27">
      <c r="A8" s="1229"/>
      <c r="B8" s="1231" t="s">
        <v>2546</v>
      </c>
      <c r="C8" s="3084" t="s">
        <v>2906</v>
      </c>
      <c r="D8" s="2010"/>
      <c r="E8" s="2010"/>
      <c r="F8" s="1554"/>
      <c r="G8" s="1554"/>
      <c r="H8" s="2008"/>
      <c r="I8" s="2008"/>
      <c r="J8" s="2008"/>
      <c r="K8" s="2008"/>
      <c r="L8" s="2008"/>
      <c r="M8" s="2008"/>
      <c r="N8" s="2008"/>
      <c r="O8" s="2008"/>
      <c r="P8" s="2008"/>
      <c r="Q8" s="2008"/>
      <c r="R8" s="2008"/>
    </row>
    <row r="9" spans="1:18" ht="40.5">
      <c r="A9" s="1229"/>
      <c r="B9" s="1231" t="s">
        <v>1656</v>
      </c>
      <c r="C9" s="3083" t="s">
        <v>2907</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8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4"/>
      <c r="E13" s="2578"/>
      <c r="F13" s="2578"/>
      <c r="G13" s="2578"/>
    </row>
    <row r="14" spans="1:18" ht="14.25" thickBot="1">
      <c r="A14" s="1238"/>
      <c r="B14" s="1239"/>
      <c r="C14" s="1240" t="s">
        <v>1664</v>
      </c>
      <c r="D14" s="2009"/>
      <c r="E14" s="1241"/>
      <c r="F14" s="1241"/>
      <c r="G14" s="1223" t="s">
        <v>1665</v>
      </c>
    </row>
    <row r="15" spans="1:18" ht="54">
      <c r="A15" s="2588" t="s">
        <v>1657</v>
      </c>
      <c r="B15" s="1242" t="s">
        <v>1653</v>
      </c>
      <c r="C15" s="1243" t="str">
        <f>C3</f>
        <v>估价对象周边居住用地比例、居住小区规模和社区发展完善程度，综合评价居住社区成熟度一般</v>
      </c>
      <c r="D15" s="2009"/>
      <c r="E15" s="2585" t="s">
        <v>1658</v>
      </c>
      <c r="F15" s="1242" t="s">
        <v>1673</v>
      </c>
      <c r="G15" s="1244" t="str">
        <f>G3</f>
        <v>估价对象位于XX开发区，园区建设成熟度XX，产业集聚程度XX</v>
      </c>
    </row>
    <row r="16" spans="1:18" ht="40.5">
      <c r="A16" s="2589"/>
      <c r="B16" s="1245" t="s">
        <v>1667</v>
      </c>
      <c r="C16" s="1246" t="str">
        <f>C4</f>
        <v>估价对象位于XX商圈，周边商业氛围成熟，人流量大，商业繁华度好</v>
      </c>
      <c r="D16" s="2009"/>
      <c r="E16" s="2586"/>
      <c r="F16" s="1247" t="s">
        <v>1668</v>
      </c>
      <c r="G16" s="1005" t="str">
        <f>G4</f>
        <v>估价对象周边道路状况、公共交通通达情况、停车便捷程度，综合评价交通便捷度较好</v>
      </c>
    </row>
    <row r="17" spans="1:7" ht="40.5">
      <c r="A17" s="2589"/>
      <c r="B17" s="1245" t="s">
        <v>1669</v>
      </c>
      <c r="C17" s="1246" t="str">
        <f>C5</f>
        <v>估价对象位于XX商圈，周边办公楼项目较多，入驻率高，办公集聚程度较好</v>
      </c>
      <c r="D17" s="2010"/>
      <c r="E17" s="2586"/>
      <c r="F17" s="1247" t="s">
        <v>1674</v>
      </c>
      <c r="G17" s="2794"/>
    </row>
    <row r="18" spans="1:7" ht="54">
      <c r="A18" s="2589"/>
      <c r="B18" s="1247" t="s">
        <v>1655</v>
      </c>
      <c r="C18" s="1005" t="str">
        <f>C6</f>
        <v>估价对象周边道路状况、公共交通通达情况、停车便捷程度，综合评价交通便捷度较好</v>
      </c>
      <c r="D18" s="2010"/>
      <c r="E18" s="2586"/>
      <c r="F18" s="1247" t="s">
        <v>1670</v>
      </c>
      <c r="G18" s="1005" t="str">
        <f>G7</f>
        <v>该园区内是否有污染型企业，绿化情况，卫生条件，整体环境状况判断</v>
      </c>
    </row>
    <row r="19" spans="1:7" ht="27">
      <c r="A19" s="2589"/>
      <c r="B19" s="1247" t="s">
        <v>1659</v>
      </c>
      <c r="C19" s="2794"/>
      <c r="D19" s="2009"/>
      <c r="E19" s="2586"/>
      <c r="F19" s="1231" t="s">
        <v>2545</v>
      </c>
      <c r="G19" s="1005" t="str">
        <f>G5</f>
        <v>估价对象所在区域公共配套设施齐备情况</v>
      </c>
    </row>
    <row r="20" spans="1:7" ht="40.5">
      <c r="A20" s="2589"/>
      <c r="B20" s="1247" t="s">
        <v>1660</v>
      </c>
      <c r="C20" s="1246" t="str">
        <f>C9</f>
        <v>区域自然环境：；人文环境；综合评价环境状况一般</v>
      </c>
      <c r="D20" s="2010"/>
      <c r="E20" s="2586"/>
      <c r="F20" s="1231" t="s">
        <v>2546</v>
      </c>
      <c r="G20" s="1005" t="str">
        <f>G6</f>
        <v>估价对象所在区域基础设施水平</v>
      </c>
    </row>
    <row r="21" spans="1:7" ht="27">
      <c r="A21" s="2589"/>
      <c r="B21" s="1231" t="s">
        <v>2545</v>
      </c>
      <c r="C21" s="1005" t="str">
        <f>C7</f>
        <v>估价对象所在区域公共配套设施齐备情况</v>
      </c>
      <c r="D21" s="2009"/>
      <c r="E21" s="2586"/>
      <c r="F21" s="1247" t="s">
        <v>1661</v>
      </c>
      <c r="G21" s="3088"/>
    </row>
    <row r="22" spans="1:7" ht="27">
      <c r="A22" s="2589"/>
      <c r="B22" s="1231" t="s">
        <v>2546</v>
      </c>
      <c r="C22" s="1005" t="str">
        <f>C8</f>
        <v>估价对象所在区域基础设施水平</v>
      </c>
      <c r="D22" s="2009"/>
      <c r="E22" s="2586"/>
      <c r="F22" s="1247" t="s">
        <v>1671</v>
      </c>
      <c r="G22" s="2794"/>
    </row>
    <row r="23" spans="1:7" ht="15" thickBot="1">
      <c r="A23" s="2589"/>
      <c r="B23" s="1247" t="s">
        <v>1661</v>
      </c>
      <c r="C23" s="3088"/>
      <c r="E23" s="2587"/>
      <c r="F23" s="1248" t="s">
        <v>1675</v>
      </c>
      <c r="G23" s="3089"/>
    </row>
    <row r="24" spans="1:7" ht="14.25" thickBot="1">
      <c r="A24" s="2590"/>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workbookViewId="0">
      <selection activeCell="I14" sqref="I14"/>
    </sheetView>
  </sheetViews>
  <sheetFormatPr defaultColWidth="14.625" defaultRowHeight="13.5"/>
  <cols>
    <col min="1" max="1" width="24.375" customWidth="1"/>
  </cols>
  <sheetData>
    <row r="1" spans="1:10" ht="16.5">
      <c r="A1" s="3046" t="s">
        <v>2843</v>
      </c>
      <c r="B1" s="3046">
        <f>SUM(B14:B23)</f>
        <v>305384</v>
      </c>
      <c r="C1" s="3047"/>
      <c r="D1" s="3047"/>
      <c r="E1" s="3047"/>
      <c r="F1" s="3047"/>
    </row>
    <row r="2" spans="1:10" ht="16.5">
      <c r="A2" s="3046" t="s">
        <v>2844</v>
      </c>
      <c r="B2" s="3046">
        <f>SUM(C14:C23)</f>
        <v>170819</v>
      </c>
      <c r="C2" s="3047"/>
      <c r="D2" s="3047"/>
      <c r="E2" s="3047"/>
      <c r="F2" s="3047"/>
    </row>
    <row r="3" spans="1:10" ht="16.5">
      <c r="A3" s="3046" t="s">
        <v>2845</v>
      </c>
      <c r="B3" s="3048">
        <f>项目基本情况!D3</f>
        <v>43426</v>
      </c>
      <c r="C3" s="3047"/>
      <c r="D3" s="3047"/>
      <c r="E3" s="3047"/>
      <c r="F3" s="3047"/>
    </row>
    <row r="4" spans="1:10" ht="33">
      <c r="A4" s="3046" t="s">
        <v>2846</v>
      </c>
      <c r="B4" s="3046" t="s">
        <v>2847</v>
      </c>
      <c r="C4" s="3046" t="s">
        <v>2848</v>
      </c>
      <c r="D4" s="3046" t="s">
        <v>2849</v>
      </c>
      <c r="E4" s="3047"/>
      <c r="F4" s="3047"/>
    </row>
    <row r="5" spans="1:10" ht="16.5">
      <c r="A5" s="3046" t="s">
        <v>2850</v>
      </c>
      <c r="B5" s="3046">
        <f ca="1">SUM(D14:D23)</f>
        <v>142962</v>
      </c>
      <c r="C5" s="3046">
        <f ca="1">ROUND(B5*10000/$B$1,0)</f>
        <v>4681</v>
      </c>
      <c r="D5" s="3046">
        <f ca="1">ROUND(B5*10000/$B$2,0)</f>
        <v>8369</v>
      </c>
      <c r="E5" s="3047"/>
      <c r="F5" s="3047"/>
    </row>
    <row r="6" spans="1:10" ht="16.5">
      <c r="A6" s="3046" t="s">
        <v>2851</v>
      </c>
      <c r="B6" s="3046">
        <f ca="1">SUM(G14:G23)</f>
        <v>142962</v>
      </c>
      <c r="C6" s="3046">
        <f t="shared" ref="C6:C8" ca="1" si="0">ROUND(B6*10000/$B$1,0)</f>
        <v>4681</v>
      </c>
      <c r="D6" s="3046">
        <f t="shared" ref="D6:D8" ca="1" si="1">ROUND(B6*10000/$B$2,0)</f>
        <v>8369</v>
      </c>
      <c r="E6" s="3047"/>
      <c r="F6" s="3047"/>
    </row>
    <row r="7" spans="1:10" ht="16.5">
      <c r="A7" s="3046" t="s">
        <v>2852</v>
      </c>
      <c r="B7" s="3046">
        <f>SUM(H14:H23)</f>
        <v>0</v>
      </c>
      <c r="C7" s="3046">
        <f t="shared" si="0"/>
        <v>0</v>
      </c>
      <c r="D7" s="3046">
        <f t="shared" si="1"/>
        <v>0</v>
      </c>
      <c r="E7" s="3047"/>
      <c r="F7" s="3047"/>
    </row>
    <row r="8" spans="1:10" ht="16.5">
      <c r="A8" s="3046" t="s">
        <v>2853</v>
      </c>
      <c r="B8" s="3046">
        <f ca="1">SUM(I14:I23)</f>
        <v>110999</v>
      </c>
      <c r="C8" s="3046">
        <f t="shared" ca="1" si="0"/>
        <v>3635</v>
      </c>
      <c r="D8" s="3046">
        <f t="shared" ca="1" si="1"/>
        <v>6498</v>
      </c>
      <c r="E8" s="3047"/>
      <c r="F8" s="3047"/>
    </row>
    <row r="9" spans="1:10" ht="16.5">
      <c r="A9" s="3046" t="s">
        <v>2854</v>
      </c>
      <c r="B9" s="3049"/>
      <c r="C9" s="3047"/>
      <c r="D9" s="3047"/>
      <c r="E9" s="3047"/>
      <c r="F9" s="3047"/>
    </row>
    <row r="10" spans="1:10" ht="16.5">
      <c r="A10" s="3046" t="s">
        <v>2855</v>
      </c>
      <c r="B10" s="3049"/>
      <c r="C10" s="3047"/>
      <c r="D10" s="3047"/>
      <c r="E10" s="3047"/>
      <c r="F10" s="3047"/>
    </row>
    <row r="11" spans="1:10" ht="16.5">
      <c r="A11" s="3046" t="s">
        <v>2867</v>
      </c>
      <c r="B11" s="3049"/>
      <c r="C11" s="3047"/>
      <c r="D11" s="3047"/>
      <c r="E11" s="3047"/>
      <c r="F11" s="3047"/>
    </row>
    <row r="12" spans="1:10" ht="16.5">
      <c r="A12" s="3047"/>
      <c r="B12" s="3047"/>
      <c r="C12" s="3047"/>
      <c r="D12" s="3047"/>
      <c r="E12" s="3047"/>
      <c r="F12" s="3047"/>
    </row>
    <row r="13" spans="1:10" ht="33">
      <c r="A13" s="3052" t="s">
        <v>2866</v>
      </c>
      <c r="B13" s="3050" t="s">
        <v>2843</v>
      </c>
      <c r="C13" s="3050" t="s">
        <v>2844</v>
      </c>
      <c r="D13" s="3050" t="s">
        <v>2856</v>
      </c>
      <c r="E13" s="3046" t="s">
        <v>2865</v>
      </c>
      <c r="F13" s="3046" t="s">
        <v>2849</v>
      </c>
      <c r="G13" s="3050" t="s">
        <v>2857</v>
      </c>
      <c r="H13" s="3050" t="s">
        <v>2858</v>
      </c>
      <c r="I13" s="3050" t="s">
        <v>2859</v>
      </c>
    </row>
    <row r="14" spans="1:10" ht="16.5">
      <c r="A14" s="3053" t="s">
        <v>3357</v>
      </c>
      <c r="B14" s="3050">
        <f>结果表!L38</f>
        <v>56435</v>
      </c>
      <c r="C14" s="3050">
        <f>结果表!K38</f>
        <v>35272</v>
      </c>
      <c r="D14" s="3050">
        <f ca="1">结果表!C42</f>
        <v>28132</v>
      </c>
      <c r="E14" s="3050">
        <f ca="1">ROUND(D14*10000/B14,0)</f>
        <v>4985</v>
      </c>
      <c r="F14" s="3050">
        <f ca="1">ROUND(D14*10000/C14,0)</f>
        <v>7976</v>
      </c>
      <c r="G14" s="3050">
        <f ca="1">结果表!C44</f>
        <v>28132</v>
      </c>
      <c r="H14" s="3050" t="str">
        <f>结果表!C45</f>
        <v>——</v>
      </c>
      <c r="I14" s="3050">
        <f ca="1">结果表!C46</f>
        <v>21643</v>
      </c>
      <c r="J14">
        <f ca="1">D14-I14</f>
        <v>6489</v>
      </c>
    </row>
    <row r="15" spans="1:10" ht="16.5">
      <c r="A15" s="3053" t="s">
        <v>3358</v>
      </c>
      <c r="B15" s="3051">
        <f>'[2]数据-汇总表'!$E$3</f>
        <v>85192</v>
      </c>
      <c r="C15" s="3051">
        <f>'[2]数据-汇总表'!$D$3</f>
        <v>47329</v>
      </c>
      <c r="D15" s="3051">
        <f>[3]结果表!$G$19</f>
        <v>43667</v>
      </c>
      <c r="E15" s="3050">
        <f t="shared" ref="E15:E23" si="2">ROUND(D15*10000/B15,0)</f>
        <v>5126</v>
      </c>
      <c r="F15" s="3050">
        <f t="shared" ref="F15:F23" si="3">ROUND(D15*10000/C15,0)</f>
        <v>9226</v>
      </c>
      <c r="G15" s="3051">
        <f>D15</f>
        <v>43667</v>
      </c>
      <c r="H15" s="3051"/>
      <c r="I15" s="3051">
        <f>[3]结果表!$O$79</f>
        <v>33239</v>
      </c>
      <c r="J15">
        <f t="shared" ref="J15:J18" si="4">D15-I15</f>
        <v>10428</v>
      </c>
    </row>
    <row r="16" spans="1:10" ht="16.5">
      <c r="A16" s="3053" t="s">
        <v>3359</v>
      </c>
      <c r="B16" s="3051">
        <f>'[4]数据-汇总表'!$E$3</f>
        <v>72805</v>
      </c>
      <c r="C16" s="3051">
        <f>'[4]数据-汇总表'!$D$3</f>
        <v>40447</v>
      </c>
      <c r="D16" s="3051">
        <f>[5]结果表!$G$19</f>
        <v>37316</v>
      </c>
      <c r="E16" s="3050">
        <f t="shared" si="2"/>
        <v>5125</v>
      </c>
      <c r="F16" s="3050">
        <f t="shared" si="3"/>
        <v>9226</v>
      </c>
      <c r="G16" s="3051">
        <f t="shared" ref="G16" si="5">D16</f>
        <v>37316</v>
      </c>
      <c r="H16" s="3051"/>
      <c r="I16" s="3051">
        <f>[5]结果表!$O$79</f>
        <v>28405</v>
      </c>
      <c r="J16">
        <f t="shared" si="4"/>
        <v>8911</v>
      </c>
    </row>
    <row r="17" spans="1:10" ht="16.5">
      <c r="A17" s="3053" t="s">
        <v>3360</v>
      </c>
      <c r="B17" s="3051">
        <f>'[6]数据-汇总表'!$E$3</f>
        <v>50622</v>
      </c>
      <c r="C17" s="3051">
        <f>'[6]数据-汇总表'!$D$3</f>
        <v>31639</v>
      </c>
      <c r="D17" s="3051">
        <f>[7]结果表!$C$32</f>
        <v>24918</v>
      </c>
      <c r="E17" s="3050">
        <f t="shared" si="2"/>
        <v>4922</v>
      </c>
      <c r="F17" s="3050">
        <f t="shared" si="3"/>
        <v>7876</v>
      </c>
      <c r="G17" s="3051">
        <f>D17</f>
        <v>24918</v>
      </c>
      <c r="H17" s="3051"/>
      <c r="I17" s="3051">
        <f>[7]结果表!$O$79</f>
        <v>19263</v>
      </c>
      <c r="J17">
        <f t="shared" si="4"/>
        <v>5655</v>
      </c>
    </row>
    <row r="18" spans="1:10" ht="16.5">
      <c r="A18" s="3053" t="s">
        <v>3361</v>
      </c>
      <c r="B18" s="3051">
        <f>'[8]数据-汇总表'!$E$3</f>
        <v>40330</v>
      </c>
      <c r="C18" s="3051">
        <f>'[8]数据-汇总表'!$D$3</f>
        <v>16132</v>
      </c>
      <c r="D18" s="3051">
        <f>[8]结果表!$C$32</f>
        <v>8929</v>
      </c>
      <c r="E18" s="3050">
        <f t="shared" si="2"/>
        <v>2214</v>
      </c>
      <c r="F18" s="3050">
        <f t="shared" si="3"/>
        <v>5535</v>
      </c>
      <c r="G18" s="3051">
        <f>D18</f>
        <v>8929</v>
      </c>
      <c r="H18" s="3054"/>
      <c r="I18" s="3051">
        <f>[8]结果表!$O$79</f>
        <v>8449</v>
      </c>
      <c r="J18">
        <f t="shared" si="4"/>
        <v>480</v>
      </c>
    </row>
    <row r="19" spans="1:10" ht="16.5">
      <c r="A19" s="3053" t="s">
        <v>2860</v>
      </c>
      <c r="B19" s="3054"/>
      <c r="C19" s="3054"/>
      <c r="D19" s="3054"/>
      <c r="E19" s="3050" t="e">
        <f t="shared" si="2"/>
        <v>#DIV/0!</v>
      </c>
      <c r="F19" s="3050" t="e">
        <f t="shared" si="3"/>
        <v>#DIV/0!</v>
      </c>
      <c r="G19" s="3054"/>
      <c r="H19" s="3054"/>
      <c r="I19" s="3054"/>
    </row>
    <row r="20" spans="1:10" ht="16.5">
      <c r="A20" s="3053" t="s">
        <v>2861</v>
      </c>
      <c r="B20" s="3054"/>
      <c r="C20" s="3054"/>
      <c r="D20" s="3054"/>
      <c r="E20" s="3050" t="e">
        <f t="shared" si="2"/>
        <v>#DIV/0!</v>
      </c>
      <c r="F20" s="3050" t="e">
        <f t="shared" si="3"/>
        <v>#DIV/0!</v>
      </c>
      <c r="G20" s="3054"/>
      <c r="H20" s="3054"/>
      <c r="I20" s="3054"/>
    </row>
    <row r="21" spans="1:10" ht="16.5">
      <c r="A21" s="3053" t="s">
        <v>2862</v>
      </c>
      <c r="B21" s="3054"/>
      <c r="C21" s="3054"/>
      <c r="D21" s="3054"/>
      <c r="E21" s="3050" t="e">
        <f t="shared" si="2"/>
        <v>#DIV/0!</v>
      </c>
      <c r="F21" s="3050" t="e">
        <f t="shared" si="3"/>
        <v>#DIV/0!</v>
      </c>
      <c r="G21" s="3054"/>
      <c r="H21" s="3054"/>
      <c r="I21" s="3054"/>
    </row>
    <row r="22" spans="1:10" ht="16.5">
      <c r="A22" s="3053" t="s">
        <v>2863</v>
      </c>
      <c r="B22" s="3054"/>
      <c r="C22" s="3054"/>
      <c r="D22" s="3054"/>
      <c r="E22" s="3050" t="e">
        <f t="shared" si="2"/>
        <v>#DIV/0!</v>
      </c>
      <c r="F22" s="3050" t="e">
        <f t="shared" si="3"/>
        <v>#DIV/0!</v>
      </c>
      <c r="G22" s="3054"/>
      <c r="H22" s="3054"/>
      <c r="I22" s="3054"/>
    </row>
    <row r="23" spans="1:10" ht="16.5">
      <c r="A23" s="3053" t="s">
        <v>2864</v>
      </c>
      <c r="B23" s="3054"/>
      <c r="C23" s="3054"/>
      <c r="D23" s="3054"/>
      <c r="E23" s="3046" t="e">
        <f t="shared" si="2"/>
        <v>#DIV/0!</v>
      </c>
      <c r="F23" s="3046" t="e">
        <f t="shared" si="3"/>
        <v>#DIV/0!</v>
      </c>
      <c r="G23" s="3054"/>
      <c r="H23" s="3054"/>
      <c r="I23" s="3054"/>
    </row>
    <row r="24" spans="1:10">
      <c r="D24">
        <f t="shared" ref="D24" ca="1" si="6">SUM(D14:D18)</f>
        <v>142962</v>
      </c>
      <c r="I24">
        <f ca="1">SUM(I14:I18)</f>
        <v>110999</v>
      </c>
      <c r="J24">
        <f ca="1">SUM(J14:J18)</f>
        <v>31963</v>
      </c>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3329</v>
      </c>
      <c r="G1" s="311"/>
      <c r="H1" s="311"/>
      <c r="I1" s="311"/>
      <c r="J1" s="2029"/>
      <c r="K1" s="2029"/>
      <c r="L1" s="2029"/>
      <c r="M1" s="2029"/>
      <c r="N1" s="2029"/>
      <c r="O1" s="2029"/>
      <c r="P1" s="2029"/>
      <c r="Q1" s="2029"/>
      <c r="R1" s="2029"/>
      <c r="S1" s="2029"/>
      <c r="T1" s="2029"/>
      <c r="U1" s="2029"/>
      <c r="V1" s="2029"/>
    </row>
    <row r="2" spans="1:22" ht="21.75" customHeight="1" thickBot="1">
      <c r="A2" s="3409" t="str">
        <f>项目基本情况!K2</f>
        <v>重庆市巴南区南泉鹿角出让国有建设用地使用权</v>
      </c>
      <c r="B2" s="3410"/>
      <c r="C2" s="3411"/>
      <c r="D2" s="3411"/>
      <c r="E2" s="3411"/>
      <c r="F2" s="3411"/>
      <c r="G2" s="3410"/>
      <c r="H2" s="3410"/>
      <c r="I2" s="3412"/>
      <c r="J2" s="2030"/>
      <c r="K2" s="2029"/>
      <c r="L2" s="2029"/>
      <c r="M2" s="2029"/>
      <c r="N2" s="2029"/>
      <c r="O2" s="2029"/>
      <c r="P2" s="2029"/>
      <c r="Q2" s="2029"/>
      <c r="R2" s="2029"/>
      <c r="S2" s="2029"/>
      <c r="T2" s="2029"/>
      <c r="U2" s="2029"/>
      <c r="V2" s="2029"/>
    </row>
    <row r="3" spans="1:22" ht="14.25">
      <c r="A3" s="3420" t="s">
        <v>298</v>
      </c>
      <c r="B3" s="3421"/>
      <c r="C3" s="3421"/>
      <c r="D3" s="3421"/>
      <c r="E3" s="3421"/>
      <c r="F3" s="3421"/>
      <c r="G3" s="3421"/>
      <c r="H3" s="3421"/>
      <c r="I3" s="3421"/>
      <c r="J3" s="2030"/>
      <c r="K3" s="2029"/>
      <c r="L3" s="2029"/>
      <c r="M3" s="2029"/>
      <c r="N3" s="2029"/>
      <c r="O3" s="2029"/>
      <c r="P3" s="2029"/>
      <c r="Q3" s="2029"/>
      <c r="R3" s="2029"/>
      <c r="S3" s="2029"/>
      <c r="T3" s="2029"/>
      <c r="U3" s="2029"/>
      <c r="V3" s="2029"/>
    </row>
    <row r="4" spans="1:22" ht="14.25">
      <c r="A4" s="258" t="s">
        <v>299</v>
      </c>
      <c r="B4" s="259" t="s">
        <v>300</v>
      </c>
      <c r="C4" s="260" t="s">
        <v>3266</v>
      </c>
      <c r="D4" s="260" t="s">
        <v>3267</v>
      </c>
      <c r="E4" s="3384" t="s">
        <v>301</v>
      </c>
      <c r="F4" s="3426"/>
      <c r="G4" s="3426"/>
      <c r="H4" s="3426"/>
      <c r="I4" s="338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413" t="s">
        <v>302</v>
      </c>
      <c r="B5" s="3414">
        <v>25</v>
      </c>
      <c r="C5" s="3422"/>
      <c r="D5" s="3425"/>
      <c r="E5" s="261" t="s">
        <v>303</v>
      </c>
      <c r="F5" s="262"/>
      <c r="G5" s="262"/>
      <c r="H5" s="262"/>
      <c r="I5" s="263"/>
      <c r="J5" s="2030"/>
      <c r="K5" s="2029"/>
      <c r="L5" s="2029"/>
      <c r="M5" s="2029"/>
      <c r="N5" s="2029"/>
      <c r="O5" s="2029"/>
      <c r="P5" s="2029"/>
      <c r="Q5" s="2029"/>
      <c r="R5" s="2029"/>
      <c r="S5" s="2029"/>
      <c r="T5" s="2029"/>
      <c r="U5" s="2029"/>
      <c r="V5" s="2029"/>
    </row>
    <row r="6" spans="1:22" ht="14.25">
      <c r="A6" s="3413"/>
      <c r="B6" s="3414"/>
      <c r="C6" s="3423"/>
      <c r="D6" s="3425"/>
      <c r="E6" s="261" t="s">
        <v>304</v>
      </c>
      <c r="F6" s="262"/>
      <c r="G6" s="262"/>
      <c r="H6" s="262"/>
      <c r="I6" s="263"/>
      <c r="J6" s="2030"/>
      <c r="K6" s="2029"/>
      <c r="L6" s="2029"/>
      <c r="M6" s="2029"/>
      <c r="N6" s="2029"/>
      <c r="O6" s="2029"/>
      <c r="P6" s="2029"/>
      <c r="Q6" s="2029"/>
      <c r="R6" s="2029"/>
      <c r="S6" s="2029"/>
      <c r="T6" s="2029"/>
      <c r="U6" s="2029"/>
      <c r="V6" s="2029"/>
    </row>
    <row r="7" spans="1:22" ht="14.25">
      <c r="A7" s="3413"/>
      <c r="B7" s="3414"/>
      <c r="C7" s="3424"/>
      <c r="D7" s="3425"/>
      <c r="E7" s="261" t="s">
        <v>305</v>
      </c>
      <c r="F7" s="262"/>
      <c r="G7" s="262"/>
      <c r="H7" s="262"/>
      <c r="I7" s="263"/>
      <c r="J7" s="2030"/>
      <c r="K7" s="2029"/>
      <c r="L7" s="2029"/>
      <c r="M7" s="2029"/>
      <c r="N7" s="2029"/>
      <c r="O7" s="2029"/>
      <c r="P7" s="2029"/>
      <c r="Q7" s="2029"/>
      <c r="R7" s="2029"/>
      <c r="S7" s="2029"/>
      <c r="T7" s="2029"/>
      <c r="U7" s="2029"/>
      <c r="V7" s="2029"/>
    </row>
    <row r="8" spans="1:22" ht="14.25">
      <c r="A8" s="3413" t="s">
        <v>306</v>
      </c>
      <c r="B8" s="3414">
        <v>15</v>
      </c>
      <c r="C8" s="3422"/>
      <c r="D8" s="3425"/>
      <c r="E8" s="261" t="s">
        <v>307</v>
      </c>
      <c r="F8" s="262"/>
      <c r="G8" s="262"/>
      <c r="H8" s="262"/>
      <c r="I8" s="263"/>
      <c r="J8" s="2030"/>
      <c r="K8" s="2029"/>
      <c r="L8" s="2029"/>
      <c r="M8" s="2029"/>
      <c r="N8" s="2029"/>
      <c r="O8" s="2029"/>
      <c r="P8" s="2029"/>
      <c r="Q8" s="2029"/>
      <c r="R8" s="2029"/>
      <c r="S8" s="2029"/>
      <c r="T8" s="2029"/>
      <c r="U8" s="2029"/>
      <c r="V8" s="2029"/>
    </row>
    <row r="9" spans="1:22" ht="14.25">
      <c r="A9" s="3413"/>
      <c r="B9" s="3414"/>
      <c r="C9" s="3424"/>
      <c r="D9" s="3425"/>
      <c r="E9" s="261" t="s">
        <v>308</v>
      </c>
      <c r="F9" s="262"/>
      <c r="G9" s="262"/>
      <c r="H9" s="262"/>
      <c r="I9" s="263"/>
      <c r="J9" s="2030"/>
      <c r="K9" s="2029"/>
      <c r="L9" s="2029"/>
      <c r="M9" s="2029"/>
      <c r="N9" s="2029"/>
      <c r="O9" s="2029"/>
      <c r="P9" s="2029"/>
      <c r="Q9" s="2029"/>
      <c r="R9" s="2029"/>
      <c r="S9" s="2029"/>
      <c r="T9" s="2029"/>
      <c r="U9" s="2029"/>
      <c r="V9" s="2029"/>
    </row>
    <row r="10" spans="1:22" ht="14.25">
      <c r="A10" s="3413" t="s">
        <v>309</v>
      </c>
      <c r="B10" s="3414">
        <v>15</v>
      </c>
      <c r="C10" s="3422"/>
      <c r="D10" s="3425"/>
      <c r="E10" s="261" t="s">
        <v>310</v>
      </c>
      <c r="F10" s="262"/>
      <c r="G10" s="262"/>
      <c r="H10" s="262"/>
      <c r="I10" s="263"/>
      <c r="J10" s="2030"/>
      <c r="K10" s="2029"/>
      <c r="L10" s="2029"/>
      <c r="M10" s="2029"/>
      <c r="N10" s="2029"/>
      <c r="O10" s="2029"/>
      <c r="P10" s="2029"/>
      <c r="Q10" s="2029"/>
      <c r="R10" s="2029"/>
      <c r="S10" s="2029"/>
      <c r="T10" s="2029"/>
      <c r="U10" s="2029"/>
      <c r="V10" s="2029"/>
    </row>
    <row r="11" spans="1:22" ht="14.25">
      <c r="A11" s="3413"/>
      <c r="B11" s="3414"/>
      <c r="C11" s="3424"/>
      <c r="D11" s="3425"/>
      <c r="E11" s="261" t="s">
        <v>311</v>
      </c>
      <c r="F11" s="262"/>
      <c r="G11" s="262"/>
      <c r="H11" s="262"/>
      <c r="I11" s="263"/>
      <c r="J11" s="2030"/>
      <c r="K11" s="2029"/>
      <c r="L11" s="2029"/>
      <c r="M11" s="2029"/>
      <c r="N11" s="2029"/>
      <c r="O11" s="2029"/>
      <c r="P11" s="2029"/>
      <c r="Q11" s="2029"/>
      <c r="R11" s="2029"/>
      <c r="S11" s="2029"/>
      <c r="T11" s="2029"/>
      <c r="U11" s="2029"/>
      <c r="V11" s="2029"/>
    </row>
    <row r="12" spans="1:22" ht="14.25">
      <c r="A12" s="3413" t="s">
        <v>312</v>
      </c>
      <c r="B12" s="3414">
        <v>15</v>
      </c>
      <c r="C12" s="3422"/>
      <c r="D12" s="3425"/>
      <c r="E12" s="261" t="s">
        <v>313</v>
      </c>
      <c r="F12" s="262"/>
      <c r="G12" s="262"/>
      <c r="H12" s="262"/>
      <c r="I12" s="263"/>
      <c r="J12" s="2030"/>
      <c r="K12" s="2029"/>
      <c r="L12" s="2029"/>
      <c r="M12" s="2029"/>
      <c r="N12" s="2029"/>
      <c r="O12" s="2029"/>
      <c r="P12" s="2029"/>
      <c r="Q12" s="2029"/>
      <c r="R12" s="2029"/>
      <c r="S12" s="2029"/>
      <c r="T12" s="2029"/>
      <c r="U12" s="2029"/>
      <c r="V12" s="2029"/>
    </row>
    <row r="13" spans="1:22" ht="14.25">
      <c r="A13" s="3413"/>
      <c r="B13" s="3414"/>
      <c r="C13" s="3424"/>
      <c r="D13" s="3425"/>
      <c r="E13" s="261" t="s">
        <v>314</v>
      </c>
      <c r="F13" s="262"/>
      <c r="G13" s="262"/>
      <c r="H13" s="262"/>
      <c r="I13" s="263"/>
      <c r="J13" s="2030"/>
      <c r="K13" s="2029"/>
      <c r="L13" s="2029"/>
      <c r="M13" s="2029"/>
      <c r="N13" s="2029"/>
      <c r="O13" s="2029"/>
      <c r="P13" s="2029"/>
      <c r="Q13" s="2029"/>
      <c r="R13" s="2029"/>
      <c r="S13" s="2029"/>
      <c r="T13" s="2029"/>
      <c r="U13" s="2029"/>
      <c r="V13" s="2029"/>
    </row>
    <row r="14" spans="1:22" ht="14.25">
      <c r="A14" s="3413" t="s">
        <v>315</v>
      </c>
      <c r="B14" s="3414">
        <v>30</v>
      </c>
      <c r="C14" s="3422">
        <v>5</v>
      </c>
      <c r="D14" s="342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413"/>
      <c r="B15" s="3414"/>
      <c r="C15" s="3423"/>
      <c r="D15" s="3425"/>
      <c r="E15" s="261" t="s">
        <v>317</v>
      </c>
      <c r="F15" s="262"/>
      <c r="G15" s="262"/>
      <c r="H15" s="262"/>
      <c r="I15" s="263"/>
      <c r="J15" s="2030"/>
      <c r="K15" s="2029"/>
      <c r="L15" s="2029"/>
      <c r="M15" s="2029"/>
      <c r="N15" s="2029"/>
      <c r="O15" s="2029"/>
      <c r="P15" s="2029"/>
      <c r="Q15" s="2029"/>
      <c r="R15" s="2029"/>
      <c r="S15" s="2029"/>
      <c r="T15" s="2029"/>
      <c r="U15" s="2029"/>
      <c r="V15" s="2029"/>
    </row>
    <row r="16" spans="1:22" ht="14.25">
      <c r="A16" s="3413"/>
      <c r="B16" s="3414"/>
      <c r="C16" s="3424"/>
      <c r="D16" s="342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27851</v>
      </c>
      <c r="D19" s="271">
        <f ca="1">SUMIF(INDIRECT("'"&amp;D4&amp;"'"&amp;"!A:A"),结果表!B19,INDIRECT("'"&amp;D4&amp;"'"&amp;"!B:B"))</f>
        <v>28412</v>
      </c>
      <c r="E19" s="268" t="s">
        <v>323</v>
      </c>
      <c r="F19" s="269" t="s">
        <v>322</v>
      </c>
      <c r="G19" s="272">
        <f ca="1">ROUND(C19*$C$18+D19*$D$18,0)</f>
        <v>28132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4935</v>
      </c>
      <c r="D20" s="277">
        <f ca="1">SUMIF(INDIRECT("'"&amp;D4&amp;"'"&amp;"!A:A"),结果表!B20,INDIRECT("'"&amp;D4&amp;"'"&amp;"!B:B"))</f>
        <v>5034</v>
      </c>
      <c r="E20" s="274"/>
      <c r="F20" s="275" t="s">
        <v>325</v>
      </c>
      <c r="G20" s="278">
        <f ca="1">ROUND(C20*$C$18+D20*$D$18,0)</f>
        <v>4985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7896</v>
      </c>
      <c r="D21" s="151">
        <f ca="1">SUMIF(INDIRECT("'"&amp;D4&amp;"'"&amp;"!A:A"),结果表!B21,INDIRECT("'"&amp;D4&amp;"'"&amp;"!B:B"))</f>
        <v>8055</v>
      </c>
      <c r="E21" s="274"/>
      <c r="F21" s="280" t="s">
        <v>327</v>
      </c>
      <c r="G21" s="282">
        <f ca="1">ROUND(C21*$C$18+D21*$D$18,0)</f>
        <v>7976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2.0142903306882953E-2</v>
      </c>
      <c r="E22" s="284"/>
      <c r="F22" s="285"/>
      <c r="G22" s="286">
        <f ca="1">ROUND(G19/('数据-汇总表'!D3/666.67),0)</f>
        <v>532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8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2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出让国有建设用地使用权价格：28132万元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大写金额：人民币贰亿捌仟壹佰叁拾贰万元整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单位面积地价：7976元/平方米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楼面地价：4985元/平方米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抵押价格：28132万元</v>
      </c>
      <c r="L29" s="1252"/>
      <c r="M29" s="1252"/>
      <c r="N29" s="1252"/>
      <c r="O29" s="1251"/>
      <c r="P29" s="2029"/>
      <c r="V29" s="2029"/>
    </row>
    <row r="30" spans="1:26" ht="18.75" thickBot="1">
      <c r="A30" s="3131" t="s">
        <v>336</v>
      </c>
      <c r="B30" s="309"/>
      <c r="C30" s="309"/>
      <c r="D30" s="310"/>
      <c r="E30" s="3132" t="s">
        <v>2961</v>
      </c>
      <c r="F30" s="311"/>
      <c r="G30" s="311"/>
      <c r="H30" s="311"/>
      <c r="I30" s="311"/>
      <c r="J30" s="2029"/>
      <c r="K30" s="1258" t="str">
        <f ca="1">IF(K29="——","——","大写金额：人民币"&amp;NUMBERSTRING(INT(O39*10000),2)&amp;"元整")</f>
        <v>大写金额：人民币贰亿捌仟壹佰叁拾贰万元整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1688</v>
      </c>
      <c r="C32" s="1383">
        <f ca="1">G19-C24</f>
        <v>28132</v>
      </c>
      <c r="D32" s="1384"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1690</v>
      </c>
      <c r="C33" s="264">
        <f ca="1">ROUND(C32*10000/'数据-汇总表'!E3,0)</f>
        <v>4985</v>
      </c>
      <c r="D33" s="1386" t="s">
        <v>1691</v>
      </c>
      <c r="E33" s="3386" t="s">
        <v>338</v>
      </c>
      <c r="F33" s="296" t="s">
        <v>339</v>
      </c>
      <c r="G33" s="297"/>
      <c r="H33" s="980"/>
      <c r="I33" s="1259"/>
      <c r="J33" s="2029"/>
      <c r="K33" s="1258" t="str">
        <f ca="1">IF(项目基本情况!E9="——","——","抵押净值："&amp;C46&amp;"万元")</f>
        <v>抵押净值：21643万元</v>
      </c>
      <c r="L33" s="1252"/>
      <c r="M33" s="1252"/>
      <c r="N33" s="1252"/>
      <c r="O33" s="1251"/>
      <c r="P33" s="2029"/>
      <c r="V33" s="2029"/>
    </row>
    <row r="34" spans="1:26" s="1254" customFormat="1" ht="18.75" thickBot="1">
      <c r="A34" s="300"/>
      <c r="B34" s="1387" t="s">
        <v>1692</v>
      </c>
      <c r="C34" s="264">
        <f ca="1">ROUND(C32*10000/'数据-汇总表'!D3,0)</f>
        <v>7976</v>
      </c>
      <c r="D34" s="1388" t="s">
        <v>1691</v>
      </c>
      <c r="E34" s="3387"/>
      <c r="F34" s="127" t="s">
        <v>341</v>
      </c>
      <c r="G34" s="299"/>
      <c r="H34" s="105"/>
      <c r="I34" s="311"/>
      <c r="J34" s="2029"/>
      <c r="K34" s="1261" t="str">
        <f ca="1">IF(K33="——","——","大写金额：人民币"&amp;NUMBERSTRING(INT(O41*10000),2)&amp;"元整")</f>
        <v>大写金额：人民币贰亿壹仟陆佰肆拾叁万元整</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532</v>
      </c>
      <c r="D35" s="1391" t="s">
        <v>1693</v>
      </c>
      <c r="E35" s="3388"/>
      <c r="F35" s="301" t="s">
        <v>342</v>
      </c>
      <c r="G35" s="982"/>
      <c r="H35" s="981" t="s">
        <v>343</v>
      </c>
      <c r="I35" s="311"/>
      <c r="J35" s="2029"/>
      <c r="K35" s="3392" t="s">
        <v>350</v>
      </c>
      <c r="L35" s="3392" t="s">
        <v>351</v>
      </c>
      <c r="M35" s="1264" t="s">
        <v>352</v>
      </c>
      <c r="N35" s="3392" t="s">
        <v>353</v>
      </c>
      <c r="O35" s="3392" t="s">
        <v>354</v>
      </c>
      <c r="P35" s="2029"/>
      <c r="V35" s="2029"/>
    </row>
    <row r="36" spans="1:26" ht="16.5" customHeight="1">
      <c r="A36" s="303" t="s">
        <v>344</v>
      </c>
      <c r="B36" s="304" t="s">
        <v>333</v>
      </c>
      <c r="C36" s="305" t="s">
        <v>345</v>
      </c>
      <c r="D36" s="305" t="s">
        <v>346</v>
      </c>
      <c r="E36" s="306" t="s">
        <v>347</v>
      </c>
      <c r="F36" s="311"/>
      <c r="G36" s="311"/>
      <c r="H36" s="311"/>
      <c r="I36" s="311"/>
      <c r="J36" s="2031"/>
      <c r="K36" s="3393"/>
      <c r="L36" s="3393"/>
      <c r="M36" s="1266" t="s">
        <v>355</v>
      </c>
      <c r="N36" s="3393"/>
      <c r="O36" s="3393"/>
      <c r="P36" s="2029"/>
      <c r="V36" s="2029"/>
    </row>
    <row r="37" spans="1:26" ht="16.5" customHeight="1" thickBot="1">
      <c r="A37" s="1260" t="s">
        <v>348</v>
      </c>
      <c r="B37" s="307"/>
      <c r="C37" s="294"/>
      <c r="D37" s="294"/>
      <c r="E37" s="295"/>
      <c r="F37" s="311"/>
      <c r="G37" s="311"/>
      <c r="H37" s="311"/>
      <c r="I37" s="311"/>
      <c r="J37" s="2031"/>
      <c r="K37" s="3394"/>
      <c r="L37" s="3394"/>
      <c r="M37" s="1267"/>
      <c r="N37" s="3394"/>
      <c r="O37" s="3394"/>
      <c r="P37" s="2029"/>
      <c r="V37" s="2029"/>
    </row>
    <row r="38" spans="1:26" ht="16.5" customHeight="1" thickBot="1">
      <c r="A38" s="1260" t="s">
        <v>349</v>
      </c>
      <c r="B38" s="307"/>
      <c r="C38" s="294"/>
      <c r="D38" s="294"/>
      <c r="E38" s="295"/>
      <c r="F38" s="311"/>
      <c r="G38" s="311"/>
      <c r="H38" s="311"/>
      <c r="I38" s="311"/>
      <c r="J38" s="2031"/>
      <c r="K38" s="1268">
        <f>'数据-汇总表'!D3</f>
        <v>35272</v>
      </c>
      <c r="L38" s="1269">
        <f>'数据-汇总表'!E3</f>
        <v>56435</v>
      </c>
      <c r="M38" s="1269">
        <f ca="1">C34</f>
        <v>7976</v>
      </c>
      <c r="N38" s="1269">
        <f ca="1">C33</f>
        <v>4985</v>
      </c>
      <c r="O38" s="1270">
        <f ca="1">C32</f>
        <v>28132</v>
      </c>
      <c r="P38" s="2029"/>
      <c r="V38" s="2029"/>
    </row>
    <row r="39" spans="1:26" ht="16.5" customHeight="1" thickBot="1">
      <c r="A39" s="1265"/>
      <c r="B39" s="308"/>
      <c r="C39" s="309"/>
      <c r="D39" s="309"/>
      <c r="E39" s="310"/>
      <c r="F39" s="311"/>
      <c r="G39" s="311"/>
      <c r="H39" s="311"/>
      <c r="I39" s="311"/>
      <c r="J39" s="2031"/>
      <c r="K39" s="3369" t="str">
        <f>MID(A44,3,LEN(A44)-2)</f>
        <v>抵押价格</v>
      </c>
      <c r="L39" s="3370"/>
      <c r="M39" s="3370"/>
      <c r="N39" s="3371"/>
      <c r="O39" s="1393">
        <f ca="1">C44</f>
        <v>28132</v>
      </c>
      <c r="P39" s="2029"/>
      <c r="V39" s="2029"/>
    </row>
    <row r="40" spans="1:26" ht="19.5" thickBot="1">
      <c r="A40" s="104" t="s">
        <v>872</v>
      </c>
      <c r="B40" s="311"/>
      <c r="C40" s="311"/>
      <c r="D40" s="311"/>
      <c r="E40" s="311"/>
      <c r="F40" s="311"/>
      <c r="G40" s="311"/>
      <c r="H40" s="311"/>
      <c r="I40" s="311"/>
      <c r="J40" s="2031"/>
      <c r="K40" s="3369" t="str">
        <f t="shared" ref="K40:K41" si="0">MID(A45,3,LEN(A45)-2)</f>
        <v/>
      </c>
      <c r="L40" s="3370"/>
      <c r="M40" s="3370"/>
      <c r="N40" s="337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69" t="str">
        <f t="shared" si="0"/>
        <v>抵押净值</v>
      </c>
      <c r="L41" s="3370"/>
      <c r="M41" s="3370"/>
      <c r="N41" s="3371"/>
      <c r="O41" s="1393">
        <f ca="1">C46</f>
        <v>21643</v>
      </c>
      <c r="P41" s="2029"/>
      <c r="V41" s="2029"/>
    </row>
    <row r="42" spans="1:26" ht="29.25">
      <c r="A42" s="3429" t="s">
        <v>2068</v>
      </c>
      <c r="B42" s="3430"/>
      <c r="C42" s="264">
        <f ca="1">C32</f>
        <v>28132</v>
      </c>
      <c r="D42" s="317">
        <f ca="1">C33</f>
        <v>4985</v>
      </c>
      <c r="E42" s="317">
        <f ca="1">C34</f>
        <v>7976</v>
      </c>
      <c r="F42" s="318">
        <f ca="1">C35</f>
        <v>532</v>
      </c>
      <c r="G42" s="311"/>
      <c r="H42" s="311"/>
      <c r="I42" s="319"/>
      <c r="J42" s="2031"/>
      <c r="K42" s="1271" t="s">
        <v>361</v>
      </c>
      <c r="L42" s="2048" t="s">
        <v>362</v>
      </c>
      <c r="M42" s="1272" t="s">
        <v>363</v>
      </c>
      <c r="N42" s="2049" t="s">
        <v>364</v>
      </c>
      <c r="O42" s="2050" t="s">
        <v>365</v>
      </c>
      <c r="P42" s="2029"/>
      <c r="V42" s="2029"/>
    </row>
    <row r="43" spans="1:26" ht="30">
      <c r="A43" s="3439" t="s">
        <v>2729</v>
      </c>
      <c r="B43" s="3440"/>
      <c r="C43" s="264">
        <f>IF(H33="正常操作",G33+G34+G35,G34+G35)</f>
        <v>0</v>
      </c>
      <c r="D43" s="317" t="s">
        <v>43</v>
      </c>
      <c r="E43" s="317" t="s">
        <v>44</v>
      </c>
      <c r="F43" s="318" t="s">
        <v>44</v>
      </c>
      <c r="G43" s="2867" t="s">
        <v>951</v>
      </c>
      <c r="H43" s="311"/>
      <c r="I43" s="319"/>
      <c r="J43" s="2031"/>
      <c r="K43" s="1273" t="str">
        <f>C4</f>
        <v>比较法-住宅、综合</v>
      </c>
      <c r="L43" s="1274">
        <f ca="1">IF(L42="估价结果/万元",C19,C20)</f>
        <v>27851</v>
      </c>
      <c r="M43" s="1275">
        <f>C18</f>
        <v>0.5</v>
      </c>
      <c r="N43" s="1276">
        <f ca="1">IF(N42="测算结果/万元",G19,G20)</f>
        <v>28132</v>
      </c>
      <c r="O43" s="1277">
        <f ca="1">IF(O42="最终结果/万元",C32,C33)</f>
        <v>28132</v>
      </c>
      <c r="P43" s="2029"/>
      <c r="V43" s="2029"/>
    </row>
    <row r="44" spans="1:26" ht="30.75" thickBot="1">
      <c r="A44" s="3429" t="str">
        <f>IF(OR(项目基本情况!E8="抵押价格",项目基本情况!E8="已注销及未注销"),"3.抵押价格","——")</f>
        <v>3.抵押价格</v>
      </c>
      <c r="B44" s="3430"/>
      <c r="C44" s="264">
        <f ca="1">IF(A44="——","——",C42-C43)</f>
        <v>28132</v>
      </c>
      <c r="D44" s="317">
        <f ca="1">ROUND(C44*10000/'数据-汇总表'!E3,0)</f>
        <v>4985</v>
      </c>
      <c r="E44" s="317">
        <f ca="1">ROUND(C44*10000/'数据-汇总表'!D3,0)</f>
        <v>7976</v>
      </c>
      <c r="F44" s="318">
        <f ca="1">ROUND(C44/('数据-汇总表'!D3/666.67),0)</f>
        <v>532</v>
      </c>
      <c r="G44" s="311"/>
      <c r="H44" s="311"/>
      <c r="I44" s="319"/>
      <c r="J44" s="2031"/>
      <c r="K44" s="1278" t="str">
        <f>D4</f>
        <v>剩余法-待开发</v>
      </c>
      <c r="L44" s="1279">
        <f ca="1">IF(L42="估价结果/万元",D19,D20)</f>
        <v>28412</v>
      </c>
      <c r="M44" s="1280">
        <f>D18</f>
        <v>0.5</v>
      </c>
      <c r="N44" s="1281"/>
      <c r="O44" s="1282"/>
      <c r="P44" s="2029"/>
      <c r="V44" s="2029"/>
    </row>
    <row r="45" spans="1:26" ht="15">
      <c r="A45" s="3434" t="str">
        <f>IF(项目基本情况!E8="已注销及未注销","4.抵押担保权已注销时的抵押价格",IF(项目基本情况!E8="已注销","3.抵押担保权已注销时的抵押价格","——"))</f>
        <v>——</v>
      </c>
      <c r="B45" s="343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31" t="str">
        <f>IF(项目基本情况!E9="抵押净值",IF(A45="——","4.抵押净值","5.抵押净值"),"——")</f>
        <v>4.抵押净值</v>
      </c>
      <c r="B46" s="3432"/>
      <c r="C46" s="320">
        <f ca="1">IF(A46="——","——",O79)</f>
        <v>21643</v>
      </c>
      <c r="D46" s="317">
        <f ca="1">ROUND(C46*10000/'数据-汇总表'!E3,0)</f>
        <v>3835</v>
      </c>
      <c r="E46" s="317">
        <f ca="1">ROUND(C46*10000/'数据-汇总表'!D3,0)</f>
        <v>6136</v>
      </c>
      <c r="F46" s="318">
        <f ca="1">ROUND(C46/('数据-汇总表'!D3/666.67),0)</f>
        <v>409</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97" t="s">
        <v>374</v>
      </c>
      <c r="B63" s="3398"/>
      <c r="C63" s="3399"/>
      <c r="D63" s="341">
        <f ca="1">ROUND(C42*F63,0)</f>
        <v>28132</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436" t="s">
        <v>378</v>
      </c>
      <c r="B64" s="3437"/>
      <c r="C64" s="3437"/>
      <c r="D64" s="3437"/>
      <c r="E64" s="3437"/>
      <c r="F64" s="3437"/>
      <c r="G64" s="343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33" t="s">
        <v>386</v>
      </c>
      <c r="B66" s="3404"/>
      <c r="C66" s="3404"/>
      <c r="D66" s="261">
        <f ca="1">IF(H66="情况1",0,IF(H66="情况2",D70,IF(H66="情况3",D71,IF(H66="情况4",D72))))</f>
        <v>1500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3" t="s">
        <v>385</v>
      </c>
      <c r="M66" s="3374"/>
      <c r="N66" s="2459"/>
      <c r="O66" s="2460"/>
      <c r="P66" s="2461"/>
      <c r="Q66" s="2029"/>
      <c r="R66" s="2029"/>
      <c r="S66" s="2029"/>
      <c r="T66" s="2029"/>
      <c r="U66" s="2029"/>
      <c r="V66" s="2029"/>
    </row>
    <row r="67" spans="1:22" ht="25.5" customHeight="1">
      <c r="A67" s="352" t="s">
        <v>390</v>
      </c>
      <c r="B67" s="3416" t="s">
        <v>391</v>
      </c>
      <c r="C67" s="3416"/>
      <c r="D67" s="353">
        <v>0</v>
      </c>
      <c r="E67" s="41" t="s">
        <v>392</v>
      </c>
      <c r="F67" s="62" t="s">
        <v>21</v>
      </c>
      <c r="G67" s="3400"/>
      <c r="H67" s="311"/>
      <c r="I67" s="1292"/>
      <c r="J67" s="2036"/>
      <c r="K67" s="1977">
        <v>2</v>
      </c>
      <c r="L67" s="3372" t="s">
        <v>389</v>
      </c>
      <c r="M67" s="3372"/>
      <c r="N67" s="1325">
        <f>'数据-取费表'!B2</f>
        <v>43426</v>
      </c>
      <c r="O67" s="1325"/>
      <c r="P67" s="1325"/>
      <c r="Q67" s="2029"/>
      <c r="R67" s="2029"/>
      <c r="S67" s="2029"/>
      <c r="T67" s="2029"/>
      <c r="U67" s="2029"/>
      <c r="V67" s="2029"/>
    </row>
    <row r="68" spans="1:22" ht="25.5" customHeight="1">
      <c r="A68" s="354"/>
      <c r="B68" s="3416" t="s">
        <v>394</v>
      </c>
      <c r="C68" s="3416"/>
      <c r="D68" s="355"/>
      <c r="E68" s="77"/>
      <c r="F68" s="356"/>
      <c r="G68" s="3401"/>
      <c r="H68" s="311"/>
      <c r="I68" s="1292"/>
      <c r="J68" s="2036"/>
      <c r="K68" s="1977">
        <v>3</v>
      </c>
      <c r="L68" s="3372" t="s">
        <v>393</v>
      </c>
      <c r="M68" s="3372"/>
      <c r="N68" s="1293">
        <f ca="1">C42</f>
        <v>28132</v>
      </c>
      <c r="O68" s="1293"/>
      <c r="P68" s="1293"/>
      <c r="Q68" s="2029"/>
      <c r="R68" s="2029"/>
      <c r="S68" s="2029"/>
      <c r="T68" s="2029"/>
      <c r="U68" s="2029"/>
      <c r="V68" s="2029"/>
    </row>
    <row r="69" spans="1:22" ht="12" customHeight="1">
      <c r="A69" s="357"/>
      <c r="B69" s="3416" t="s">
        <v>395</v>
      </c>
      <c r="C69" s="3416"/>
      <c r="D69" s="358"/>
      <c r="E69" s="73"/>
      <c r="F69" s="356"/>
      <c r="G69" s="3402"/>
      <c r="H69" s="311"/>
      <c r="I69" s="1292"/>
      <c r="J69" s="2036"/>
      <c r="K69" s="1294">
        <v>4</v>
      </c>
      <c r="L69" s="3378" t="s">
        <v>2877</v>
      </c>
      <c r="M69" s="3379"/>
      <c r="N69" s="1295">
        <f ca="1">C44</f>
        <v>28132</v>
      </c>
      <c r="O69" s="1295"/>
      <c r="P69" s="1295"/>
      <c r="Q69" s="2029"/>
      <c r="R69" s="2029"/>
      <c r="S69" s="2029"/>
      <c r="T69" s="2029"/>
      <c r="U69" s="2029"/>
      <c r="V69" s="2029"/>
    </row>
    <row r="70" spans="1:22" ht="24" customHeight="1">
      <c r="A70" s="359" t="s">
        <v>396</v>
      </c>
      <c r="B70" s="3416" t="s">
        <v>397</v>
      </c>
      <c r="C70" s="3416"/>
      <c r="D70" s="358">
        <f ca="1">ROUND(D63*'数据-取费表'!B41/(1+'数据-取费表'!C42),0)</f>
        <v>1500</v>
      </c>
      <c r="E70" s="17" t="s">
        <v>398</v>
      </c>
      <c r="F70" s="360">
        <f>'数据-取费表'!B41</f>
        <v>5.6000000000000001E-2</v>
      </c>
      <c r="G70" s="361"/>
      <c r="H70" s="311"/>
      <c r="I70" s="1292"/>
      <c r="J70" s="2036"/>
      <c r="K70" s="3063"/>
      <c r="L70" s="3064"/>
      <c r="M70" s="3064"/>
      <c r="N70" s="3065" t="s">
        <v>2881</v>
      </c>
      <c r="O70" s="3064"/>
      <c r="P70" s="3066"/>
      <c r="Q70" s="2029"/>
      <c r="R70" s="2029"/>
      <c r="S70" s="2029"/>
      <c r="T70" s="2029"/>
      <c r="U70" s="2029"/>
      <c r="V70" s="2029"/>
    </row>
    <row r="71" spans="1:22" ht="12" customHeight="1">
      <c r="A71" s="359" t="s">
        <v>404</v>
      </c>
      <c r="B71" s="3415" t="s">
        <v>405</v>
      </c>
      <c r="C71" s="3427"/>
      <c r="D71" s="358">
        <f ca="1">ROUND(D63*'数据-取费表'!B41/(1+'数据-取费表'!C42),0)</f>
        <v>1500</v>
      </c>
      <c r="E71" s="17" t="s">
        <v>398</v>
      </c>
      <c r="F71" s="360">
        <f>'数据-取费表'!B41</f>
        <v>5.6000000000000001E-2</v>
      </c>
      <c r="G71" s="361"/>
      <c r="H71" s="311"/>
      <c r="I71" s="1292"/>
      <c r="J71" s="2036"/>
      <c r="K71" s="3062" t="s">
        <v>399</v>
      </c>
      <c r="L71" s="3380" t="s">
        <v>400</v>
      </c>
      <c r="M71" s="3380"/>
      <c r="N71" s="3062" t="s">
        <v>401</v>
      </c>
      <c r="O71" s="3062" t="s">
        <v>402</v>
      </c>
      <c r="P71" s="3062" t="s">
        <v>403</v>
      </c>
      <c r="Q71" s="2029"/>
      <c r="R71" s="2029"/>
      <c r="S71" s="2029"/>
      <c r="T71" s="2029"/>
      <c r="U71" s="2029"/>
      <c r="V71" s="2029"/>
    </row>
    <row r="72" spans="1:22" ht="12" customHeight="1">
      <c r="A72" s="359" t="s">
        <v>407</v>
      </c>
      <c r="B72" s="3415" t="s">
        <v>408</v>
      </c>
      <c r="C72" s="3427"/>
      <c r="D72" s="358">
        <f ca="1">C86</f>
        <v>1388</v>
      </c>
      <c r="E72" s="73" t="s">
        <v>409</v>
      </c>
      <c r="F72" s="360">
        <f>'数据-取费表'!B41</f>
        <v>5.6000000000000001E-2</v>
      </c>
      <c r="G72" s="361"/>
      <c r="H72" s="1298"/>
      <c r="I72" s="1292"/>
      <c r="J72" s="2036"/>
      <c r="K72" s="1977">
        <v>1</v>
      </c>
      <c r="L72" s="3377" t="s">
        <v>406</v>
      </c>
      <c r="M72" s="3377"/>
      <c r="N72" s="1296">
        <f ca="1">D66</f>
        <v>1500</v>
      </c>
      <c r="O72" s="1860" t="str">
        <f>E66</f>
        <v>销售额×税（费）率</v>
      </c>
      <c r="P72" s="1297">
        <f>F66</f>
        <v>5.6000000000000001E-2</v>
      </c>
      <c r="Q72" s="2029"/>
      <c r="R72" s="2029"/>
      <c r="S72" s="2029"/>
      <c r="T72" s="2029"/>
      <c r="U72" s="2029"/>
      <c r="V72" s="2029"/>
    </row>
    <row r="73" spans="1:22" ht="24" customHeight="1">
      <c r="A73" s="3403" t="s">
        <v>411</v>
      </c>
      <c r="B73" s="3404"/>
      <c r="C73" s="3404"/>
      <c r="D73" s="362">
        <f ca="1">IF(H73="个人住宅",0,ROUND(D63*I73,0))</f>
        <v>14</v>
      </c>
      <c r="E73" s="17" t="s">
        <v>412</v>
      </c>
      <c r="F73" s="360">
        <f>IF(H73="正常",I73,"免征")</f>
        <v>5.0000000000000001E-4</v>
      </c>
      <c r="G73" s="361"/>
      <c r="H73" s="191" t="s">
        <v>3362</v>
      </c>
      <c r="I73" s="360">
        <f>'数据-取费表'!B49</f>
        <v>5.0000000000000001E-4</v>
      </c>
      <c r="J73" s="2036"/>
      <c r="K73" s="1977">
        <v>2</v>
      </c>
      <c r="L73" s="3377" t="s">
        <v>410</v>
      </c>
      <c r="M73" s="3377"/>
      <c r="N73" s="1296">
        <f t="shared" ref="N73:P74" ca="1" si="1">D73</f>
        <v>14</v>
      </c>
      <c r="O73" s="1860" t="str">
        <f t="shared" si="1"/>
        <v>销售额×税（费）率</v>
      </c>
      <c r="P73" s="1297">
        <f t="shared" si="1"/>
        <v>5.0000000000000001E-4</v>
      </c>
      <c r="Q73" s="2029"/>
      <c r="R73" s="2029"/>
      <c r="S73" s="2029"/>
      <c r="T73" s="2029"/>
      <c r="U73" s="2029"/>
      <c r="V73" s="2029"/>
    </row>
    <row r="74" spans="1:22" ht="24.75">
      <c r="A74" s="3403" t="s">
        <v>415</v>
      </c>
      <c r="B74" s="3404"/>
      <c r="C74" s="3404"/>
      <c r="D74" s="362">
        <f ca="1">IF(H74="个人住宅",D75,D76)</f>
        <v>4975</v>
      </c>
      <c r="E74" s="17" t="s">
        <v>416</v>
      </c>
      <c r="F74" s="360" t="str">
        <f>IF(H74="正常",F76,"免征")</f>
        <v>——</v>
      </c>
      <c r="G74" s="983" t="s">
        <v>417</v>
      </c>
      <c r="H74" s="363" t="s">
        <v>413</v>
      </c>
      <c r="I74" s="42"/>
      <c r="J74" s="2036"/>
      <c r="K74" s="1977">
        <v>3</v>
      </c>
      <c r="L74" s="3377" t="s">
        <v>414</v>
      </c>
      <c r="M74" s="3377"/>
      <c r="N74" s="1296">
        <f t="shared" ca="1" si="1"/>
        <v>4975</v>
      </c>
      <c r="O74" s="1860" t="str">
        <f t="shared" si="1"/>
        <v>增值额×税（费）率</v>
      </c>
      <c r="P74" s="1299" t="str">
        <f t="shared" si="1"/>
        <v>——</v>
      </c>
      <c r="Q74" s="2029"/>
      <c r="R74" s="2029"/>
      <c r="S74" s="2029"/>
      <c r="T74" s="2029"/>
      <c r="U74" s="2029"/>
      <c r="V74" s="2029"/>
    </row>
    <row r="75" spans="1:22" ht="12.75">
      <c r="A75" s="359" t="s">
        <v>418</v>
      </c>
      <c r="B75" s="3384" t="s">
        <v>419</v>
      </c>
      <c r="C75" s="3385"/>
      <c r="D75" s="364">
        <v>0</v>
      </c>
      <c r="E75" s="41" t="s">
        <v>420</v>
      </c>
      <c r="F75" s="365"/>
      <c r="G75" s="361"/>
      <c r="H75" s="42"/>
      <c r="I75" s="42"/>
      <c r="J75" s="2036"/>
      <c r="K75" s="3055" t="str">
        <f>IF(H77="非个人房产","",4)</f>
        <v/>
      </c>
      <c r="L75" s="3377" t="str">
        <f>IF(H77="非个人房产","——","个人所得税")</f>
        <v>——</v>
      </c>
      <c r="M75" s="3377"/>
      <c r="N75" s="1300" t="str">
        <f>D77</f>
        <v>——</v>
      </c>
      <c r="O75" s="1873" t="str">
        <f>E77</f>
        <v>——</v>
      </c>
      <c r="P75" s="1301" t="str">
        <f>F77</f>
        <v>——</v>
      </c>
      <c r="Q75" s="2029"/>
      <c r="R75" s="2029"/>
      <c r="S75" s="2029"/>
      <c r="T75" s="2029"/>
      <c r="U75" s="2029"/>
      <c r="V75" s="2029"/>
    </row>
    <row r="76" spans="1:22" ht="24.75">
      <c r="A76" s="359" t="s">
        <v>396</v>
      </c>
      <c r="B76" s="3384" t="s">
        <v>422</v>
      </c>
      <c r="C76" s="3426"/>
      <c r="D76" s="362">
        <f ca="1">IF(H76="转让取得",C99,C115)</f>
        <v>4975</v>
      </c>
      <c r="E76" s="17" t="s">
        <v>423</v>
      </c>
      <c r="F76" s="53" t="s">
        <v>21</v>
      </c>
      <c r="G76" s="361"/>
      <c r="H76" s="363" t="s">
        <v>424</v>
      </c>
      <c r="I76" s="42"/>
      <c r="J76" s="2036"/>
      <c r="K76" s="3055" t="str">
        <f>IF(项目基本情况!K6="上海银行",IF(K75="",4,K75+1),"")</f>
        <v/>
      </c>
      <c r="L76" s="3365" t="str">
        <f>IF(项目基本情况!K6="上海银行","其他处置费用","")</f>
        <v/>
      </c>
      <c r="M76" s="3366"/>
      <c r="N76" s="1296" t="str">
        <f>IF(项目基本情况!K6="上海银行",N89,"")</f>
        <v/>
      </c>
      <c r="O76" s="3367" t="str">
        <f>IF(项目基本情况!K6="上海银行","包含处置中涉及的律师、诉讼、拍卖、评估等费用","")</f>
        <v/>
      </c>
      <c r="P76" s="3368"/>
      <c r="Q76" s="2029"/>
      <c r="R76" s="2029"/>
      <c r="S76" s="2029"/>
      <c r="T76" s="2029"/>
      <c r="U76" s="2029"/>
      <c r="V76" s="2029"/>
    </row>
    <row r="77" spans="1:22" ht="24.75" thickBot="1">
      <c r="A77" s="3395" t="s">
        <v>426</v>
      </c>
      <c r="B77" s="3396"/>
      <c r="C77" s="3396"/>
      <c r="D77" s="366" t="str">
        <f>IF(H77="非个人房产","——",IF(H77="个人住宅",0,ROUND(D63*I77,0)))</f>
        <v>——</v>
      </c>
      <c r="E77" s="367" t="str">
        <f>IF(H77="非个人房产","——","销售额×税（费）率")</f>
        <v>——</v>
      </c>
      <c r="F77" s="368" t="str">
        <f>IF(H77="非个人房产","——",IF(H77="个人住宅","免征",I77))</f>
        <v>——</v>
      </c>
      <c r="G77" s="984" t="s">
        <v>417</v>
      </c>
      <c r="H77" s="363" t="s">
        <v>3363</v>
      </c>
      <c r="I77" s="369">
        <v>0.01</v>
      </c>
      <c r="J77" s="2036"/>
      <c r="K77" s="3391">
        <f>IF(AND(K75="",K76=""),4,IF(项目基本情况!K6="上海银行",K76+1,K75+1))</f>
        <v>4</v>
      </c>
      <c r="L77" s="3377" t="s">
        <v>2878</v>
      </c>
      <c r="M77" s="3061" t="s">
        <v>421</v>
      </c>
      <c r="N77" s="1302"/>
      <c r="O77" s="1303">
        <f ca="1">SUMIF(N72:N76,"&lt;9e307")</f>
        <v>6489</v>
      </c>
      <c r="P77" s="1304"/>
      <c r="Q77" s="3059">
        <f ca="1">O77/N69</f>
        <v>0.23066259064410635</v>
      </c>
      <c r="R77" s="2029"/>
      <c r="S77" s="2029"/>
      <c r="T77" s="2029"/>
      <c r="U77" s="2029"/>
      <c r="V77" s="2029"/>
    </row>
    <row r="78" spans="1:22" ht="12" customHeight="1">
      <c r="A78" s="1305"/>
      <c r="B78" s="311"/>
      <c r="C78" s="311"/>
      <c r="D78" s="311"/>
      <c r="E78" s="42"/>
      <c r="F78" s="42"/>
      <c r="G78" s="42"/>
      <c r="H78" s="1003"/>
      <c r="I78" s="311"/>
      <c r="J78" s="2036"/>
      <c r="K78" s="3391"/>
      <c r="L78" s="3377"/>
      <c r="M78" s="3061" t="s">
        <v>425</v>
      </c>
      <c r="N78" s="1302"/>
      <c r="O78" s="1303" t="str">
        <f ca="1">NUMBERSTRING(INT(O77*10000),2)&amp;"元整"</f>
        <v>陆仟肆佰捌拾玖万元整</v>
      </c>
      <c r="P78" s="1304"/>
      <c r="Q78" s="2029"/>
      <c r="R78" s="2029"/>
      <c r="S78" s="2029"/>
      <c r="T78" s="2029"/>
      <c r="U78" s="2029"/>
      <c r="V78" s="2029"/>
    </row>
    <row r="79" spans="1:22" ht="13.5" thickBot="1">
      <c r="A79" s="3381" t="s">
        <v>427</v>
      </c>
      <c r="B79" s="3381"/>
      <c r="C79" s="3381"/>
      <c r="D79" s="3381"/>
      <c r="E79" s="3381"/>
      <c r="F79" s="42"/>
      <c r="G79" s="42"/>
      <c r="H79" s="1003"/>
      <c r="I79" s="311"/>
      <c r="J79" s="2036"/>
      <c r="K79" s="3375">
        <f>K77+1</f>
        <v>5</v>
      </c>
      <c r="L79" s="3377" t="s">
        <v>2879</v>
      </c>
      <c r="M79" s="3061" t="s">
        <v>421</v>
      </c>
      <c r="N79" s="1302"/>
      <c r="O79" s="1303">
        <f ca="1">N69-O77</f>
        <v>21643</v>
      </c>
      <c r="P79" s="1304"/>
      <c r="Q79" s="2029"/>
      <c r="R79" s="2029"/>
      <c r="S79" s="2029"/>
      <c r="T79" s="2029"/>
      <c r="U79" s="2029"/>
      <c r="V79" s="2029"/>
    </row>
    <row r="80" spans="1:22" ht="25.5">
      <c r="A80" s="3382" t="s">
        <v>428</v>
      </c>
      <c r="B80" s="3383"/>
      <c r="C80" s="994"/>
      <c r="D80" s="994" t="s">
        <v>429</v>
      </c>
      <c r="E80" s="370" t="s">
        <v>430</v>
      </c>
      <c r="F80" s="42"/>
      <c r="G80" s="42"/>
      <c r="H80" s="1003"/>
      <c r="I80" s="311"/>
      <c r="J80" s="2029"/>
      <c r="K80" s="3376"/>
      <c r="L80" s="3377"/>
      <c r="M80" s="3061" t="s">
        <v>425</v>
      </c>
      <c r="N80" s="1302"/>
      <c r="O80" s="1303" t="str">
        <f ca="1">NUMBERSTRING(INT(O79*10000),2)&amp;"元整"</f>
        <v>贰亿壹仟陆佰肆拾叁万元整</v>
      </c>
      <c r="P80" s="1304"/>
      <c r="Q80" s="2029"/>
      <c r="R80" s="2029"/>
      <c r="S80" s="2029"/>
      <c r="T80" s="2029"/>
      <c r="U80" s="2029"/>
      <c r="V80" s="2029"/>
    </row>
    <row r="81" spans="1:26" ht="13.5" thickBot="1">
      <c r="A81" s="381" t="s">
        <v>1823</v>
      </c>
      <c r="B81" s="371" t="s">
        <v>431</v>
      </c>
      <c r="C81" s="372">
        <f ca="1">ROUND((C82+C83)/(1+'数据-取费表'!C42),0)</f>
        <v>26792</v>
      </c>
      <c r="D81" s="373"/>
      <c r="E81" s="374"/>
      <c r="F81" s="42"/>
      <c r="G81" s="42"/>
      <c r="H81" s="1003"/>
      <c r="I81" s="311"/>
      <c r="J81" s="2029"/>
      <c r="K81" s="3055">
        <f>K79+1</f>
        <v>6</v>
      </c>
      <c r="L81" s="3389" t="s">
        <v>2880</v>
      </c>
      <c r="M81" s="3390"/>
      <c r="N81" s="1306"/>
      <c r="O81" s="1307">
        <f ca="1">ROUND(O79*10000/'数据-汇总表'!E3,0)</f>
        <v>3835</v>
      </c>
      <c r="P81" s="1308"/>
      <c r="Q81" s="2029"/>
      <c r="R81" s="2029"/>
      <c r="S81" s="2029"/>
      <c r="T81" s="2029"/>
      <c r="U81" s="2029"/>
      <c r="V81" s="2029"/>
    </row>
    <row r="82" spans="1:26" ht="13.5" thickTop="1">
      <c r="A82" s="375" t="s">
        <v>1824</v>
      </c>
      <c r="B82" s="376" t="s">
        <v>432</v>
      </c>
      <c r="C82" s="377">
        <f ca="1">D63</f>
        <v>28132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64" t="s">
        <v>2868</v>
      </c>
      <c r="L83" s="3067" t="s">
        <v>2869</v>
      </c>
      <c r="M83" s="3057">
        <f ca="1">IF(N69&gt;10000,N69*0.5%,IF(AND(N69&gt;1000,N69&lt;=10000),N69*1%,IF(AND(N69&gt;100,N69&lt;=1000),N69*3%,IF(AND(N69&gt;10,N69&lt;=100),N69*5%,N69*8%))))</f>
        <v>140.66</v>
      </c>
      <c r="N83" s="53">
        <f ca="1">ROUND(M83,1)</f>
        <v>140.69999999999999</v>
      </c>
      <c r="O83" s="3060"/>
      <c r="P83" s="2029"/>
      <c r="Q83" s="2029"/>
      <c r="R83" s="2029"/>
      <c r="S83" s="2029"/>
      <c r="T83" s="2029"/>
      <c r="U83" s="2029"/>
      <c r="V83" s="2029"/>
    </row>
    <row r="84" spans="1:26" ht="12.75">
      <c r="A84" s="381" t="s">
        <v>1826</v>
      </c>
      <c r="B84" s="382" t="s">
        <v>434</v>
      </c>
      <c r="C84" s="383">
        <v>2000</v>
      </c>
      <c r="D84" s="384" t="s">
        <v>19</v>
      </c>
      <c r="E84" s="3102" t="s">
        <v>2933</v>
      </c>
      <c r="F84" s="42"/>
      <c r="G84" s="42"/>
      <c r="H84" s="1003"/>
      <c r="I84" s="311"/>
      <c r="J84" s="2029"/>
      <c r="K84" s="3364"/>
      <c r="L84" s="3067" t="s">
        <v>2870</v>
      </c>
      <c r="M84" s="3057">
        <f ca="1">IF(N69&gt;2000,N69*0.5%,IF(AND(N69&gt;1000,N69&lt;=2000),N69*0.6%,IF(AND(N69&gt;500,N69&lt;=1000),N69*0.7%,IF(AND(N69&gt;200,N69&lt;=500),N69*0.8%,IF(AND(N69&gt;100,N69&lt;=200),N69*0.9%,IF(AND(N69&gt;50,N69&lt;=100),N69*1%,IF(AND(N69&gt;20,N69&lt;=50),N69*1.5%,IF(AND(N69&gt;10,N69&lt;=20),N69*2%,IF(AND(N69&gt;1,N69&lt;=10),N69*2.5%)))))))))</f>
        <v>140.66</v>
      </c>
      <c r="N84" s="53">
        <f t="shared" ref="N84:N85" ca="1" si="2">ROUND(M84,1)</f>
        <v>140.69999999999999</v>
      </c>
      <c r="O84" s="2029" t="s">
        <v>2871</v>
      </c>
      <c r="P84" s="2029"/>
      <c r="Q84" s="2029"/>
      <c r="R84" s="2029"/>
      <c r="S84" s="2029"/>
      <c r="T84" s="2029"/>
      <c r="U84" s="2029"/>
      <c r="V84" s="2029"/>
    </row>
    <row r="85" spans="1:26" ht="12.75">
      <c r="A85" s="381" t="s">
        <v>1827</v>
      </c>
      <c r="B85" s="382" t="s">
        <v>435</v>
      </c>
      <c r="C85" s="385">
        <f ca="1">C81-C84</f>
        <v>24792</v>
      </c>
      <c r="D85" s="378" t="s">
        <v>19</v>
      </c>
      <c r="E85" s="379"/>
      <c r="F85" s="42"/>
      <c r="G85" s="42"/>
      <c r="H85" s="1003"/>
      <c r="I85" s="311"/>
      <c r="J85" s="2029"/>
      <c r="K85" s="3364"/>
      <c r="L85" s="3067" t="s">
        <v>2872</v>
      </c>
      <c r="M85" s="3057">
        <f ca="1">IF(N69&gt;1000,N69*0.1%,IF(AND(N69&gt;500,N69&lt;=1000),N69*0.5%,IF(AND(N69&gt;50,N69&lt;=500),N69*1%,IF(AND(N69&gt;1,N69&lt;=50),N69*1.5%))))</f>
        <v>28.132000000000001</v>
      </c>
      <c r="N85" s="53">
        <f t="shared" ca="1" si="2"/>
        <v>28.1</v>
      </c>
      <c r="O85" s="2029" t="s">
        <v>2871</v>
      </c>
      <c r="P85" s="2029"/>
      <c r="Q85" s="2029"/>
      <c r="R85" s="2029"/>
      <c r="S85" s="2029"/>
      <c r="T85" s="2029"/>
      <c r="U85" s="2029"/>
      <c r="V85" s="2029"/>
    </row>
    <row r="86" spans="1:26" ht="13.5" thickBot="1">
      <c r="A86" s="386" t="s">
        <v>1828</v>
      </c>
      <c r="B86" s="387" t="s">
        <v>436</v>
      </c>
      <c r="C86" s="388">
        <f ca="1">IF(C85&lt;=0,0,ROUND(C85*D86,0))</f>
        <v>1388</v>
      </c>
      <c r="D86" s="389">
        <f>'数据-取费表'!B41</f>
        <v>5.6000000000000001E-2</v>
      </c>
      <c r="E86" s="390"/>
      <c r="F86" s="42"/>
      <c r="G86" s="42"/>
      <c r="H86" s="1003"/>
      <c r="I86" s="311"/>
      <c r="J86" s="2029"/>
      <c r="K86" s="3364"/>
      <c r="L86" s="3067" t="s">
        <v>2873</v>
      </c>
      <c r="M86" s="3057">
        <f ca="1">N69*0.5%</f>
        <v>140.66</v>
      </c>
      <c r="N86" s="53">
        <f ca="1">IF(M86&gt;0.5,0.5,ROUND(M86,0))</f>
        <v>0.5</v>
      </c>
      <c r="O86" s="2029" t="s">
        <v>2874</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4"/>
      <c r="L87" s="3067" t="s">
        <v>2875</v>
      </c>
      <c r="M87" s="3057">
        <f ca="1">IF(N69&gt;=10000,(8.25+(N69-10000)*0.01%),IF(AND(N69&gt;=8000,N69&lt;10000),(7.85+(N69-8000)*0.02%),IF(AND(N69&gt;=5000,N69&lt;8000),(6.65+(N69-5000)*0.04%),IF(AND(N69&gt;=2000,N69&lt;5000),(4.25+(PN69-2000)*0.08%),IF(AND(N69&gt;=1000,N69&lt;2000),(2.75+(N69-1000)*0.15%),IF(AND(N69&gt;=100,N69&lt;1000),(0.5+(N69-100)*0.25%),IF(AND(N69&gt;0,N69&lt;100),N69*0.5%)))))))</f>
        <v>10.0632</v>
      </c>
      <c r="N87" s="53">
        <f ca="1">ROUND(M87*0.9,1)</f>
        <v>9.1</v>
      </c>
      <c r="O87" s="3060"/>
      <c r="P87" s="311"/>
      <c r="Q87" s="2029"/>
      <c r="R87" s="2029"/>
      <c r="S87" s="2029"/>
      <c r="T87" s="2029"/>
      <c r="U87" s="2029"/>
      <c r="V87" s="2029"/>
      <c r="W87" s="292"/>
      <c r="X87" s="292"/>
      <c r="Y87" s="292"/>
      <c r="Z87" s="292"/>
    </row>
    <row r="88" spans="1:26" s="1314" customFormat="1" ht="15" thickBot="1">
      <c r="A88" s="3418" t="s">
        <v>437</v>
      </c>
      <c r="B88" s="3419"/>
      <c r="C88" s="3419"/>
      <c r="D88" s="3419"/>
      <c r="E88" s="3419"/>
      <c r="F88" s="3419"/>
      <c r="G88" s="3419"/>
      <c r="H88" s="3419"/>
      <c r="I88" s="1315"/>
      <c r="J88" s="2037"/>
      <c r="K88" s="3364"/>
      <c r="L88" s="3067" t="s">
        <v>2876</v>
      </c>
      <c r="M88" s="3057">
        <f ca="1">IF(N69&gt;10000,N69*0.5%,IF(AND(N69&gt;5000,N69&lt;=10000),N69*1%,IF(AND(N69&gt;1000,N69&lt;=5000),N69*2%,IF(AND(N69&gt;200,N69&lt;=1000),N69*3%,N69*5%))))</f>
        <v>140.66</v>
      </c>
      <c r="N88" s="53">
        <f ca="1">ROUND(M88,1)</f>
        <v>140.69999999999999</v>
      </c>
      <c r="O88" s="3060"/>
      <c r="P88" s="11"/>
      <c r="Q88" s="2034"/>
      <c r="R88" s="2034"/>
      <c r="S88" s="2034"/>
      <c r="T88" s="2034"/>
      <c r="U88" s="2034"/>
      <c r="V88" s="2034"/>
      <c r="W88" s="2038"/>
      <c r="X88" s="2038"/>
      <c r="Y88" s="2038"/>
      <c r="Z88" s="2038"/>
    </row>
    <row r="89" spans="1:26" s="1314" customFormat="1" ht="14.25">
      <c r="A89" s="3382" t="s">
        <v>428</v>
      </c>
      <c r="B89" s="3383"/>
      <c r="C89" s="994"/>
      <c r="D89" s="994" t="s">
        <v>429</v>
      </c>
      <c r="E89" s="391" t="s">
        <v>438</v>
      </c>
      <c r="F89" s="392"/>
      <c r="G89" s="392"/>
      <c r="H89" s="393"/>
      <c r="I89" s="1316"/>
      <c r="J89" s="2039"/>
      <c r="K89" s="3364"/>
      <c r="L89" s="3067" t="s">
        <v>27</v>
      </c>
      <c r="M89" s="3058"/>
      <c r="N89" s="53">
        <f ca="1">ROUND(SUM(N83:N88),0)</f>
        <v>460</v>
      </c>
      <c r="O89" s="3068">
        <f ca="1">N89/N69</f>
        <v>1.6351485852410069E-2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26792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2722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415" t="s">
        <v>447</v>
      </c>
      <c r="F94" s="3416"/>
      <c r="G94" s="3416"/>
      <c r="H94" s="341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161</v>
      </c>
      <c r="D96" s="406">
        <f>'数据-取费表'!B43</f>
        <v>6.000000000000001E-3</v>
      </c>
      <c r="E96" s="3405" t="s">
        <v>2428</v>
      </c>
      <c r="F96" s="3406"/>
      <c r="G96" s="3406"/>
      <c r="H96" s="340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24070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8.8427626745040406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13489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18" t="s">
        <v>454</v>
      </c>
      <c r="B101" s="3419"/>
      <c r="C101" s="3419"/>
      <c r="D101" s="3419"/>
      <c r="E101" s="3419"/>
      <c r="F101" s="3419"/>
      <c r="G101" s="3419"/>
      <c r="H101" s="341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82" t="s">
        <v>428</v>
      </c>
      <c r="B102" s="338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26792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12955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11631</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f>ROUND(面积表!I6*面积表!O7/10000,0)</f>
        <v>11287</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344</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0</v>
      </c>
      <c r="D109" s="406"/>
      <c r="E109" s="3408" t="s">
        <v>462</v>
      </c>
      <c r="F109" s="3406"/>
      <c r="G109" s="3406"/>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1163</v>
      </c>
      <c r="D110" s="406">
        <v>0.1</v>
      </c>
      <c r="E110" s="3408" t="s">
        <v>464</v>
      </c>
      <c r="F110" s="3406"/>
      <c r="G110" s="3406"/>
      <c r="H110" s="340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161</v>
      </c>
      <c r="D111" s="406">
        <f>'数据-取费表'!B43</f>
        <v>6.000000000000001E-3</v>
      </c>
      <c r="E111" s="3405" t="s">
        <v>2428</v>
      </c>
      <c r="F111" s="3406"/>
      <c r="G111" s="3406"/>
      <c r="H111" s="340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408" t="s">
        <v>2453</v>
      </c>
      <c r="F112" s="3406"/>
      <c r="G112" s="3406"/>
      <c r="H112" s="340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13837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1.0680818216904671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4975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5" zoomScaleNormal="95" zoomScaleSheetLayoutView="85" workbookViewId="0">
      <selection activeCell="I49" sqref="I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27851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4935</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7896</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526</v>
      </c>
      <c r="C5" s="431" t="s">
        <v>469</v>
      </c>
      <c r="D5" s="2062"/>
      <c r="E5" s="3196" t="s">
        <v>3275</v>
      </c>
      <c r="F5" s="2062"/>
      <c r="G5" s="3196" t="s">
        <v>3277</v>
      </c>
      <c r="H5" s="2129"/>
      <c r="I5" s="3196" t="s">
        <v>3279</v>
      </c>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63" t="s">
        <v>522</v>
      </c>
      <c r="D6" s="3464"/>
      <c r="E6" s="3463" t="s">
        <v>523</v>
      </c>
      <c r="F6" s="3464"/>
      <c r="G6" s="3463" t="s">
        <v>524</v>
      </c>
      <c r="H6" s="3464"/>
      <c r="I6" s="3463" t="s">
        <v>525</v>
      </c>
      <c r="J6" s="3464"/>
      <c r="K6" s="514" t="s">
        <v>526</v>
      </c>
      <c r="L6" s="2134"/>
      <c r="M6" s="2133" t="s">
        <v>3293</v>
      </c>
      <c r="N6" s="2133" t="s">
        <v>3294</v>
      </c>
      <c r="O6" s="2133" t="s">
        <v>3295</v>
      </c>
      <c r="P6" s="3465" t="s">
        <v>527</v>
      </c>
      <c r="Q6" s="3466"/>
      <c r="R6" s="3451" t="s">
        <v>523</v>
      </c>
      <c r="S6" s="3452"/>
      <c r="T6" s="3451" t="s">
        <v>524</v>
      </c>
      <c r="U6" s="3452"/>
      <c r="V6" s="3471" t="s">
        <v>525</v>
      </c>
      <c r="W6" s="3471"/>
      <c r="X6" s="1568"/>
      <c r="Y6" s="3451" t="s">
        <v>527</v>
      </c>
      <c r="Z6" s="3452"/>
      <c r="AA6" s="3446" t="s">
        <v>523</v>
      </c>
      <c r="AB6" s="3447" t="s">
        <v>524</v>
      </c>
      <c r="AC6" s="3446" t="s">
        <v>525</v>
      </c>
    </row>
    <row r="7" spans="1:30" ht="43.5" customHeight="1">
      <c r="A7" s="515"/>
      <c r="B7" s="516"/>
      <c r="C7" s="3474" t="s">
        <v>3272</v>
      </c>
      <c r="D7" s="3475"/>
      <c r="E7" s="3474" t="str">
        <f>案例!A5</f>
        <v>巴南区界石组团N分区N07/03、N08-1/03号宗地</v>
      </c>
      <c r="F7" s="3475"/>
      <c r="G7" s="3474" t="str">
        <f>案例!A8</f>
        <v>巴南区界石组团M分区M40/02、M41/02号宗地</v>
      </c>
      <c r="H7" s="3475"/>
      <c r="I7" s="3474" t="str">
        <f>案例!A13</f>
        <v>巴南区界石组团M分区M38-3/02、M39/02号宗地</v>
      </c>
      <c r="J7" s="3475"/>
      <c r="K7" s="514"/>
      <c r="L7" s="2134"/>
      <c r="M7" s="2133"/>
      <c r="N7" s="2133"/>
      <c r="O7" s="2135"/>
      <c r="P7" s="3467"/>
      <c r="Q7" s="3468"/>
      <c r="R7" s="3453"/>
      <c r="S7" s="3454"/>
      <c r="T7" s="3453"/>
      <c r="U7" s="3454"/>
      <c r="V7" s="3471"/>
      <c r="W7" s="3471"/>
      <c r="X7" s="1568"/>
      <c r="Y7" s="3453"/>
      <c r="Z7" s="3454"/>
      <c r="AA7" s="3447"/>
      <c r="AB7" s="3447"/>
      <c r="AC7" s="3447"/>
    </row>
    <row r="8" spans="1:30" ht="21" thickBot="1">
      <c r="A8" s="515"/>
      <c r="B8" s="516"/>
      <c r="C8" s="3476" t="s">
        <v>3273</v>
      </c>
      <c r="D8" s="3477"/>
      <c r="E8" s="3476" t="s">
        <v>3273</v>
      </c>
      <c r="F8" s="3477"/>
      <c r="G8" s="3472" t="s">
        <v>3273</v>
      </c>
      <c r="H8" s="3473"/>
      <c r="I8" s="3472" t="s">
        <v>3273</v>
      </c>
      <c r="J8" s="3473"/>
      <c r="K8" s="514" t="s">
        <v>528</v>
      </c>
      <c r="L8" s="2134"/>
      <c r="M8" s="2133"/>
      <c r="N8" s="2133"/>
      <c r="O8" s="2135"/>
      <c r="P8" s="3469"/>
      <c r="Q8" s="3470"/>
      <c r="R8" s="3453"/>
      <c r="S8" s="3454"/>
      <c r="T8" s="3455"/>
      <c r="U8" s="3456"/>
      <c r="V8" s="3471"/>
      <c r="W8" s="3471"/>
      <c r="X8" s="1568"/>
      <c r="Y8" s="3455"/>
      <c r="Z8" s="3456"/>
      <c r="AA8" s="3448"/>
      <c r="AB8" s="3448"/>
      <c r="AC8" s="3448"/>
    </row>
    <row r="9" spans="1:30" s="1220" customFormat="1" ht="21" thickBot="1">
      <c r="A9" s="2913"/>
      <c r="B9" s="2920" t="s">
        <v>529</v>
      </c>
      <c r="C9" s="2912">
        <f>'数据-取费表'!B2</f>
        <v>43426</v>
      </c>
      <c r="D9" s="520">
        <v>100</v>
      </c>
      <c r="E9" s="521" t="str">
        <f>案例!K5</f>
        <v>2018-06-22</v>
      </c>
      <c r="F9" s="522">
        <f>SUMIF(72:72,YEAR(E9)&amp;"-"&amp;INT((MONTH(E9)+2)/3),73:73)</f>
        <v>98</v>
      </c>
      <c r="G9" s="523" t="str">
        <f>案例!K8</f>
        <v>2018-06-13</v>
      </c>
      <c r="H9" s="520">
        <f>SUMIF(72:72,YEAR(G9)&amp;"-"&amp;INT((MONTH(G9)+2)/3),73:73)</f>
        <v>98</v>
      </c>
      <c r="I9" s="523" t="str">
        <f>案例!K13</f>
        <v>2018-01-31</v>
      </c>
      <c r="J9" s="520">
        <f>SUMIF(72:72,YEAR(I9)&amp;"-"&amp;INT((MONTH(I9)+2)/3),73:73)</f>
        <v>97</v>
      </c>
      <c r="K9" s="524"/>
      <c r="L9" s="2136"/>
      <c r="M9" s="2133">
        <f>AA9</f>
        <v>1.0204081632653061</v>
      </c>
      <c r="N9" s="2133">
        <f>AB9</f>
        <v>1.0204081632653061</v>
      </c>
      <c r="O9" s="2133">
        <f>AC9</f>
        <v>1.0309278350515463</v>
      </c>
      <c r="P9" s="3449" t="s">
        <v>530</v>
      </c>
      <c r="Q9" s="3458"/>
      <c r="R9" s="1569" t="s">
        <v>8</v>
      </c>
      <c r="S9" s="1570">
        <f t="shared" ref="S9:S17" si="0">F9</f>
        <v>98</v>
      </c>
      <c r="T9" s="1569" t="s">
        <v>8</v>
      </c>
      <c r="U9" s="1570">
        <f t="shared" ref="U9:U17" si="1">H9</f>
        <v>98</v>
      </c>
      <c r="V9" s="1569" t="s">
        <v>8</v>
      </c>
      <c r="W9" s="1570">
        <f t="shared" ref="W9:W17" si="2">J9</f>
        <v>97</v>
      </c>
      <c r="X9" s="1571"/>
      <c r="Y9" s="3449" t="s">
        <v>530</v>
      </c>
      <c r="Z9" s="3450"/>
      <c r="AA9" s="1572">
        <f>D9/F9</f>
        <v>1.0204081632653061</v>
      </c>
      <c r="AB9" s="1572">
        <f>D9/H9</f>
        <v>1.0204081632653061</v>
      </c>
      <c r="AC9" s="1572">
        <f>D9/J9</f>
        <v>1.0309278350515463</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f t="shared" ref="M10:M44" si="3">AA10</f>
        <v>1</v>
      </c>
      <c r="N10" s="2133">
        <f t="shared" ref="N10:N44" si="4">AB10</f>
        <v>1</v>
      </c>
      <c r="O10" s="2133">
        <f t="shared" ref="O10:O44" si="5">AC10</f>
        <v>1</v>
      </c>
      <c r="P10" s="3449" t="s">
        <v>533</v>
      </c>
      <c r="Q10" s="3450"/>
      <c r="R10" s="1569" t="s">
        <v>8</v>
      </c>
      <c r="S10" s="1570">
        <f t="shared" si="0"/>
        <v>100</v>
      </c>
      <c r="T10" s="1569" t="s">
        <v>8</v>
      </c>
      <c r="U10" s="1570">
        <f t="shared" si="1"/>
        <v>100</v>
      </c>
      <c r="V10" s="1569" t="s">
        <v>8</v>
      </c>
      <c r="W10" s="1570">
        <f t="shared" si="2"/>
        <v>100</v>
      </c>
      <c r="X10" s="1571"/>
      <c r="Y10" s="3449" t="s">
        <v>533</v>
      </c>
      <c r="Z10" s="3450"/>
      <c r="AA10" s="1572">
        <f t="shared" ref="AA10:AA47" si="6">D10/F10</f>
        <v>1</v>
      </c>
      <c r="AB10" s="1572">
        <f t="shared" ref="AB10:AB47" si="7">D10/H10</f>
        <v>1</v>
      </c>
      <c r="AC10" s="1572">
        <f t="shared" ref="AC10:AC47" si="8">D10/J10</f>
        <v>1</v>
      </c>
    </row>
    <row r="11" spans="1:30" s="1220" customFormat="1" ht="20.25">
      <c r="A11" s="2915"/>
      <c r="B11" s="2922" t="s">
        <v>2755</v>
      </c>
      <c r="C11" s="2909" t="s">
        <v>922</v>
      </c>
      <c r="D11" s="254">
        <v>100</v>
      </c>
      <c r="E11" s="2909" t="s">
        <v>922</v>
      </c>
      <c r="F11" s="254">
        <f>SUMIF(77:77,E11,78:78)-SUMIF(77:77,C11,78:78)+100</f>
        <v>100</v>
      </c>
      <c r="G11" s="2909" t="s">
        <v>922</v>
      </c>
      <c r="H11" s="254">
        <f>SUMIF(77:77,G11,78:78)-SUMIF(77:77,C11,78:78)+100</f>
        <v>100</v>
      </c>
      <c r="I11" s="2909" t="s">
        <v>922</v>
      </c>
      <c r="J11" s="254">
        <f>SUMIF(77:77,I11,78:78)-SUMIF(77:77,C11,78:78)+100</f>
        <v>100</v>
      </c>
      <c r="K11" s="524"/>
      <c r="L11" s="2136"/>
      <c r="M11" s="2133">
        <f t="shared" si="3"/>
        <v>1</v>
      </c>
      <c r="N11" s="2133">
        <f t="shared" si="4"/>
        <v>1</v>
      </c>
      <c r="O11" s="2133">
        <f t="shared" si="5"/>
        <v>1</v>
      </c>
      <c r="P11" s="3457" t="s">
        <v>535</v>
      </c>
      <c r="Q11" s="1151" t="str">
        <f t="shared" ref="Q11:Q17" si="9">B11</f>
        <v>用途</v>
      </c>
      <c r="R11" s="1569" t="s">
        <v>8</v>
      </c>
      <c r="S11" s="1570">
        <f t="shared" si="0"/>
        <v>100</v>
      </c>
      <c r="T11" s="1569" t="s">
        <v>8</v>
      </c>
      <c r="U11" s="1570">
        <f t="shared" si="1"/>
        <v>100</v>
      </c>
      <c r="V11" s="1569" t="s">
        <v>8</v>
      </c>
      <c r="W11" s="1570">
        <f t="shared" si="2"/>
        <v>100</v>
      </c>
      <c r="X11" s="1571"/>
      <c r="Y11" s="3414" t="s">
        <v>536</v>
      </c>
      <c r="Z11" s="1150" t="str">
        <f t="shared" ref="Z11:Z17" si="10">Q11</f>
        <v>用途</v>
      </c>
      <c r="AA11" s="1572">
        <f t="shared" si="6"/>
        <v>1</v>
      </c>
      <c r="AB11" s="1572">
        <f t="shared" si="7"/>
        <v>1</v>
      </c>
      <c r="AC11" s="1572">
        <f t="shared" si="8"/>
        <v>1</v>
      </c>
    </row>
    <row r="12" spans="1:30" s="1338" customFormat="1" ht="28.5">
      <c r="A12" s="2916"/>
      <c r="B12" s="3211" t="s">
        <v>3354</v>
      </c>
      <c r="C12" s="910" t="s">
        <v>3289</v>
      </c>
      <c r="D12" s="255">
        <v>100</v>
      </c>
      <c r="E12" s="529" t="s">
        <v>3271</v>
      </c>
      <c r="F12" s="255">
        <f>ROUND(年期修正系数!C13*100,1)</f>
        <v>96.6</v>
      </c>
      <c r="G12" s="530" t="s">
        <v>3271</v>
      </c>
      <c r="H12" s="255">
        <f>F12</f>
        <v>96.6</v>
      </c>
      <c r="I12" s="530" t="s">
        <v>3271</v>
      </c>
      <c r="J12" s="255">
        <f>F12</f>
        <v>96.6</v>
      </c>
      <c r="K12" s="531"/>
      <c r="L12" s="2139"/>
      <c r="M12" s="2133">
        <f>100/E15</f>
        <v>1.0351966873706004</v>
      </c>
      <c r="N12" s="2133">
        <f>100/G15</f>
        <v>1.0351966873706004</v>
      </c>
      <c r="O12" s="2133">
        <f>100/I15</f>
        <v>1.0351966873706004</v>
      </c>
      <c r="P12" s="3457"/>
      <c r="Q12" s="1151" t="str">
        <f t="shared" si="9"/>
        <v>土地使用年限（年）</v>
      </c>
      <c r="R12" s="1569" t="s">
        <v>8</v>
      </c>
      <c r="S12" s="1570">
        <f t="shared" si="0"/>
        <v>96.6</v>
      </c>
      <c r="T12" s="1569" t="s">
        <v>8</v>
      </c>
      <c r="U12" s="1570">
        <f t="shared" si="1"/>
        <v>96.6</v>
      </c>
      <c r="V12" s="1569" t="s">
        <v>8</v>
      </c>
      <c r="W12" s="1570">
        <f t="shared" si="2"/>
        <v>96.6</v>
      </c>
      <c r="X12" s="1571"/>
      <c r="Y12" s="3414"/>
      <c r="Z12" s="1150" t="str">
        <f t="shared" si="10"/>
        <v>土地使用年限（年）</v>
      </c>
      <c r="AA12" s="1572">
        <f t="shared" si="6"/>
        <v>1.0351966873706004</v>
      </c>
      <c r="AB12" s="1572">
        <f t="shared" si="7"/>
        <v>1.0351966873706004</v>
      </c>
      <c r="AC12" s="1572">
        <f t="shared" si="8"/>
        <v>1.0351966873706004</v>
      </c>
    </row>
    <row r="13" spans="1:30" ht="20.25">
      <c r="A13" s="2917"/>
      <c r="B13" s="2921" t="s">
        <v>2757</v>
      </c>
      <c r="C13" s="534">
        <f>'数据-汇总表'!I7</f>
        <v>1.6</v>
      </c>
      <c r="D13" s="255">
        <v>100</v>
      </c>
      <c r="E13" s="533">
        <v>2.5</v>
      </c>
      <c r="F13" s="255">
        <f>LOOKUP(E13,82:82,83:83)-LOOKUP(C13,82:82,83:83)+100</f>
        <v>97</v>
      </c>
      <c r="G13" s="534">
        <v>2.16</v>
      </c>
      <c r="H13" s="255">
        <f>LOOKUP(G13,82:82,83:83)-LOOKUP(C13,82:82,83:83)+100</f>
        <v>97</v>
      </c>
      <c r="I13" s="533">
        <v>1.72</v>
      </c>
      <c r="J13" s="255">
        <f>LOOKUP(I13,82:82,83:83)-LOOKUP(C13,82:82,83:83)+100</f>
        <v>100</v>
      </c>
      <c r="K13" s="3255">
        <v>3</v>
      </c>
      <c r="L13" s="2141"/>
      <c r="M13" s="2133">
        <f t="shared" si="3"/>
        <v>1.0309278350515463</v>
      </c>
      <c r="N13" s="2133">
        <f t="shared" si="4"/>
        <v>1.0309278350515463</v>
      </c>
      <c r="O13" s="2133">
        <f t="shared" si="5"/>
        <v>1</v>
      </c>
      <c r="P13" s="3457"/>
      <c r="Q13" s="1151" t="str">
        <f t="shared" si="9"/>
        <v>容积率</v>
      </c>
      <c r="R13" s="1569" t="s">
        <v>8</v>
      </c>
      <c r="S13" s="1570">
        <f t="shared" si="0"/>
        <v>97</v>
      </c>
      <c r="T13" s="1569" t="s">
        <v>8</v>
      </c>
      <c r="U13" s="1570">
        <f t="shared" si="1"/>
        <v>97</v>
      </c>
      <c r="V13" s="1569" t="s">
        <v>8</v>
      </c>
      <c r="W13" s="1570">
        <f t="shared" si="2"/>
        <v>100</v>
      </c>
      <c r="X13" s="1571"/>
      <c r="Y13" s="3414"/>
      <c r="Z13" s="1150" t="str">
        <f t="shared" si="10"/>
        <v>容积率</v>
      </c>
      <c r="AA13" s="1572">
        <f t="shared" si="6"/>
        <v>1.0309278350515463</v>
      </c>
      <c r="AB13" s="1572">
        <f t="shared" si="7"/>
        <v>1.0309278350515463</v>
      </c>
      <c r="AC13" s="1572">
        <f t="shared" si="8"/>
        <v>1</v>
      </c>
    </row>
    <row r="14" spans="1:30" s="1220" customFormat="1" ht="20.25" hidden="1">
      <c r="A14" s="2914"/>
      <c r="B14" s="2923" t="s">
        <v>2758</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f t="shared" si="3"/>
        <v>1</v>
      </c>
      <c r="N14" s="2133">
        <f t="shared" si="4"/>
        <v>1</v>
      </c>
      <c r="O14" s="2133">
        <f t="shared" si="5"/>
        <v>1</v>
      </c>
      <c r="P14" s="3457"/>
      <c r="Q14" s="1151" t="str">
        <f t="shared" si="9"/>
        <v>配建</v>
      </c>
      <c r="R14" s="1569" t="s">
        <v>8</v>
      </c>
      <c r="S14" s="1570">
        <f t="shared" si="0"/>
        <v>100</v>
      </c>
      <c r="T14" s="1569" t="s">
        <v>8</v>
      </c>
      <c r="U14" s="1570">
        <f t="shared" si="1"/>
        <v>100</v>
      </c>
      <c r="V14" s="1569" t="s">
        <v>8</v>
      </c>
      <c r="W14" s="1570">
        <f t="shared" si="2"/>
        <v>100</v>
      </c>
      <c r="X14" s="1571"/>
      <c r="Y14" s="3414"/>
      <c r="Z14" s="1150" t="str">
        <f t="shared" si="10"/>
        <v>配建</v>
      </c>
      <c r="AA14" s="1572">
        <f>D14/F14</f>
        <v>1</v>
      </c>
      <c r="AB14" s="1572">
        <f>D14/H14</f>
        <v>1</v>
      </c>
      <c r="AC14" s="1572">
        <f>D14/J14</f>
        <v>1</v>
      </c>
    </row>
    <row r="15" spans="1:30" ht="20.25" hidden="1">
      <c r="A15" s="2918"/>
      <c r="B15" s="3195" t="s">
        <v>3270</v>
      </c>
      <c r="C15" s="912"/>
      <c r="D15" s="540">
        <v>100</v>
      </c>
      <c r="E15" s="3197">
        <f>ROUND(100/ROUND((1-1/(1+'数据-取费表'!H6)^项目基本情况!D19)/(1-1/(1+'数据-取费表'!H6)^40),4),1)</f>
        <v>96.6</v>
      </c>
      <c r="F15" s="255">
        <f>SUMIF(86:86,E15,87:87)-SUMIF(86:86,C15,87:87)+100</f>
        <v>100</v>
      </c>
      <c r="G15" s="3198">
        <f>ROUND(100/ROUND((1-1/(1+'数据-取费表'!H6)^项目基本情况!D19)/(1-1/(1+'数据-取费表'!H6)^40),4),1)</f>
        <v>96.6</v>
      </c>
      <c r="H15" s="540">
        <f>SUMIF(86:86,G15,87:87)-SUMIF(86:86,C15,87:87)+100</f>
        <v>100</v>
      </c>
      <c r="I15" s="3198">
        <f>ROUND(100/ROUND((1-1/(1+'数据-取费表'!H6)^项目基本情况!D19)/(1-1/(1+'数据-取费表'!H6)^40),4),1)</f>
        <v>96.6</v>
      </c>
      <c r="J15" s="540">
        <f>SUMIF(86:86,I15,87:87)-SUMIF(86:86,C15,87:87)+100</f>
        <v>100</v>
      </c>
      <c r="K15" s="531"/>
      <c r="L15" s="2143"/>
      <c r="M15" s="2133">
        <f t="shared" si="3"/>
        <v>1</v>
      </c>
      <c r="N15" s="2133">
        <f t="shared" si="4"/>
        <v>1</v>
      </c>
      <c r="O15" s="2133">
        <f t="shared" si="5"/>
        <v>1</v>
      </c>
      <c r="P15" s="3457"/>
      <c r="Q15" s="1151" t="str">
        <f t="shared" si="9"/>
        <v>年期修正系数</v>
      </c>
      <c r="R15" s="1569" t="s">
        <v>8</v>
      </c>
      <c r="S15" s="1570">
        <f t="shared" si="0"/>
        <v>100</v>
      </c>
      <c r="T15" s="1569" t="s">
        <v>8</v>
      </c>
      <c r="U15" s="1570">
        <f t="shared" si="1"/>
        <v>100</v>
      </c>
      <c r="V15" s="1569" t="s">
        <v>8</v>
      </c>
      <c r="W15" s="1570">
        <f t="shared" si="2"/>
        <v>100</v>
      </c>
      <c r="X15" s="1571"/>
      <c r="Y15" s="3414"/>
      <c r="Z15" s="1150" t="str">
        <f t="shared" si="10"/>
        <v>年期修正系数</v>
      </c>
      <c r="AA15" s="1572">
        <f>D15/F15</f>
        <v>1</v>
      </c>
      <c r="AB15" s="1572">
        <f>D15/H15</f>
        <v>1</v>
      </c>
      <c r="AC15" s="1572">
        <f>D15/J15</f>
        <v>1</v>
      </c>
    </row>
    <row r="16" spans="1:30" ht="21" thickBot="1">
      <c r="A16" s="2919"/>
      <c r="B16" s="3202" t="s">
        <v>3290</v>
      </c>
      <c r="C16" s="915" t="s">
        <v>3291</v>
      </c>
      <c r="D16" s="546">
        <v>100</v>
      </c>
      <c r="E16" s="3203"/>
      <c r="F16" s="546">
        <f>SUMIF(88:88,E16,89:89)-SUMIF(88:88,C16,89:89)+100</f>
        <v>100</v>
      </c>
      <c r="G16" s="3204"/>
      <c r="H16" s="546">
        <f>SUMIF(88:88,G16,89:89)-SUMIF(88:88,C16,89:89)+100</f>
        <v>100</v>
      </c>
      <c r="I16" s="3204"/>
      <c r="J16" s="546">
        <f>SUMIF(88:88,I16,89:89)-SUMIF(88:88,C16,89:89)+100</f>
        <v>100</v>
      </c>
      <c r="K16" s="531"/>
      <c r="L16" s="2143"/>
      <c r="M16" s="2133">
        <f t="shared" si="3"/>
        <v>1</v>
      </c>
      <c r="N16" s="2133">
        <f t="shared" si="4"/>
        <v>1</v>
      </c>
      <c r="O16" s="2133">
        <f t="shared" si="5"/>
        <v>1</v>
      </c>
      <c r="P16" s="3457"/>
      <c r="Q16" s="1151" t="str">
        <f t="shared" si="9"/>
        <v>商业占比</v>
      </c>
      <c r="R16" s="1569" t="s">
        <v>8</v>
      </c>
      <c r="S16" s="1570">
        <f t="shared" si="0"/>
        <v>100</v>
      </c>
      <c r="T16" s="1569" t="s">
        <v>8</v>
      </c>
      <c r="U16" s="1570">
        <f t="shared" si="1"/>
        <v>100</v>
      </c>
      <c r="V16" s="1569" t="s">
        <v>8</v>
      </c>
      <c r="W16" s="1570">
        <f t="shared" si="2"/>
        <v>100</v>
      </c>
      <c r="X16" s="1571"/>
      <c r="Y16" s="3414"/>
      <c r="Z16" s="1150" t="str">
        <f t="shared" si="10"/>
        <v>商业占比</v>
      </c>
      <c r="AA16" s="1572">
        <f>D16/F16</f>
        <v>1</v>
      </c>
      <c r="AB16" s="1572">
        <f>D16/H16</f>
        <v>1</v>
      </c>
      <c r="AC16" s="1572">
        <f>D16/J16</f>
        <v>1</v>
      </c>
    </row>
    <row r="17" spans="1:29" ht="99.75">
      <c r="A17" s="2911"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3"/>
      <c r="M17" s="2133">
        <f t="shared" si="3"/>
        <v>1</v>
      </c>
      <c r="N17" s="2133">
        <f t="shared" si="4"/>
        <v>1</v>
      </c>
      <c r="O17" s="2133">
        <f t="shared" si="5"/>
        <v>1</v>
      </c>
      <c r="P17" s="3459" t="s">
        <v>540</v>
      </c>
      <c r="Q17" s="1573" t="str">
        <f t="shared" si="9"/>
        <v>居住社区成熟度</v>
      </c>
      <c r="R17" s="1574" t="s">
        <v>8</v>
      </c>
      <c r="S17" s="1575">
        <f t="shared" si="0"/>
        <v>100</v>
      </c>
      <c r="T17" s="1574" t="s">
        <v>8</v>
      </c>
      <c r="U17" s="1575">
        <f t="shared" si="1"/>
        <v>100</v>
      </c>
      <c r="V17" s="1574" t="s">
        <v>8</v>
      </c>
      <c r="W17" s="1575">
        <f t="shared" si="2"/>
        <v>100</v>
      </c>
      <c r="X17" s="1568"/>
      <c r="Y17" s="3459" t="s">
        <v>540</v>
      </c>
      <c r="Z17" s="1576" t="str">
        <f t="shared" si="10"/>
        <v>居住社区成熟度</v>
      </c>
      <c r="AA17" s="1577">
        <f t="shared" si="6"/>
        <v>1</v>
      </c>
      <c r="AB17" s="1577">
        <f t="shared" si="7"/>
        <v>1</v>
      </c>
      <c r="AC17" s="1577">
        <f t="shared" si="8"/>
        <v>1</v>
      </c>
    </row>
    <row r="18" spans="1:29" ht="20.25">
      <c r="A18" s="532"/>
      <c r="B18" s="553"/>
      <c r="C18" s="554" t="s">
        <v>3262</v>
      </c>
      <c r="D18" s="557"/>
      <c r="E18" s="554" t="s">
        <v>3262</v>
      </c>
      <c r="F18" s="555"/>
      <c r="G18" s="554" t="s">
        <v>3262</v>
      </c>
      <c r="H18" s="559"/>
      <c r="I18" s="554" t="s">
        <v>3262</v>
      </c>
      <c r="J18" s="555"/>
      <c r="K18" s="531"/>
      <c r="L18" s="2143"/>
      <c r="M18" s="2133">
        <f t="shared" si="3"/>
        <v>1</v>
      </c>
      <c r="N18" s="2133">
        <f t="shared" si="4"/>
        <v>1</v>
      </c>
      <c r="O18" s="2133">
        <f t="shared" si="5"/>
        <v>1</v>
      </c>
      <c r="P18" s="3460"/>
      <c r="Q18" s="1573"/>
      <c r="R18" s="1574"/>
      <c r="S18" s="1575"/>
      <c r="T18" s="1574"/>
      <c r="U18" s="1575"/>
      <c r="V18" s="1574"/>
      <c r="W18" s="1575"/>
      <c r="X18" s="1568"/>
      <c r="Y18" s="3460"/>
      <c r="Z18" s="1576"/>
      <c r="AA18" s="1577">
        <v>1</v>
      </c>
      <c r="AB18" s="1577">
        <v>1</v>
      </c>
      <c r="AC18" s="1577">
        <v>1</v>
      </c>
    </row>
    <row r="19" spans="1:29" ht="71.25">
      <c r="A19" s="532"/>
      <c r="B19" s="3206" t="s">
        <v>3297</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f t="shared" si="3"/>
        <v>1</v>
      </c>
      <c r="N19" s="2133">
        <f t="shared" si="4"/>
        <v>1</v>
      </c>
      <c r="O19" s="2133">
        <f t="shared" si="5"/>
        <v>1</v>
      </c>
      <c r="P19" s="3460"/>
      <c r="Q19" s="1573" t="str">
        <f>B19</f>
        <v>商业繁华度</v>
      </c>
      <c r="R19" s="1574" t="s">
        <v>8</v>
      </c>
      <c r="S19" s="1575">
        <f>F19</f>
        <v>100</v>
      </c>
      <c r="T19" s="1574" t="s">
        <v>8</v>
      </c>
      <c r="U19" s="1575">
        <f>H19</f>
        <v>100</v>
      </c>
      <c r="V19" s="1574" t="s">
        <v>8</v>
      </c>
      <c r="W19" s="1575">
        <f>J19</f>
        <v>100</v>
      </c>
      <c r="X19" s="1568"/>
      <c r="Y19" s="3460"/>
      <c r="Z19" s="1576" t="str">
        <f>Q19</f>
        <v>商业繁华度</v>
      </c>
      <c r="AA19" s="1577">
        <f t="shared" si="6"/>
        <v>1</v>
      </c>
      <c r="AB19" s="1577">
        <f t="shared" si="7"/>
        <v>1</v>
      </c>
      <c r="AC19" s="1577">
        <f t="shared" si="8"/>
        <v>1</v>
      </c>
    </row>
    <row r="20" spans="1:29" ht="20.25">
      <c r="A20" s="532"/>
      <c r="B20" s="566"/>
      <c r="C20" s="567" t="s">
        <v>3263</v>
      </c>
      <c r="D20" s="563"/>
      <c r="E20" s="569" t="s">
        <v>3263</v>
      </c>
      <c r="F20" s="559"/>
      <c r="G20" s="569" t="s">
        <v>3263</v>
      </c>
      <c r="H20" s="555"/>
      <c r="I20" s="569" t="s">
        <v>3263</v>
      </c>
      <c r="J20" s="555"/>
      <c r="K20" s="531"/>
      <c r="L20" s="2143"/>
      <c r="M20" s="2133">
        <f t="shared" si="3"/>
        <v>1</v>
      </c>
      <c r="N20" s="2133">
        <f t="shared" si="4"/>
        <v>1</v>
      </c>
      <c r="O20" s="2133">
        <f t="shared" si="5"/>
        <v>1</v>
      </c>
      <c r="P20" s="3460"/>
      <c r="Q20" s="1573"/>
      <c r="R20" s="1574"/>
      <c r="S20" s="1575"/>
      <c r="T20" s="1574"/>
      <c r="U20" s="1575"/>
      <c r="V20" s="1574"/>
      <c r="W20" s="1575"/>
      <c r="X20" s="1568"/>
      <c r="Y20" s="346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f t="shared" si="3"/>
        <v>1</v>
      </c>
      <c r="N21" s="2133">
        <f t="shared" si="4"/>
        <v>1</v>
      </c>
      <c r="O21" s="2133">
        <f t="shared" si="5"/>
        <v>1</v>
      </c>
      <c r="P21" s="3460"/>
      <c r="Q21" s="1573" t="str">
        <f>B21</f>
        <v>办公集聚程度</v>
      </c>
      <c r="R21" s="1574" t="s">
        <v>8</v>
      </c>
      <c r="S21" s="1575">
        <f>F21</f>
        <v>100</v>
      </c>
      <c r="T21" s="1574" t="s">
        <v>8</v>
      </c>
      <c r="U21" s="1575">
        <f>H21</f>
        <v>100</v>
      </c>
      <c r="V21" s="1574" t="s">
        <v>8</v>
      </c>
      <c r="W21" s="1575">
        <f>J21</f>
        <v>100</v>
      </c>
      <c r="X21" s="1568"/>
      <c r="Y21" s="3460"/>
      <c r="Z21" s="1576" t="str">
        <f>Q21</f>
        <v>办公集聚程度</v>
      </c>
      <c r="AA21" s="1577">
        <f t="shared" si="6"/>
        <v>1</v>
      </c>
      <c r="AB21" s="1577">
        <f t="shared" si="7"/>
        <v>1</v>
      </c>
      <c r="AC21" s="1577">
        <f t="shared" si="8"/>
        <v>1</v>
      </c>
    </row>
    <row r="22" spans="1:29" ht="20.25" hidden="1">
      <c r="A22" s="532"/>
      <c r="B22" s="566"/>
      <c r="C22" s="554"/>
      <c r="D22" s="557"/>
      <c r="E22" s="558"/>
      <c r="F22" s="555"/>
      <c r="G22" s="556"/>
      <c r="H22" s="555"/>
      <c r="I22" s="558"/>
      <c r="J22" s="555"/>
      <c r="K22" s="531"/>
      <c r="L22" s="2143"/>
      <c r="M22" s="2133">
        <f t="shared" si="3"/>
        <v>1</v>
      </c>
      <c r="N22" s="2133">
        <f t="shared" si="4"/>
        <v>1</v>
      </c>
      <c r="O22" s="2133">
        <f t="shared" si="5"/>
        <v>1</v>
      </c>
      <c r="P22" s="3460"/>
      <c r="Q22" s="1573"/>
      <c r="R22" s="1574"/>
      <c r="S22" s="1575"/>
      <c r="T22" s="1574"/>
      <c r="U22" s="1575"/>
      <c r="V22" s="1574"/>
      <c r="W22" s="1575"/>
      <c r="X22" s="1568"/>
      <c r="Y22" s="346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f t="shared" si="3"/>
        <v>1</v>
      </c>
      <c r="N23" s="2133">
        <f t="shared" si="4"/>
        <v>1</v>
      </c>
      <c r="O23" s="2133">
        <f t="shared" si="5"/>
        <v>1</v>
      </c>
      <c r="P23" s="3460"/>
      <c r="Q23" s="1573" t="str">
        <f>B23</f>
        <v>交通便捷度</v>
      </c>
      <c r="R23" s="1574" t="s">
        <v>8</v>
      </c>
      <c r="S23" s="1575">
        <f>F23</f>
        <v>100</v>
      </c>
      <c r="T23" s="1574" t="s">
        <v>8</v>
      </c>
      <c r="U23" s="1575">
        <f>H23</f>
        <v>100</v>
      </c>
      <c r="V23" s="1574" t="s">
        <v>8</v>
      </c>
      <c r="W23" s="1575">
        <f>J23</f>
        <v>100</v>
      </c>
      <c r="X23" s="1568"/>
      <c r="Y23" s="3460"/>
      <c r="Z23" s="1576" t="str">
        <f>Q23</f>
        <v>交通便捷度</v>
      </c>
      <c r="AA23" s="1577">
        <f t="shared" si="6"/>
        <v>1</v>
      </c>
      <c r="AB23" s="1577">
        <f t="shared" si="7"/>
        <v>1</v>
      </c>
      <c r="AC23" s="1577">
        <f t="shared" si="8"/>
        <v>1</v>
      </c>
    </row>
    <row r="24" spans="1:29" ht="20.25">
      <c r="A24" s="532"/>
      <c r="B24" s="578"/>
      <c r="C24" s="554" t="s">
        <v>3263</v>
      </c>
      <c r="D24" s="557"/>
      <c r="E24" s="554" t="s">
        <v>3263</v>
      </c>
      <c r="F24" s="555"/>
      <c r="G24" s="554" t="s">
        <v>3263</v>
      </c>
      <c r="H24" s="555"/>
      <c r="I24" s="554" t="s">
        <v>3263</v>
      </c>
      <c r="J24" s="555"/>
      <c r="K24" s="531"/>
      <c r="L24" s="2143"/>
      <c r="M24" s="2133">
        <f t="shared" si="3"/>
        <v>1</v>
      </c>
      <c r="N24" s="2133">
        <f t="shared" si="4"/>
        <v>1</v>
      </c>
      <c r="O24" s="2133">
        <f t="shared" si="5"/>
        <v>1</v>
      </c>
      <c r="P24" s="3460"/>
      <c r="Q24" s="1573"/>
      <c r="R24" s="1574"/>
      <c r="S24" s="1575"/>
      <c r="T24" s="1574"/>
      <c r="U24" s="1575"/>
      <c r="V24" s="1574"/>
      <c r="W24" s="1575"/>
      <c r="X24" s="1568"/>
      <c r="Y24" s="346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f t="shared" si="3"/>
        <v>1</v>
      </c>
      <c r="N25" s="2133">
        <f t="shared" si="4"/>
        <v>1</v>
      </c>
      <c r="O25" s="2133">
        <f t="shared" si="5"/>
        <v>1</v>
      </c>
      <c r="P25" s="3460"/>
      <c r="Q25" s="1573" t="str">
        <f t="shared" ref="Q25:Q39" si="11">B25</f>
        <v>区域土地利用方向</v>
      </c>
      <c r="R25" s="1574" t="s">
        <v>8</v>
      </c>
      <c r="S25" s="1575">
        <f>F25</f>
        <v>100</v>
      </c>
      <c r="T25" s="1574" t="s">
        <v>8</v>
      </c>
      <c r="U25" s="1575">
        <f>H25</f>
        <v>100</v>
      </c>
      <c r="V25" s="1574" t="s">
        <v>8</v>
      </c>
      <c r="W25" s="1575">
        <f>J25</f>
        <v>100</v>
      </c>
      <c r="X25" s="1568"/>
      <c r="Y25" s="3460"/>
      <c r="Z25" s="1576" t="str">
        <f>Q25</f>
        <v>区域土地利用方向</v>
      </c>
      <c r="AA25" s="1577">
        <f t="shared" si="6"/>
        <v>1</v>
      </c>
      <c r="AB25" s="1577">
        <f t="shared" si="7"/>
        <v>1</v>
      </c>
      <c r="AC25" s="1577">
        <f t="shared" si="8"/>
        <v>1</v>
      </c>
    </row>
    <row r="26" spans="1:29" ht="20.25">
      <c r="A26" s="515"/>
      <c r="B26" s="1007"/>
      <c r="C26" s="554" t="s">
        <v>3263</v>
      </c>
      <c r="D26" s="557"/>
      <c r="E26" s="554" t="s">
        <v>3263</v>
      </c>
      <c r="F26" s="555"/>
      <c r="G26" s="554" t="s">
        <v>3263</v>
      </c>
      <c r="H26" s="555"/>
      <c r="I26" s="554" t="s">
        <v>3263</v>
      </c>
      <c r="J26" s="555"/>
      <c r="K26" s="531"/>
      <c r="L26" s="2143"/>
      <c r="M26" s="2133">
        <f t="shared" si="3"/>
        <v>0</v>
      </c>
      <c r="N26" s="2133">
        <f t="shared" si="4"/>
        <v>0</v>
      </c>
      <c r="O26" s="2133">
        <f t="shared" si="5"/>
        <v>0</v>
      </c>
      <c r="P26" s="3460"/>
      <c r="Q26" s="1573"/>
      <c r="R26" s="1574"/>
      <c r="S26" s="1575"/>
      <c r="T26" s="1574"/>
      <c r="U26" s="1575"/>
      <c r="V26" s="1574"/>
      <c r="W26" s="1575"/>
      <c r="X26" s="1568"/>
      <c r="Y26" s="346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f t="shared" si="3"/>
        <v>1</v>
      </c>
      <c r="N27" s="2133">
        <f t="shared" si="4"/>
        <v>1</v>
      </c>
      <c r="O27" s="2133">
        <f t="shared" si="5"/>
        <v>1</v>
      </c>
      <c r="P27" s="3460"/>
      <c r="Q27" s="1573" t="str">
        <f t="shared" si="11"/>
        <v>自然及人文环境状况</v>
      </c>
      <c r="R27" s="1574" t="s">
        <v>8</v>
      </c>
      <c r="S27" s="1575">
        <f>F27</f>
        <v>100</v>
      </c>
      <c r="T27" s="1574" t="s">
        <v>8</v>
      </c>
      <c r="U27" s="1575">
        <f>H27</f>
        <v>100</v>
      </c>
      <c r="V27" s="1574" t="s">
        <v>8</v>
      </c>
      <c r="W27" s="1575">
        <f>J27</f>
        <v>100</v>
      </c>
      <c r="X27" s="1568"/>
      <c r="Y27" s="3460"/>
      <c r="Z27" s="1576" t="str">
        <f>Q27</f>
        <v>自然及人文环境状况</v>
      </c>
      <c r="AA27" s="1577">
        <f t="shared" si="6"/>
        <v>1</v>
      </c>
      <c r="AB27" s="1577">
        <f t="shared" si="7"/>
        <v>1</v>
      </c>
      <c r="AC27" s="1577">
        <f t="shared" si="8"/>
        <v>1</v>
      </c>
    </row>
    <row r="28" spans="1:29" ht="20.25">
      <c r="A28" s="515"/>
      <c r="B28" s="566"/>
      <c r="C28" s="554" t="s">
        <v>3263</v>
      </c>
      <c r="D28" s="557"/>
      <c r="E28" s="554" t="s">
        <v>3263</v>
      </c>
      <c r="F28" s="555"/>
      <c r="G28" s="554" t="s">
        <v>3263</v>
      </c>
      <c r="H28" s="555"/>
      <c r="I28" s="554" t="s">
        <v>3263</v>
      </c>
      <c r="J28" s="555"/>
      <c r="K28" s="531"/>
      <c r="L28" s="2143"/>
      <c r="M28" s="2133">
        <f t="shared" si="3"/>
        <v>1</v>
      </c>
      <c r="N28" s="2133">
        <f t="shared" si="4"/>
        <v>1</v>
      </c>
      <c r="O28" s="2133">
        <f t="shared" si="5"/>
        <v>1</v>
      </c>
      <c r="P28" s="3460"/>
      <c r="Q28" s="1573"/>
      <c r="R28" s="1574"/>
      <c r="S28" s="1575"/>
      <c r="T28" s="1574"/>
      <c r="U28" s="1575"/>
      <c r="V28" s="1574"/>
      <c r="W28" s="1575"/>
      <c r="X28" s="1568"/>
      <c r="Y28" s="3460"/>
      <c r="Z28" s="1576"/>
      <c r="AA28" s="1577">
        <v>1</v>
      </c>
      <c r="AB28" s="1577">
        <v>1</v>
      </c>
      <c r="AC28" s="1577">
        <v>1</v>
      </c>
    </row>
    <row r="29" spans="1:29" s="1220" customFormat="1" ht="42.75">
      <c r="A29" s="577"/>
      <c r="B29" s="2592"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5</v>
      </c>
      <c r="L29" s="2136"/>
      <c r="M29" s="2133">
        <f t="shared" si="3"/>
        <v>1</v>
      </c>
      <c r="N29" s="2133">
        <f t="shared" si="4"/>
        <v>1</v>
      </c>
      <c r="O29" s="2133">
        <f t="shared" si="5"/>
        <v>1</v>
      </c>
      <c r="P29" s="3460"/>
      <c r="Q29" s="1151" t="str">
        <f t="shared" si="11"/>
        <v>公共配套设施</v>
      </c>
      <c r="R29" s="1569" t="s">
        <v>8</v>
      </c>
      <c r="S29" s="1570">
        <f>F29</f>
        <v>100</v>
      </c>
      <c r="T29" s="1569" t="s">
        <v>8</v>
      </c>
      <c r="U29" s="1570">
        <f>H29</f>
        <v>100</v>
      </c>
      <c r="V29" s="1569" t="s">
        <v>8</v>
      </c>
      <c r="W29" s="1570">
        <f>J29</f>
        <v>100</v>
      </c>
      <c r="X29" s="1571"/>
      <c r="Y29" s="3460"/>
      <c r="Z29" s="1150" t="str">
        <f>Q29</f>
        <v>公共配套设施</v>
      </c>
      <c r="AA29" s="1577">
        <f>D29/F29</f>
        <v>1</v>
      </c>
      <c r="AB29" s="1577">
        <f>D29/H29</f>
        <v>1</v>
      </c>
      <c r="AC29" s="1577">
        <f>D29/J29</f>
        <v>1</v>
      </c>
    </row>
    <row r="30" spans="1:29" s="1220" customFormat="1" ht="20.25">
      <c r="A30" s="577"/>
      <c r="B30" s="566"/>
      <c r="C30" s="579" t="s">
        <v>3263</v>
      </c>
      <c r="D30" s="557"/>
      <c r="E30" s="579" t="s">
        <v>3263</v>
      </c>
      <c r="F30" s="555"/>
      <c r="G30" s="579" t="s">
        <v>3263</v>
      </c>
      <c r="H30" s="555"/>
      <c r="I30" s="579" t="s">
        <v>3263</v>
      </c>
      <c r="J30" s="555"/>
      <c r="K30" s="531"/>
      <c r="L30" s="2136"/>
      <c r="M30" s="2133">
        <f t="shared" si="3"/>
        <v>1</v>
      </c>
      <c r="N30" s="2133">
        <f t="shared" si="4"/>
        <v>1</v>
      </c>
      <c r="O30" s="2133">
        <f t="shared" si="5"/>
        <v>1</v>
      </c>
      <c r="P30" s="3460"/>
      <c r="Q30" s="1151"/>
      <c r="R30" s="1569"/>
      <c r="S30" s="1570"/>
      <c r="T30" s="1569"/>
      <c r="U30" s="1570"/>
      <c r="V30" s="1569"/>
      <c r="W30" s="1570"/>
      <c r="X30" s="1571"/>
      <c r="Y30" s="3460"/>
      <c r="Z30" s="1150"/>
      <c r="AA30" s="1577">
        <v>1</v>
      </c>
      <c r="AB30" s="1577">
        <v>1</v>
      </c>
      <c r="AC30" s="1577">
        <v>1</v>
      </c>
    </row>
    <row r="31" spans="1:29" s="1220" customFormat="1" ht="28.5">
      <c r="A31" s="577"/>
      <c r="B31" s="2592"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f t="shared" si="3"/>
        <v>1</v>
      </c>
      <c r="N31" s="2133">
        <f t="shared" si="4"/>
        <v>1</v>
      </c>
      <c r="O31" s="2133">
        <f t="shared" si="5"/>
        <v>1</v>
      </c>
      <c r="P31" s="3460"/>
      <c r="Q31" s="2579" t="str">
        <f t="shared" ref="Q31" si="12">B31</f>
        <v>基础设施水平</v>
      </c>
      <c r="R31" s="1569" t="s">
        <v>8</v>
      </c>
      <c r="S31" s="1570">
        <f>F31</f>
        <v>100</v>
      </c>
      <c r="T31" s="1569" t="s">
        <v>8</v>
      </c>
      <c r="U31" s="1570">
        <f>H31</f>
        <v>100</v>
      </c>
      <c r="V31" s="1569" t="s">
        <v>8</v>
      </c>
      <c r="W31" s="1570">
        <f>J31</f>
        <v>100</v>
      </c>
      <c r="X31" s="1571"/>
      <c r="Y31" s="3460"/>
      <c r="Z31" s="2576" t="str">
        <f>Q31</f>
        <v>基础设施水平</v>
      </c>
      <c r="AA31" s="1577">
        <f>D31/F31</f>
        <v>1</v>
      </c>
      <c r="AB31" s="1577">
        <f>D31/H31</f>
        <v>1</v>
      </c>
      <c r="AC31" s="1577">
        <f>D31/J31</f>
        <v>1</v>
      </c>
    </row>
    <row r="32" spans="1:29" s="1220" customFormat="1" ht="20.25">
      <c r="A32" s="577"/>
      <c r="B32" s="566"/>
      <c r="C32" s="579" t="s">
        <v>3283</v>
      </c>
      <c r="D32" s="557"/>
      <c r="E32" s="579" t="s">
        <v>3283</v>
      </c>
      <c r="F32" s="555"/>
      <c r="G32" s="579" t="s">
        <v>3283</v>
      </c>
      <c r="H32" s="555"/>
      <c r="I32" s="579" t="s">
        <v>3283</v>
      </c>
      <c r="J32" s="555"/>
      <c r="K32" s="531"/>
      <c r="L32" s="2136"/>
      <c r="M32" s="2133">
        <f t="shared" si="3"/>
        <v>1</v>
      </c>
      <c r="N32" s="2133">
        <f t="shared" si="4"/>
        <v>1</v>
      </c>
      <c r="O32" s="2133">
        <f t="shared" si="5"/>
        <v>1</v>
      </c>
      <c r="P32" s="3460"/>
      <c r="Q32" s="2579"/>
      <c r="R32" s="1569"/>
      <c r="S32" s="1570"/>
      <c r="T32" s="1569"/>
      <c r="U32" s="1570"/>
      <c r="V32" s="1569"/>
      <c r="W32" s="1570"/>
      <c r="X32" s="1571"/>
      <c r="Y32" s="3460"/>
      <c r="Z32" s="2576"/>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f t="shared" si="3"/>
        <v>1</v>
      </c>
      <c r="N33" s="2133">
        <f t="shared" si="4"/>
        <v>1</v>
      </c>
      <c r="O33" s="2133">
        <f t="shared" si="5"/>
        <v>1</v>
      </c>
      <c r="P33" s="3460"/>
      <c r="Q33" s="1573" t="str">
        <f t="shared" si="11"/>
        <v>临街状况</v>
      </c>
      <c r="R33" s="1574" t="s">
        <v>8</v>
      </c>
      <c r="S33" s="1575">
        <f t="shared" ref="S33:S47" si="13">F33</f>
        <v>100</v>
      </c>
      <c r="T33" s="1574" t="s">
        <v>8</v>
      </c>
      <c r="U33" s="1575">
        <f t="shared" ref="U33:U47" si="14">H33</f>
        <v>100</v>
      </c>
      <c r="V33" s="1574" t="s">
        <v>8</v>
      </c>
      <c r="W33" s="1575">
        <f t="shared" ref="W33:W47" si="15">J33</f>
        <v>100</v>
      </c>
      <c r="X33" s="1568"/>
      <c r="Y33" s="3460"/>
      <c r="Z33" s="1576" t="str">
        <f t="shared" ref="Z33:Z47" si="16">Q33</f>
        <v>临街状况</v>
      </c>
      <c r="AA33" s="1577">
        <f t="shared" si="6"/>
        <v>1</v>
      </c>
      <c r="AB33" s="1577">
        <f t="shared" si="7"/>
        <v>1</v>
      </c>
      <c r="AC33" s="1577">
        <f t="shared" si="8"/>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f t="shared" si="3"/>
        <v>1</v>
      </c>
      <c r="N34" s="2133">
        <f t="shared" si="4"/>
        <v>1</v>
      </c>
      <c r="O34" s="2133">
        <f t="shared" si="5"/>
        <v>1</v>
      </c>
      <c r="P34" s="3460"/>
      <c r="Q34" s="1573" t="str">
        <f t="shared" si="11"/>
        <v>毗邻道路的类型与等级</v>
      </c>
      <c r="R34" s="1574" t="s">
        <v>8</v>
      </c>
      <c r="S34" s="1575">
        <f t="shared" si="13"/>
        <v>100</v>
      </c>
      <c r="T34" s="1574" t="s">
        <v>8</v>
      </c>
      <c r="U34" s="1575">
        <f t="shared" si="14"/>
        <v>100</v>
      </c>
      <c r="V34" s="1574" t="s">
        <v>8</v>
      </c>
      <c r="W34" s="1575">
        <f t="shared" si="15"/>
        <v>100</v>
      </c>
      <c r="X34" s="1568"/>
      <c r="Y34" s="3460"/>
      <c r="Z34" s="1576" t="str">
        <f t="shared" si="16"/>
        <v>毗邻道路的类型与等级</v>
      </c>
      <c r="AA34" s="1577">
        <f t="shared" si="6"/>
        <v>1</v>
      </c>
      <c r="AB34" s="1577">
        <f t="shared" si="7"/>
        <v>1</v>
      </c>
      <c r="AC34" s="1577">
        <f t="shared" si="8"/>
        <v>1</v>
      </c>
    </row>
    <row r="35" spans="1:29" ht="21" thickBot="1">
      <c r="A35" s="532"/>
      <c r="B35" s="566"/>
      <c r="C35" s="554" t="s">
        <v>3285</v>
      </c>
      <c r="D35" s="557"/>
      <c r="E35" s="554" t="s">
        <v>3285</v>
      </c>
      <c r="F35" s="555"/>
      <c r="G35" s="554" t="s">
        <v>3285</v>
      </c>
      <c r="H35" s="555"/>
      <c r="I35" s="554" t="s">
        <v>3285</v>
      </c>
      <c r="J35" s="555"/>
      <c r="K35" s="581"/>
      <c r="L35" s="2143"/>
      <c r="M35" s="2133">
        <f t="shared" si="3"/>
        <v>1</v>
      </c>
      <c r="N35" s="2133">
        <f t="shared" si="4"/>
        <v>1</v>
      </c>
      <c r="O35" s="2133">
        <f t="shared" si="5"/>
        <v>1</v>
      </c>
      <c r="P35" s="3460"/>
      <c r="Q35" s="1573"/>
      <c r="R35" s="1574"/>
      <c r="S35" s="1575"/>
      <c r="T35" s="1574"/>
      <c r="U35" s="1575"/>
      <c r="V35" s="1574"/>
      <c r="W35" s="1575"/>
      <c r="X35" s="1568"/>
      <c r="Y35" s="346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f t="shared" si="3"/>
        <v>1</v>
      </c>
      <c r="N36" s="2133">
        <f t="shared" si="4"/>
        <v>1</v>
      </c>
      <c r="O36" s="2133">
        <f t="shared" si="5"/>
        <v>1</v>
      </c>
      <c r="P36" s="3460"/>
      <c r="Q36" s="1573" t="str">
        <f t="shared" si="11"/>
        <v>土地级别</v>
      </c>
      <c r="R36" s="1574" t="s">
        <v>8</v>
      </c>
      <c r="S36" s="1575">
        <f t="shared" si="13"/>
        <v>100</v>
      </c>
      <c r="T36" s="1574" t="s">
        <v>8</v>
      </c>
      <c r="U36" s="1575">
        <f t="shared" si="14"/>
        <v>100</v>
      </c>
      <c r="V36" s="1574" t="s">
        <v>8</v>
      </c>
      <c r="W36" s="1575">
        <f t="shared" si="15"/>
        <v>100</v>
      </c>
      <c r="X36" s="1568"/>
      <c r="Y36" s="3460"/>
      <c r="Z36" s="1576" t="str">
        <f t="shared" si="16"/>
        <v>土地级别</v>
      </c>
      <c r="AA36" s="1577">
        <f t="shared" si="6"/>
        <v>1</v>
      </c>
      <c r="AB36" s="1577">
        <f t="shared" si="7"/>
        <v>1</v>
      </c>
      <c r="AC36" s="1577">
        <f t="shared" si="8"/>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f t="shared" si="3"/>
        <v>1</v>
      </c>
      <c r="N37" s="2133">
        <f t="shared" si="4"/>
        <v>1</v>
      </c>
      <c r="O37" s="2133">
        <f t="shared" si="5"/>
        <v>1</v>
      </c>
      <c r="P37" s="3460"/>
      <c r="Q37" s="1573">
        <f t="shared" si="11"/>
        <v>111</v>
      </c>
      <c r="R37" s="1574" t="s">
        <v>8</v>
      </c>
      <c r="S37" s="1575">
        <f t="shared" si="13"/>
        <v>100</v>
      </c>
      <c r="T37" s="1574" t="s">
        <v>8</v>
      </c>
      <c r="U37" s="1575">
        <f t="shared" si="14"/>
        <v>100</v>
      </c>
      <c r="V37" s="1574" t="s">
        <v>8</v>
      </c>
      <c r="W37" s="1575">
        <f t="shared" si="15"/>
        <v>100</v>
      </c>
      <c r="X37" s="1568"/>
      <c r="Y37" s="3460"/>
      <c r="Z37" s="1576">
        <f t="shared" si="16"/>
        <v>111</v>
      </c>
      <c r="AA37" s="1577">
        <f t="shared" si="6"/>
        <v>1</v>
      </c>
      <c r="AB37" s="1577">
        <f t="shared" si="7"/>
        <v>1</v>
      </c>
      <c r="AC37" s="1577">
        <f t="shared" si="8"/>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f t="shared" si="3"/>
        <v>1</v>
      </c>
      <c r="N38" s="2133">
        <f t="shared" si="4"/>
        <v>1</v>
      </c>
      <c r="O38" s="2133">
        <f t="shared" si="5"/>
        <v>1</v>
      </c>
      <c r="P38" s="3461" t="s">
        <v>550</v>
      </c>
      <c r="Q38" s="1573">
        <f t="shared" si="11"/>
        <v>111</v>
      </c>
      <c r="R38" s="1574" t="s">
        <v>8</v>
      </c>
      <c r="S38" s="1575">
        <f t="shared" si="13"/>
        <v>100</v>
      </c>
      <c r="T38" s="1574" t="s">
        <v>8</v>
      </c>
      <c r="U38" s="1575">
        <f t="shared" si="14"/>
        <v>100</v>
      </c>
      <c r="V38" s="1574" t="s">
        <v>8</v>
      </c>
      <c r="W38" s="1575">
        <f t="shared" si="15"/>
        <v>100</v>
      </c>
      <c r="X38" s="1568"/>
      <c r="Y38" s="3462" t="s">
        <v>550</v>
      </c>
      <c r="Z38" s="1576">
        <f t="shared" si="16"/>
        <v>111</v>
      </c>
      <c r="AA38" s="1577">
        <f t="shared" si="6"/>
        <v>1</v>
      </c>
      <c r="AB38" s="1577">
        <f t="shared" si="7"/>
        <v>1</v>
      </c>
      <c r="AC38" s="1577">
        <f t="shared" si="8"/>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f t="shared" si="3"/>
        <v>1</v>
      </c>
      <c r="N39" s="2133">
        <f t="shared" si="4"/>
        <v>1</v>
      </c>
      <c r="O39" s="2133">
        <f t="shared" si="5"/>
        <v>1</v>
      </c>
      <c r="P39" s="3462"/>
      <c r="Q39" s="1573">
        <f t="shared" si="11"/>
        <v>111</v>
      </c>
      <c r="R39" s="1578" t="s">
        <v>8</v>
      </c>
      <c r="S39" s="1579">
        <f t="shared" si="13"/>
        <v>100</v>
      </c>
      <c r="T39" s="1578" t="s">
        <v>8</v>
      </c>
      <c r="U39" s="1579">
        <f t="shared" si="14"/>
        <v>100</v>
      </c>
      <c r="V39" s="1578" t="s">
        <v>8</v>
      </c>
      <c r="W39" s="1579">
        <f t="shared" si="15"/>
        <v>100</v>
      </c>
      <c r="X39" s="1580"/>
      <c r="Y39" s="3462"/>
      <c r="Z39" s="1581">
        <f t="shared" si="16"/>
        <v>111</v>
      </c>
      <c r="AA39" s="1577">
        <f t="shared" si="6"/>
        <v>1</v>
      </c>
      <c r="AB39" s="1577">
        <f t="shared" si="7"/>
        <v>1</v>
      </c>
      <c r="AC39" s="1577">
        <f t="shared" si="8"/>
        <v>1</v>
      </c>
    </row>
    <row r="40" spans="1:29" ht="20.25">
      <c r="A40" s="2908" t="s">
        <v>2754</v>
      </c>
      <c r="B40" s="595" t="s">
        <v>552</v>
      </c>
      <c r="C40" s="596">
        <f>'数据-基础表'!A3</f>
        <v>35272</v>
      </c>
      <c r="D40" s="597">
        <v>100</v>
      </c>
      <c r="E40" s="596">
        <f>案例!H5</f>
        <v>116662</v>
      </c>
      <c r="F40" s="597">
        <f>LOOKUP(E40,119:119,120:120)-LOOKUP(C40,119:119,120:120)+100</f>
        <v>101</v>
      </c>
      <c r="G40" s="596">
        <f>案例!H8</f>
        <v>129333.7</v>
      </c>
      <c r="H40" s="597">
        <f>LOOKUP(G40,119:119,120:120)-LOOKUP(C40,119:119,120:120)+100</f>
        <v>101</v>
      </c>
      <c r="I40" s="598">
        <f>案例!H13</f>
        <v>91572.4</v>
      </c>
      <c r="J40" s="597">
        <f>LOOKUP(I40,119:119,120:120)-LOOKUP(C40,119:119,120:120)+100</f>
        <v>100</v>
      </c>
      <c r="K40" s="581"/>
      <c r="L40" s="2143"/>
      <c r="M40" s="2133">
        <f t="shared" si="3"/>
        <v>0.99009900990099009</v>
      </c>
      <c r="N40" s="2133">
        <f t="shared" si="4"/>
        <v>0.99009900990099009</v>
      </c>
      <c r="O40" s="2133">
        <f t="shared" si="5"/>
        <v>1</v>
      </c>
      <c r="P40" s="3462"/>
      <c r="Q40" s="1573" t="str">
        <f>B40</f>
        <v>宗地面积</v>
      </c>
      <c r="R40" s="1574" t="s">
        <v>8</v>
      </c>
      <c r="S40" s="1575">
        <f t="shared" si="13"/>
        <v>101</v>
      </c>
      <c r="T40" s="1574" t="s">
        <v>8</v>
      </c>
      <c r="U40" s="1575">
        <f t="shared" si="14"/>
        <v>101</v>
      </c>
      <c r="V40" s="1574" t="s">
        <v>8</v>
      </c>
      <c r="W40" s="1575">
        <f t="shared" si="15"/>
        <v>100</v>
      </c>
      <c r="X40" s="1568"/>
      <c r="Y40" s="3462"/>
      <c r="Z40" s="1576" t="str">
        <f t="shared" si="16"/>
        <v>宗地面积</v>
      </c>
      <c r="AA40" s="1577">
        <f t="shared" si="6"/>
        <v>0.99009900990099009</v>
      </c>
      <c r="AB40" s="1577">
        <f t="shared" si="7"/>
        <v>0.99009900990099009</v>
      </c>
      <c r="AC40" s="1577">
        <f t="shared" si="8"/>
        <v>1</v>
      </c>
    </row>
    <row r="41" spans="1:29" ht="20.25">
      <c r="A41" s="594"/>
      <c r="B41" s="527" t="s">
        <v>553</v>
      </c>
      <c r="C41" s="599" t="s">
        <v>3280</v>
      </c>
      <c r="D41" s="540">
        <v>100</v>
      </c>
      <c r="E41" s="599" t="s">
        <v>3280</v>
      </c>
      <c r="F41" s="540">
        <f>SUMIF(121:121,E41,122:122)-SUMIF(121:121,C41,122:122)+100</f>
        <v>100</v>
      </c>
      <c r="G41" s="599" t="s">
        <v>3280</v>
      </c>
      <c r="H41" s="540">
        <f>SUMIF(121:121,G41,122:122)-SUMIF(121:121,C41,122:122)+100</f>
        <v>100</v>
      </c>
      <c r="I41" s="599" t="s">
        <v>3280</v>
      </c>
      <c r="J41" s="540">
        <f>SUMIF(121:121,I41,122:122)-SUMIF(121:121,C41,122:122)+100</f>
        <v>100</v>
      </c>
      <c r="K41" s="584">
        <v>2</v>
      </c>
      <c r="L41" s="2143"/>
      <c r="M41" s="2133">
        <f t="shared" si="3"/>
        <v>1</v>
      </c>
      <c r="N41" s="2133">
        <f t="shared" si="4"/>
        <v>1</v>
      </c>
      <c r="O41" s="2133">
        <f t="shared" si="5"/>
        <v>1</v>
      </c>
      <c r="P41" s="3462"/>
      <c r="Q41" s="1573" t="str">
        <f t="shared" ref="Q41:Q47" si="17">B41</f>
        <v>宗地形状</v>
      </c>
      <c r="R41" s="1574" t="s">
        <v>8</v>
      </c>
      <c r="S41" s="1575">
        <f t="shared" si="13"/>
        <v>100</v>
      </c>
      <c r="T41" s="1574" t="s">
        <v>8</v>
      </c>
      <c r="U41" s="1575">
        <f t="shared" si="14"/>
        <v>100</v>
      </c>
      <c r="V41" s="1574" t="s">
        <v>8</v>
      </c>
      <c r="W41" s="1575">
        <f t="shared" si="15"/>
        <v>100</v>
      </c>
      <c r="X41" s="1568"/>
      <c r="Y41" s="3462"/>
      <c r="Z41" s="1576" t="str">
        <f t="shared" si="16"/>
        <v>宗地形状</v>
      </c>
      <c r="AA41" s="1577">
        <f t="shared" si="6"/>
        <v>1</v>
      </c>
      <c r="AB41" s="1577">
        <f t="shared" si="7"/>
        <v>1</v>
      </c>
      <c r="AC41" s="1577">
        <f t="shared" si="8"/>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f t="shared" si="3"/>
        <v>1</v>
      </c>
      <c r="N42" s="2133">
        <f t="shared" si="4"/>
        <v>1</v>
      </c>
      <c r="O42" s="2133">
        <f t="shared" si="5"/>
        <v>1</v>
      </c>
      <c r="P42" s="3462"/>
      <c r="Q42" s="1573" t="str">
        <f t="shared" si="17"/>
        <v>临街宽度及深度</v>
      </c>
      <c r="R42" s="1574" t="s">
        <v>8</v>
      </c>
      <c r="S42" s="1575">
        <f t="shared" si="13"/>
        <v>100</v>
      </c>
      <c r="T42" s="1574" t="s">
        <v>8</v>
      </c>
      <c r="U42" s="1575">
        <f t="shared" si="14"/>
        <v>100</v>
      </c>
      <c r="V42" s="1574" t="s">
        <v>8</v>
      </c>
      <c r="W42" s="1575">
        <f t="shared" si="15"/>
        <v>100</v>
      </c>
      <c r="X42" s="1568"/>
      <c r="Y42" s="3462"/>
      <c r="Z42" s="1576" t="str">
        <f t="shared" si="16"/>
        <v>临街宽度及深度</v>
      </c>
      <c r="AA42" s="1577">
        <f t="shared" si="6"/>
        <v>1</v>
      </c>
      <c r="AB42" s="1577">
        <f t="shared" si="7"/>
        <v>1</v>
      </c>
      <c r="AC42" s="1577">
        <f t="shared" si="8"/>
        <v>1</v>
      </c>
    </row>
    <row r="43" spans="1:29" s="1220" customFormat="1" ht="20.25">
      <c r="A43" s="600"/>
      <c r="B43" s="1896" t="s">
        <v>2424</v>
      </c>
      <c r="C43" s="601" t="s">
        <v>3283</v>
      </c>
      <c r="D43" s="255">
        <v>100</v>
      </c>
      <c r="E43" s="601" t="s">
        <v>3283</v>
      </c>
      <c r="F43" s="540">
        <f>SUMIF(125:125,E43,126:126)-SUMIF(125:125,C43,126:126)+100</f>
        <v>100</v>
      </c>
      <c r="G43" s="601" t="s">
        <v>3283</v>
      </c>
      <c r="H43" s="540">
        <f>SUMIF(125:125,G43,126:126)-SUMIF(125:125,C43,126:126)+100</f>
        <v>100</v>
      </c>
      <c r="I43" s="601" t="s">
        <v>3283</v>
      </c>
      <c r="J43" s="540">
        <f>SUMIF(125:125,I43,126:126)-SUMIF(125:125,C43,126:126)+100</f>
        <v>100</v>
      </c>
      <c r="K43" s="584">
        <v>2</v>
      </c>
      <c r="L43" s="2136"/>
      <c r="M43" s="2133">
        <f t="shared" si="3"/>
        <v>1</v>
      </c>
      <c r="N43" s="2133">
        <f t="shared" si="4"/>
        <v>1</v>
      </c>
      <c r="O43" s="2133">
        <f t="shared" si="5"/>
        <v>1</v>
      </c>
      <c r="P43" s="3462"/>
      <c r="Q43" s="1573" t="str">
        <f t="shared" si="17"/>
        <v>宗地开发程度</v>
      </c>
      <c r="R43" s="1569" t="s">
        <v>8</v>
      </c>
      <c r="S43" s="1570">
        <f t="shared" si="13"/>
        <v>100</v>
      </c>
      <c r="T43" s="1569" t="s">
        <v>8</v>
      </c>
      <c r="U43" s="1570">
        <f t="shared" si="14"/>
        <v>100</v>
      </c>
      <c r="V43" s="1569" t="s">
        <v>8</v>
      </c>
      <c r="W43" s="1570">
        <f t="shared" si="15"/>
        <v>100</v>
      </c>
      <c r="X43" s="1571"/>
      <c r="Y43" s="3462"/>
      <c r="Z43" s="1150" t="str">
        <f t="shared" si="16"/>
        <v>宗地开发程度</v>
      </c>
      <c r="AA43" s="1572">
        <f t="shared" si="6"/>
        <v>1</v>
      </c>
      <c r="AB43" s="1572">
        <f t="shared" si="7"/>
        <v>1</v>
      </c>
      <c r="AC43" s="1572">
        <f t="shared" si="8"/>
        <v>1</v>
      </c>
    </row>
    <row r="44" spans="1:29" ht="21" thickBot="1">
      <c r="A44" s="594"/>
      <c r="B44" s="527" t="s">
        <v>555</v>
      </c>
      <c r="C44" s="599" t="s">
        <v>3262</v>
      </c>
      <c r="D44" s="540">
        <v>100</v>
      </c>
      <c r="E44" s="599" t="s">
        <v>3262</v>
      </c>
      <c r="F44" s="540">
        <f>SUMIF(127:127,E44,128:128)-SUMIF(127:127,C44,128:128)+100</f>
        <v>100</v>
      </c>
      <c r="G44" s="599" t="s">
        <v>3262</v>
      </c>
      <c r="H44" s="540">
        <f>SUMIF(127:127,G44,128:128)-SUMIF(127:127,C44,128:128)+100</f>
        <v>100</v>
      </c>
      <c r="I44" s="599" t="s">
        <v>3262</v>
      </c>
      <c r="J44" s="540">
        <f>SUMIF(127:127,I44,128:128)-SUMIF(127:127,C44,128:128)+100</f>
        <v>100</v>
      </c>
      <c r="K44" s="584">
        <v>2</v>
      </c>
      <c r="L44" s="2143"/>
      <c r="M44" s="2133">
        <f t="shared" si="3"/>
        <v>1</v>
      </c>
      <c r="N44" s="2133">
        <f t="shared" si="4"/>
        <v>1</v>
      </c>
      <c r="O44" s="2133">
        <f t="shared" si="5"/>
        <v>1</v>
      </c>
      <c r="P44" s="3462" t="s">
        <v>550</v>
      </c>
      <c r="Q44" s="1573" t="str">
        <f t="shared" si="17"/>
        <v>工程地质条件</v>
      </c>
      <c r="R44" s="1574" t="s">
        <v>8</v>
      </c>
      <c r="S44" s="1575">
        <f t="shared" si="13"/>
        <v>100</v>
      </c>
      <c r="T44" s="1574" t="s">
        <v>8</v>
      </c>
      <c r="U44" s="1575">
        <f t="shared" si="14"/>
        <v>100</v>
      </c>
      <c r="V44" s="1574" t="s">
        <v>8</v>
      </c>
      <c r="W44" s="1575">
        <f t="shared" si="15"/>
        <v>100</v>
      </c>
      <c r="X44" s="1568"/>
      <c r="Y44" s="3462" t="s">
        <v>550</v>
      </c>
      <c r="Z44" s="1576" t="str">
        <f t="shared" si="16"/>
        <v>工程地质条件</v>
      </c>
      <c r="AA44" s="1577">
        <f t="shared" si="6"/>
        <v>1</v>
      </c>
      <c r="AB44" s="1577">
        <f t="shared" si="7"/>
        <v>1</v>
      </c>
      <c r="AC44" s="1577">
        <f t="shared" si="8"/>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62"/>
      <c r="Q45" s="1573">
        <f t="shared" si="17"/>
        <v>111</v>
      </c>
      <c r="R45" s="1574" t="s">
        <v>8</v>
      </c>
      <c r="S45" s="1575">
        <f t="shared" si="13"/>
        <v>100</v>
      </c>
      <c r="T45" s="1574" t="s">
        <v>8</v>
      </c>
      <c r="U45" s="1575">
        <f t="shared" si="14"/>
        <v>100</v>
      </c>
      <c r="V45" s="1574" t="s">
        <v>8</v>
      </c>
      <c r="W45" s="1575">
        <f t="shared" si="15"/>
        <v>100</v>
      </c>
      <c r="X45" s="1568"/>
      <c r="Y45" s="3462"/>
      <c r="Z45" s="1576">
        <f t="shared" si="16"/>
        <v>111</v>
      </c>
      <c r="AA45" s="1577">
        <f t="shared" si="6"/>
        <v>1</v>
      </c>
      <c r="AB45" s="1577">
        <f t="shared" si="7"/>
        <v>1</v>
      </c>
      <c r="AC45" s="1577">
        <f t="shared" si="8"/>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62"/>
      <c r="Q46" s="1573">
        <f t="shared" si="17"/>
        <v>111</v>
      </c>
      <c r="R46" s="1574" t="s">
        <v>8</v>
      </c>
      <c r="S46" s="1575">
        <f t="shared" si="13"/>
        <v>100</v>
      </c>
      <c r="T46" s="1574" t="s">
        <v>8</v>
      </c>
      <c r="U46" s="1575">
        <f t="shared" si="14"/>
        <v>100</v>
      </c>
      <c r="V46" s="1574" t="s">
        <v>8</v>
      </c>
      <c r="W46" s="1575">
        <f t="shared" si="15"/>
        <v>100</v>
      </c>
      <c r="X46" s="1568"/>
      <c r="Y46" s="3462"/>
      <c r="Z46" s="1576">
        <f t="shared" si="16"/>
        <v>111</v>
      </c>
      <c r="AA46" s="1577">
        <f t="shared" si="6"/>
        <v>1</v>
      </c>
      <c r="AB46" s="1577">
        <f t="shared" si="7"/>
        <v>1</v>
      </c>
      <c r="AC46" s="1577">
        <f t="shared" si="8"/>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62"/>
      <c r="Q47" s="1573">
        <f t="shared" si="17"/>
        <v>111</v>
      </c>
      <c r="R47" s="1578" t="s">
        <v>8</v>
      </c>
      <c r="S47" s="1579">
        <f t="shared" si="13"/>
        <v>100</v>
      </c>
      <c r="T47" s="1578" t="s">
        <v>8</v>
      </c>
      <c r="U47" s="1579">
        <f t="shared" si="14"/>
        <v>100</v>
      </c>
      <c r="V47" s="1578" t="s">
        <v>8</v>
      </c>
      <c r="W47" s="1579">
        <f t="shared" si="15"/>
        <v>100</v>
      </c>
      <c r="X47" s="1580"/>
      <c r="Y47" s="3462"/>
      <c r="Z47" s="1581">
        <f t="shared" si="16"/>
        <v>111</v>
      </c>
      <c r="AA47" s="1577">
        <f t="shared" si="6"/>
        <v>1</v>
      </c>
      <c r="AB47" s="1577">
        <f t="shared" si="7"/>
        <v>1</v>
      </c>
      <c r="AC47" s="1577">
        <f t="shared" si="8"/>
        <v>1</v>
      </c>
    </row>
    <row r="48" spans="1:29" ht="20.25">
      <c r="A48" s="607" t="s">
        <v>556</v>
      </c>
      <c r="B48" s="608" t="s">
        <v>3261</v>
      </c>
      <c r="C48" s="609" t="s">
        <v>1</v>
      </c>
      <c r="D48" s="610"/>
      <c r="E48" s="611">
        <v>4868</v>
      </c>
      <c r="F48" s="612"/>
      <c r="G48" s="613">
        <v>4000</v>
      </c>
      <c r="H48" s="614"/>
      <c r="I48" s="611">
        <v>4913</v>
      </c>
      <c r="J48" s="614"/>
      <c r="K48" s="1340"/>
      <c r="L48" s="2145"/>
      <c r="M48" s="2133"/>
      <c r="N48" s="2133"/>
      <c r="O48" s="2146"/>
      <c r="P48" s="3457" t="str">
        <f>A48</f>
        <v>成交单价</v>
      </c>
      <c r="Q48" s="3457"/>
      <c r="R48" s="3471">
        <f>E48</f>
        <v>4868</v>
      </c>
      <c r="S48" s="3471"/>
      <c r="T48" s="3471">
        <f>G48</f>
        <v>4000</v>
      </c>
      <c r="U48" s="3471"/>
      <c r="V48" s="3471">
        <f>I48</f>
        <v>4913</v>
      </c>
      <c r="W48" s="3471"/>
      <c r="X48" s="1560"/>
      <c r="Y48" s="1582"/>
      <c r="Z48" s="1560"/>
      <c r="AA48" s="1560"/>
      <c r="AB48" s="1560"/>
      <c r="AC48" s="1560"/>
    </row>
    <row r="49" spans="1:29" ht="21" thickBot="1">
      <c r="A49" s="615" t="s">
        <v>2692</v>
      </c>
      <c r="B49" s="616"/>
      <c r="C49" s="617">
        <f>R50</f>
        <v>4935</v>
      </c>
      <c r="D49" s="618"/>
      <c r="E49" s="617">
        <f>R49</f>
        <v>5249</v>
      </c>
      <c r="F49" s="619"/>
      <c r="G49" s="620">
        <f>T49</f>
        <v>4313</v>
      </c>
      <c r="H49" s="618"/>
      <c r="I49" s="617">
        <f>V49</f>
        <v>5243</v>
      </c>
      <c r="J49" s="618"/>
      <c r="K49" s="1341"/>
      <c r="L49" s="2145"/>
      <c r="M49" s="2133"/>
      <c r="N49" s="2133"/>
      <c r="O49" s="2146"/>
      <c r="P49" s="3457" t="str">
        <f>A49</f>
        <v>比较价格（元/平方米）</v>
      </c>
      <c r="Q49" s="3457"/>
      <c r="R49" s="3481">
        <f>ROUND(PRODUCT(R48,AA9:AA47),0)</f>
        <v>5249</v>
      </c>
      <c r="S49" s="3481"/>
      <c r="T49" s="3481">
        <f>ROUND(PRODUCT(T48,AB9:AB47),0)</f>
        <v>4313</v>
      </c>
      <c r="U49" s="3481"/>
      <c r="V49" s="3481">
        <f>ROUND(PRODUCT(V48,AC9:AC47),0)</f>
        <v>5243</v>
      </c>
      <c r="W49" s="3481"/>
      <c r="X49" s="1560"/>
      <c r="Y49" s="1560"/>
      <c r="Z49" s="1560"/>
      <c r="AA49" s="1560"/>
      <c r="AB49" s="1560"/>
      <c r="AC49" s="1560"/>
    </row>
    <row r="50" spans="1:29" ht="21" thickBot="1">
      <c r="A50" s="621" t="s">
        <v>2926</v>
      </c>
      <c r="B50" s="622"/>
      <c r="C50" s="623">
        <f>R50</f>
        <v>4935</v>
      </c>
      <c r="D50" s="623"/>
      <c r="E50" s="623"/>
      <c r="F50" s="623"/>
      <c r="G50" s="623"/>
      <c r="H50" s="623"/>
      <c r="I50" s="623"/>
      <c r="J50" s="623"/>
      <c r="K50" s="1342"/>
      <c r="L50" s="2145"/>
      <c r="M50" s="2133"/>
      <c r="N50" s="2133"/>
      <c r="O50" s="2146"/>
      <c r="P50" s="3478" t="str">
        <f>A50</f>
        <v>估价对象XX用房的比较价格（楼面单价，元/平方米）</v>
      </c>
      <c r="Q50" s="3479"/>
      <c r="R50" s="3480">
        <f>ROUND(AVERAGE(R49:V49),0)</f>
        <v>4935</v>
      </c>
      <c r="S50" s="3480"/>
      <c r="T50" s="3480"/>
      <c r="U50" s="3480"/>
      <c r="V50" s="3480"/>
      <c r="W50" s="3480"/>
      <c r="X50" s="1560"/>
      <c r="Y50" s="1560"/>
      <c r="Z50" s="1560"/>
      <c r="AA50" s="1560"/>
      <c r="AB50" s="1560"/>
      <c r="AC50" s="1560"/>
    </row>
    <row r="51" spans="1:29" ht="20.25">
      <c r="A51" s="2146"/>
      <c r="B51" s="2146"/>
      <c r="C51" s="3207">
        <f>ROUND((E51+G51+I51)/3,0)</f>
        <v>4935</v>
      </c>
      <c r="D51" s="2146"/>
      <c r="E51" s="2146">
        <f>ROUND(E48*M9*M10*M11*M12*M13*M15*M16*M17*M18*M19*M20*M23*M24*M25*M27*M40,0)</f>
        <v>5249</v>
      </c>
      <c r="F51" s="2146"/>
      <c r="G51" s="3205">
        <f>ROUND(G48*N9*N10*N11*N12*N13*N15*N16*N17*N18*N19*N20*N23*N24*N25*N27*N28*N29*N30*N31*N32*N34*N35*N40,0)</f>
        <v>4313</v>
      </c>
      <c r="H51" s="2146"/>
      <c r="I51" s="2146">
        <f>ROUND(I48*O9*O10*O11*O12*O13*O15*O16*O17*O18*O19*O20*O23*O24*O25*O27*O28*O29*O30*O31*O32*O34*O35*O40,0)</f>
        <v>5243</v>
      </c>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7.8266228430567075E-2</v>
      </c>
      <c r="F53" s="627" t="str">
        <f>IF(OR(E53&gt;=0.3,E53&lt;=-0.3),"超过30%","")</f>
        <v/>
      </c>
      <c r="G53" s="626">
        <f>IF(G48&lt;G49,G49/G48-1,G48/G49-1)</f>
        <v>7.8249999999999931E-2</v>
      </c>
      <c r="H53" s="627" t="str">
        <f>IF(OR(G53&gt;=0.3,G53&lt;=-0.3),"超过30%","")</f>
        <v/>
      </c>
      <c r="I53" s="626">
        <f>IF(I48&lt;I49,I49/I48-1,I48/I49-1)</f>
        <v>6.7168736006513408E-2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0.21701831671690242</v>
      </c>
      <c r="F54" s="627" t="str">
        <f>IF(OR(E54&gt;=0.2,E54&lt;=-0.2),"超过20%","")</f>
        <v>超过20%</v>
      </c>
      <c r="G54" s="626">
        <f>IF(G49&lt;I49,I49/G49-1,G49/I49-1)</f>
        <v>0.21562717366102491</v>
      </c>
      <c r="H54" s="627" t="str">
        <f>IF(OR(G54&gt;=0.2,G54&lt;=-0.2),"超过20%","")</f>
        <v>超过20%</v>
      </c>
      <c r="I54" s="626">
        <f>IF(I49&lt;E49,E49/I49-1,I49/E49-1)</f>
        <v>1.1443829868396094E-3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0.21700000000000008</v>
      </c>
      <c r="F55" s="627" t="str">
        <f>IF(OR(E55&gt;=0.3,E55&lt;=-0.3),"超过30%","")</f>
        <v/>
      </c>
      <c r="G55" s="626">
        <f>IF(G48&lt;I48,I48/G48-1,G48/I48-1)</f>
        <v>0.22825000000000006</v>
      </c>
      <c r="H55" s="627" t="str">
        <f>IF(OR(G55&gt;=0.3,G55&lt;=-0.3),"超过30%","")</f>
        <v/>
      </c>
      <c r="I55" s="626">
        <f>IF(I48&lt;E48,E48/I48-1,I48/E48-1)</f>
        <v>9.244042728019819E-3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2294</v>
      </c>
      <c r="E57" s="631" t="s">
        <v>562</v>
      </c>
      <c r="F57" s="632" t="s">
        <v>563</v>
      </c>
      <c r="G57" s="3441" t="s">
        <v>2282</v>
      </c>
      <c r="H57" s="3442"/>
      <c r="I57" s="1556" t="s">
        <v>1722</v>
      </c>
      <c r="J57" s="1556" t="str">
        <f>项目基本情况!F41</f>
        <v>重庆市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4935</v>
      </c>
      <c r="C58" s="635">
        <v>1</v>
      </c>
      <c r="D58" s="2229">
        <v>1</v>
      </c>
      <c r="E58" s="635">
        <f>'数据-汇总表'!E8+'数据-汇总表'!E9</f>
        <v>56435</v>
      </c>
      <c r="F58" s="636">
        <f t="shared" ref="F58:F67" si="18">ROUND(B58*E58/10000,0)</f>
        <v>27851</v>
      </c>
      <c r="G58" s="3443"/>
      <c r="H58" s="3444"/>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9">IF($C$57="北京市系数",I59,J59)</f>
        <v>0</v>
      </c>
      <c r="D59" s="2230">
        <v>0.25</v>
      </c>
      <c r="E59" s="639">
        <v>0</v>
      </c>
      <c r="F59" s="636">
        <f t="shared" si="18"/>
        <v>0</v>
      </c>
      <c r="G59" s="3445"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20">ROUND($C$50*C60*D60,0)</f>
        <v>0</v>
      </c>
      <c r="C60" s="378">
        <f t="shared" si="19"/>
        <v>0</v>
      </c>
      <c r="D60" s="2230">
        <v>0.25</v>
      </c>
      <c r="E60" s="639">
        <v>0</v>
      </c>
      <c r="F60" s="636">
        <f t="shared" si="18"/>
        <v>0</v>
      </c>
      <c r="G60" s="3445"/>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20"/>
        <v>0</v>
      </c>
      <c r="C61" s="378">
        <f t="shared" si="19"/>
        <v>0</v>
      </c>
      <c r="D61" s="2230">
        <v>0.25</v>
      </c>
      <c r="E61" s="639">
        <v>0</v>
      </c>
      <c r="F61" s="636">
        <f t="shared" si="18"/>
        <v>0</v>
      </c>
      <c r="G61" s="3445"/>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20"/>
        <v>0</v>
      </c>
      <c r="C62" s="378">
        <f t="shared" si="19"/>
        <v>0</v>
      </c>
      <c r="D62" s="2230">
        <v>0.25</v>
      </c>
      <c r="E62" s="639">
        <v>0</v>
      </c>
      <c r="F62" s="636">
        <f t="shared" si="18"/>
        <v>0</v>
      </c>
      <c r="G62" s="3445"/>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20"/>
        <v>0</v>
      </c>
      <c r="C63" s="378">
        <f t="shared" si="19"/>
        <v>0</v>
      </c>
      <c r="D63" s="2230">
        <v>0.25</v>
      </c>
      <c r="E63" s="641">
        <f>'数据-汇总表'!E11</f>
        <v>0</v>
      </c>
      <c r="F63" s="636">
        <f t="shared" si="18"/>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20"/>
        <v>0</v>
      </c>
      <c r="C64" s="378">
        <f t="shared" si="19"/>
        <v>0</v>
      </c>
      <c r="D64" s="2230">
        <v>0.25</v>
      </c>
      <c r="E64" s="641">
        <f>'数据-汇总表'!E12</f>
        <v>0</v>
      </c>
      <c r="F64" s="636">
        <f t="shared" si="18"/>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20"/>
        <v>0</v>
      </c>
      <c r="C65" s="378">
        <f t="shared" si="19"/>
        <v>0</v>
      </c>
      <c r="D65" s="2230">
        <v>0.25</v>
      </c>
      <c r="E65" s="641">
        <f>'数据-汇总表'!E13</f>
        <v>0</v>
      </c>
      <c r="F65" s="636">
        <f t="shared" si="18"/>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20"/>
        <v>0</v>
      </c>
      <c r="C66" s="378">
        <f t="shared" si="19"/>
        <v>0</v>
      </c>
      <c r="D66" s="2230">
        <v>0.25</v>
      </c>
      <c r="E66" s="641">
        <f>'数据-汇总表'!E14</f>
        <v>0</v>
      </c>
      <c r="F66" s="636">
        <f t="shared" si="18"/>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20"/>
        <v>0</v>
      </c>
      <c r="C67" s="378">
        <f t="shared" si="19"/>
        <v>0</v>
      </c>
      <c r="D67" s="2230">
        <v>0.25</v>
      </c>
      <c r="E67" s="641">
        <f>'数据-汇总表'!E15</f>
        <v>0</v>
      </c>
      <c r="F67" s="636">
        <f t="shared" si="18"/>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56435</v>
      </c>
      <c r="F68" s="644">
        <f>IF(B48="楼面地价",SUM(F58:F67),ROUND(C50*E68/10000,0))</f>
        <v>27851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21">EDATE(D70,-3)</f>
        <v>43221</v>
      </c>
      <c r="F70" s="2800">
        <f t="shared" si="21"/>
        <v>43132</v>
      </c>
      <c r="G70" s="2800">
        <f t="shared" si="21"/>
        <v>43040</v>
      </c>
      <c r="H70" s="2800">
        <f t="shared" si="21"/>
        <v>42948</v>
      </c>
      <c r="I70" s="2800">
        <f t="shared" si="21"/>
        <v>42856</v>
      </c>
      <c r="J70" s="2800">
        <f t="shared" si="21"/>
        <v>42767</v>
      </c>
      <c r="K70" s="2800">
        <f t="shared" si="21"/>
        <v>42675</v>
      </c>
      <c r="L70" s="2800">
        <f t="shared" si="21"/>
        <v>42583</v>
      </c>
      <c r="M70" s="2800">
        <f t="shared" si="21"/>
        <v>42491</v>
      </c>
      <c r="N70" s="2800">
        <f t="shared" si="21"/>
        <v>42401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2531</v>
      </c>
      <c r="B72" s="2570"/>
      <c r="C72" s="2795" t="str">
        <f>YEAR(C70)&amp;"-"&amp;ROUNDUP(MONTH(C70)/3,0)</f>
        <v>2018-4</v>
      </c>
      <c r="D72" s="2802" t="str">
        <f>YEAR(D70)&amp;"-"&amp;ROUNDUP(MONTH(D70)/3,0)</f>
        <v>2018-3</v>
      </c>
      <c r="E72" s="2802" t="str">
        <f t="shared" ref="E72:N72" si="22">YEAR(E70)&amp;"-"&amp;ROUNDUP(MONTH(E70)/3,0)</f>
        <v>2018-2</v>
      </c>
      <c r="F72" s="2802" t="str">
        <f t="shared" si="22"/>
        <v>2018-1</v>
      </c>
      <c r="G72" s="2802" t="str">
        <f t="shared" si="22"/>
        <v>2017-4</v>
      </c>
      <c r="H72" s="2802" t="str">
        <f t="shared" si="22"/>
        <v>2017-3</v>
      </c>
      <c r="I72" s="2802" t="str">
        <f t="shared" si="22"/>
        <v>2017-2</v>
      </c>
      <c r="J72" s="2802" t="str">
        <f t="shared" si="22"/>
        <v>2017-1</v>
      </c>
      <c r="K72" s="2802" t="str">
        <f t="shared" si="22"/>
        <v>2016-4</v>
      </c>
      <c r="L72" s="2802" t="str">
        <f t="shared" si="22"/>
        <v>2016-3</v>
      </c>
      <c r="M72" s="2802" t="str">
        <f t="shared" si="22"/>
        <v>2016-2</v>
      </c>
      <c r="N72" s="2802" t="str">
        <f t="shared" si="22"/>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2646</v>
      </c>
      <c r="B73" s="479" t="str">
        <f>"北京市平均增长率"&amp;TEXT(SUMIF(基准地价!N21:N25,A73,基准地价!P21:P25),"0.00%")</f>
        <v>北京市平均增长率2.19%</v>
      </c>
      <c r="C73" s="894">
        <v>100</v>
      </c>
      <c r="D73" s="3254">
        <f>C73-1</f>
        <v>99</v>
      </c>
      <c r="E73" s="3254">
        <f t="shared" ref="E73:M73" si="23">D73-1</f>
        <v>98</v>
      </c>
      <c r="F73" s="3254">
        <f t="shared" si="23"/>
        <v>97</v>
      </c>
      <c r="G73" s="3254">
        <f t="shared" si="23"/>
        <v>96</v>
      </c>
      <c r="H73" s="3254">
        <f t="shared" si="23"/>
        <v>95</v>
      </c>
      <c r="I73" s="3254">
        <f t="shared" si="23"/>
        <v>94</v>
      </c>
      <c r="J73" s="3254">
        <f t="shared" si="23"/>
        <v>93</v>
      </c>
      <c r="K73" s="3254">
        <f t="shared" si="23"/>
        <v>92</v>
      </c>
      <c r="L73" s="3254">
        <f t="shared" si="23"/>
        <v>91</v>
      </c>
      <c r="M73" s="3254">
        <f t="shared" si="23"/>
        <v>90</v>
      </c>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2645</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01" t="s">
        <v>3287</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4">D82&amp;"（含）"&amp;"-"&amp;E82</f>
        <v>1（含）-2</v>
      </c>
      <c r="E81" s="682" t="str">
        <f t="shared" si="24"/>
        <v>2（含）-3</v>
      </c>
      <c r="F81" s="682" t="str">
        <f t="shared" si="24"/>
        <v>3（含）-4</v>
      </c>
      <c r="G81" s="682" t="str">
        <f t="shared" si="24"/>
        <v>4（含）-5</v>
      </c>
      <c r="H81" s="682" t="str">
        <f t="shared" si="24"/>
        <v>5（含）-6</v>
      </c>
      <c r="I81" s="682" t="str">
        <f t="shared" si="24"/>
        <v>6（含）-7</v>
      </c>
      <c r="J81" s="682" t="str">
        <f t="shared" si="24"/>
        <v>7（含）-8</v>
      </c>
      <c r="K81" s="682" t="str">
        <f t="shared" si="24"/>
        <v>8（含）-9</v>
      </c>
      <c r="L81" s="682" t="str">
        <f t="shared" si="24"/>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5">D82+1</f>
        <v>2</v>
      </c>
      <c r="F82" s="541">
        <f t="shared" si="25"/>
        <v>3</v>
      </c>
      <c r="G82" s="541">
        <f t="shared" si="25"/>
        <v>4</v>
      </c>
      <c r="H82" s="541">
        <f t="shared" si="25"/>
        <v>5</v>
      </c>
      <c r="I82" s="541">
        <f t="shared" si="25"/>
        <v>6</v>
      </c>
      <c r="J82" s="541">
        <f t="shared" si="25"/>
        <v>7</v>
      </c>
      <c r="K82" s="541">
        <f t="shared" si="25"/>
        <v>8</v>
      </c>
      <c r="L82" s="541">
        <f t="shared" si="25"/>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6">IF($B$48="单位面积地价",D83+$K13,D83-$K13)</f>
        <v>94</v>
      </c>
      <c r="F83" s="679">
        <f t="shared" si="26"/>
        <v>91</v>
      </c>
      <c r="G83" s="679">
        <f t="shared" si="26"/>
        <v>88</v>
      </c>
      <c r="H83" s="679">
        <f t="shared" si="26"/>
        <v>85</v>
      </c>
      <c r="I83" s="679">
        <f t="shared" si="26"/>
        <v>82</v>
      </c>
      <c r="J83" s="679">
        <f t="shared" si="26"/>
        <v>79</v>
      </c>
      <c r="K83" s="679">
        <f t="shared" si="26"/>
        <v>76</v>
      </c>
      <c r="L83" s="679">
        <f t="shared" si="26"/>
        <v>73</v>
      </c>
      <c r="M83" s="679">
        <f t="shared" si="26"/>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年期修正系数</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t="str">
        <f>B16</f>
        <v>商业占比</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t="s">
        <v>3292</v>
      </c>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2549</v>
      </c>
      <c r="C104" s="2599" t="s">
        <v>2550</v>
      </c>
      <c r="D104" s="2599" t="s">
        <v>2551</v>
      </c>
      <c r="E104" s="2599" t="s">
        <v>2552</v>
      </c>
      <c r="F104" s="2599" t="s">
        <v>2553</v>
      </c>
      <c r="G104" s="2599"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7">D107-$K33</f>
        <v>100</v>
      </c>
      <c r="F107" s="679">
        <f t="shared" si="27"/>
        <v>100</v>
      </c>
      <c r="G107" s="679">
        <f t="shared" si="27"/>
        <v>100</v>
      </c>
      <c r="H107" s="679">
        <f t="shared" si="27"/>
        <v>100</v>
      </c>
      <c r="I107" s="679">
        <f t="shared" si="27"/>
        <v>100</v>
      </c>
      <c r="J107" s="679">
        <f t="shared" si="27"/>
        <v>100</v>
      </c>
      <c r="K107" s="679">
        <f t="shared" si="27"/>
        <v>100</v>
      </c>
      <c r="L107" s="679">
        <f t="shared" si="27"/>
        <v>100</v>
      </c>
      <c r="M107" s="679">
        <f t="shared" si="27"/>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00" t="s">
        <v>3286</v>
      </c>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8">D109-$K34</f>
        <v>96</v>
      </c>
      <c r="F109" s="679">
        <f t="shared" si="28"/>
        <v>94</v>
      </c>
      <c r="G109" s="679">
        <f t="shared" si="28"/>
        <v>92</v>
      </c>
      <c r="H109" s="679">
        <f t="shared" si="28"/>
        <v>90</v>
      </c>
      <c r="I109" s="679">
        <f t="shared" si="28"/>
        <v>88</v>
      </c>
      <c r="J109" s="679">
        <f t="shared" si="28"/>
        <v>86</v>
      </c>
      <c r="K109" s="679">
        <f t="shared" si="28"/>
        <v>84</v>
      </c>
      <c r="L109" s="679">
        <f t="shared" si="28"/>
        <v>82</v>
      </c>
      <c r="M109" s="679">
        <f t="shared" si="28"/>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9">D111-$K36</f>
        <v>100</v>
      </c>
      <c r="F111" s="679">
        <f t="shared" si="29"/>
        <v>100</v>
      </c>
      <c r="G111" s="679">
        <f t="shared" si="29"/>
        <v>100</v>
      </c>
      <c r="H111" s="679">
        <f t="shared" si="29"/>
        <v>100</v>
      </c>
      <c r="I111" s="679">
        <f t="shared" si="29"/>
        <v>100</v>
      </c>
      <c r="J111" s="679">
        <f t="shared" si="29"/>
        <v>100</v>
      </c>
      <c r="K111" s="679">
        <f t="shared" si="29"/>
        <v>100</v>
      </c>
      <c r="L111" s="679">
        <f t="shared" si="29"/>
        <v>100</v>
      </c>
      <c r="M111" s="679">
        <f t="shared" si="29"/>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30">C119&amp;"(含)"&amp;"-"&amp;D119</f>
        <v>0(含)-100000</v>
      </c>
      <c r="D118" s="704" t="str">
        <f t="shared" si="30"/>
        <v>100000(含)-200000</v>
      </c>
      <c r="E118" s="704" t="str">
        <f t="shared" si="30"/>
        <v>200000(含)-300000</v>
      </c>
      <c r="F118" s="704" t="str">
        <f t="shared" si="30"/>
        <v>300000(含)-400000</v>
      </c>
      <c r="G118" s="704" t="str">
        <f t="shared" si="30"/>
        <v>400000(含)-</v>
      </c>
      <c r="H118" s="704" t="str">
        <f t="shared" si="30"/>
        <v>(含)-</v>
      </c>
      <c r="I118" s="704" t="str">
        <f t="shared" si="30"/>
        <v>(含)-</v>
      </c>
      <c r="J118" s="3094" t="str">
        <f t="shared" si="30"/>
        <v>(含)-</v>
      </c>
      <c r="K118" s="3094" t="str">
        <f t="shared" si="30"/>
        <v>(含)-</v>
      </c>
      <c r="L118" s="3095" t="str">
        <f t="shared" si="30"/>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C119+100000</f>
        <v>100000</v>
      </c>
      <c r="E119" s="730">
        <f t="shared" ref="E119:G119" si="31">D119+100000</f>
        <v>200000</v>
      </c>
      <c r="F119" s="730">
        <f t="shared" si="31"/>
        <v>300000</v>
      </c>
      <c r="G119" s="730">
        <f t="shared" si="31"/>
        <v>400000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G120" si="32">D120+1</f>
        <v>102</v>
      </c>
      <c r="F120" s="726">
        <f t="shared" si="32"/>
        <v>103</v>
      </c>
      <c r="G120" s="726">
        <f t="shared" si="32"/>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9" t="s">
        <v>3281</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33">C122-$K41</f>
        <v>98</v>
      </c>
      <c r="E122" s="679">
        <f t="shared" si="33"/>
        <v>96</v>
      </c>
      <c r="F122" s="679">
        <f t="shared" si="33"/>
        <v>94</v>
      </c>
      <c r="G122" s="679">
        <f t="shared" si="33"/>
        <v>92</v>
      </c>
      <c r="H122" s="679">
        <f t="shared" si="33"/>
        <v>90</v>
      </c>
      <c r="I122" s="679">
        <f t="shared" si="33"/>
        <v>88</v>
      </c>
      <c r="J122" s="679">
        <f t="shared" si="33"/>
        <v>86</v>
      </c>
      <c r="K122" s="679">
        <f t="shared" si="33"/>
        <v>84</v>
      </c>
      <c r="L122" s="679">
        <f t="shared" si="33"/>
        <v>82</v>
      </c>
      <c r="M122" s="680">
        <f t="shared" si="33"/>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4">C124-$K42</f>
        <v>100</v>
      </c>
      <c r="E124" s="679">
        <f t="shared" si="34"/>
        <v>100</v>
      </c>
      <c r="F124" s="679">
        <f t="shared" si="34"/>
        <v>100</v>
      </c>
      <c r="G124" s="679">
        <f t="shared" si="34"/>
        <v>100</v>
      </c>
      <c r="H124" s="679">
        <f t="shared" si="34"/>
        <v>100</v>
      </c>
      <c r="I124" s="679">
        <f t="shared" si="34"/>
        <v>100</v>
      </c>
      <c r="J124" s="679">
        <f t="shared" si="34"/>
        <v>100</v>
      </c>
      <c r="K124" s="679">
        <f t="shared" si="34"/>
        <v>100</v>
      </c>
      <c r="L124" s="679">
        <f t="shared" si="34"/>
        <v>100</v>
      </c>
      <c r="M124" s="680">
        <f t="shared" si="34"/>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3284</v>
      </c>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5">D126-$K43</f>
        <v>96</v>
      </c>
      <c r="F126" s="679">
        <f t="shared" si="35"/>
        <v>94</v>
      </c>
      <c r="G126" s="679">
        <f t="shared" si="35"/>
        <v>92</v>
      </c>
      <c r="H126" s="679">
        <f t="shared" si="35"/>
        <v>90</v>
      </c>
      <c r="I126" s="679">
        <f t="shared" si="35"/>
        <v>88</v>
      </c>
      <c r="J126" s="679">
        <f t="shared" si="35"/>
        <v>86</v>
      </c>
      <c r="K126" s="679">
        <f t="shared" si="35"/>
        <v>84</v>
      </c>
      <c r="L126" s="679">
        <f t="shared" si="35"/>
        <v>82</v>
      </c>
      <c r="M126" s="680">
        <f t="shared" si="35"/>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00" t="s">
        <v>3282</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6">C128-$K44</f>
        <v>98</v>
      </c>
      <c r="E128" s="679">
        <f t="shared" si="36"/>
        <v>96</v>
      </c>
      <c r="F128" s="679">
        <f t="shared" si="36"/>
        <v>94</v>
      </c>
      <c r="G128" s="679">
        <f t="shared" si="36"/>
        <v>92</v>
      </c>
      <c r="H128" s="679">
        <f t="shared" si="36"/>
        <v>90</v>
      </c>
      <c r="I128" s="679">
        <f t="shared" si="36"/>
        <v>88</v>
      </c>
      <c r="J128" s="679">
        <f t="shared" si="36"/>
        <v>86</v>
      </c>
      <c r="K128" s="679">
        <f t="shared" si="36"/>
        <v>84</v>
      </c>
      <c r="L128" s="679">
        <f t="shared" si="36"/>
        <v>82</v>
      </c>
      <c r="M128" s="680">
        <f t="shared" si="36"/>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60" t="str">
        <f>项目基本情况!B1</f>
        <v>重庆市巴南区南泉鹿角出让国有建设用地使用权抵押价格预评估</v>
      </c>
      <c r="C37" s="3260"/>
      <c r="D37" s="3260"/>
      <c r="E37" s="3260"/>
      <c r="F37" s="3260"/>
      <c r="G37" s="3260"/>
      <c r="H37" s="3260"/>
      <c r="I37" s="3260"/>
    </row>
    <row r="38" spans="1:9">
      <c r="A38" s="1657"/>
      <c r="B38" s="1657"/>
    </row>
    <row r="39" spans="1:9">
      <c r="A39" s="1655" t="s">
        <v>1901</v>
      </c>
      <c r="B39" s="1655" t="s">
        <v>2047</v>
      </c>
    </row>
    <row r="40" spans="1:9">
      <c r="A40" s="1655"/>
      <c r="B40" s="1655" t="str">
        <f>项目基本情况!B5</f>
        <v>中诚信托有限责任公司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土地估价师、土地估价师</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5" sqref="E15"/>
    </sheetView>
  </sheetViews>
  <sheetFormatPr defaultRowHeight="20.25" customHeight="1"/>
  <cols>
    <col min="1" max="1" width="14.25" style="3215" customWidth="1"/>
    <col min="2" max="2" width="18.75" style="3215" customWidth="1"/>
    <col min="3" max="5" width="14.25" style="3215" customWidth="1"/>
    <col min="6" max="6" width="11" style="3215" customWidth="1"/>
    <col min="7" max="7" width="9" style="3215"/>
    <col min="8" max="8" width="13.75" style="3215" customWidth="1"/>
    <col min="9" max="256" width="9" style="3215"/>
    <col min="257" max="257" width="14.25" style="3215" customWidth="1"/>
    <col min="258" max="258" width="18.75" style="3215" customWidth="1"/>
    <col min="259" max="261" width="14.25" style="3215" customWidth="1"/>
    <col min="262" max="262" width="11" style="3215" customWidth="1"/>
    <col min="263" max="263" width="9" style="3215"/>
    <col min="264" max="264" width="13.75" style="3215" customWidth="1"/>
    <col min="265" max="512" width="9" style="3215"/>
    <col min="513" max="513" width="14.25" style="3215" customWidth="1"/>
    <col min="514" max="514" width="18.75" style="3215" customWidth="1"/>
    <col min="515" max="517" width="14.25" style="3215" customWidth="1"/>
    <col min="518" max="518" width="11" style="3215" customWidth="1"/>
    <col min="519" max="519" width="9" style="3215"/>
    <col min="520" max="520" width="13.75" style="3215" customWidth="1"/>
    <col min="521" max="768" width="9" style="3215"/>
    <col min="769" max="769" width="14.25" style="3215" customWidth="1"/>
    <col min="770" max="770" width="18.75" style="3215" customWidth="1"/>
    <col min="771" max="773" width="14.25" style="3215" customWidth="1"/>
    <col min="774" max="774" width="11" style="3215" customWidth="1"/>
    <col min="775" max="775" width="9" style="3215"/>
    <col min="776" max="776" width="13.75" style="3215" customWidth="1"/>
    <col min="777" max="1024" width="9" style="3215"/>
    <col min="1025" max="1025" width="14.25" style="3215" customWidth="1"/>
    <col min="1026" max="1026" width="18.75" style="3215" customWidth="1"/>
    <col min="1027" max="1029" width="14.25" style="3215" customWidth="1"/>
    <col min="1030" max="1030" width="11" style="3215" customWidth="1"/>
    <col min="1031" max="1031" width="9" style="3215"/>
    <col min="1032" max="1032" width="13.75" style="3215" customWidth="1"/>
    <col min="1033" max="1280" width="9" style="3215"/>
    <col min="1281" max="1281" width="14.25" style="3215" customWidth="1"/>
    <col min="1282" max="1282" width="18.75" style="3215" customWidth="1"/>
    <col min="1283" max="1285" width="14.25" style="3215" customWidth="1"/>
    <col min="1286" max="1286" width="11" style="3215" customWidth="1"/>
    <col min="1287" max="1287" width="9" style="3215"/>
    <col min="1288" max="1288" width="13.75" style="3215" customWidth="1"/>
    <col min="1289" max="1536" width="9" style="3215"/>
    <col min="1537" max="1537" width="14.25" style="3215" customWidth="1"/>
    <col min="1538" max="1538" width="18.75" style="3215" customWidth="1"/>
    <col min="1539" max="1541" width="14.25" style="3215" customWidth="1"/>
    <col min="1542" max="1542" width="11" style="3215" customWidth="1"/>
    <col min="1543" max="1543" width="9" style="3215"/>
    <col min="1544" max="1544" width="13.75" style="3215" customWidth="1"/>
    <col min="1545" max="1792" width="9" style="3215"/>
    <col min="1793" max="1793" width="14.25" style="3215" customWidth="1"/>
    <col min="1794" max="1794" width="18.75" style="3215" customWidth="1"/>
    <col min="1795" max="1797" width="14.25" style="3215" customWidth="1"/>
    <col min="1798" max="1798" width="11" style="3215" customWidth="1"/>
    <col min="1799" max="1799" width="9" style="3215"/>
    <col min="1800" max="1800" width="13.75" style="3215" customWidth="1"/>
    <col min="1801" max="2048" width="9" style="3215"/>
    <col min="2049" max="2049" width="14.25" style="3215" customWidth="1"/>
    <col min="2050" max="2050" width="18.75" style="3215" customWidth="1"/>
    <col min="2051" max="2053" width="14.25" style="3215" customWidth="1"/>
    <col min="2054" max="2054" width="11" style="3215" customWidth="1"/>
    <col min="2055" max="2055" width="9" style="3215"/>
    <col min="2056" max="2056" width="13.75" style="3215" customWidth="1"/>
    <col min="2057" max="2304" width="9" style="3215"/>
    <col min="2305" max="2305" width="14.25" style="3215" customWidth="1"/>
    <col min="2306" max="2306" width="18.75" style="3215" customWidth="1"/>
    <col min="2307" max="2309" width="14.25" style="3215" customWidth="1"/>
    <col min="2310" max="2310" width="11" style="3215" customWidth="1"/>
    <col min="2311" max="2311" width="9" style="3215"/>
    <col min="2312" max="2312" width="13.75" style="3215" customWidth="1"/>
    <col min="2313" max="2560" width="9" style="3215"/>
    <col min="2561" max="2561" width="14.25" style="3215" customWidth="1"/>
    <col min="2562" max="2562" width="18.75" style="3215" customWidth="1"/>
    <col min="2563" max="2565" width="14.25" style="3215" customWidth="1"/>
    <col min="2566" max="2566" width="11" style="3215" customWidth="1"/>
    <col min="2567" max="2567" width="9" style="3215"/>
    <col min="2568" max="2568" width="13.75" style="3215" customWidth="1"/>
    <col min="2569" max="2816" width="9" style="3215"/>
    <col min="2817" max="2817" width="14.25" style="3215" customWidth="1"/>
    <col min="2818" max="2818" width="18.75" style="3215" customWidth="1"/>
    <col min="2819" max="2821" width="14.25" style="3215" customWidth="1"/>
    <col min="2822" max="2822" width="11" style="3215" customWidth="1"/>
    <col min="2823" max="2823" width="9" style="3215"/>
    <col min="2824" max="2824" width="13.75" style="3215" customWidth="1"/>
    <col min="2825" max="3072" width="9" style="3215"/>
    <col min="3073" max="3073" width="14.25" style="3215" customWidth="1"/>
    <col min="3074" max="3074" width="18.75" style="3215" customWidth="1"/>
    <col min="3075" max="3077" width="14.25" style="3215" customWidth="1"/>
    <col min="3078" max="3078" width="11" style="3215" customWidth="1"/>
    <col min="3079" max="3079" width="9" style="3215"/>
    <col min="3080" max="3080" width="13.75" style="3215" customWidth="1"/>
    <col min="3081" max="3328" width="9" style="3215"/>
    <col min="3329" max="3329" width="14.25" style="3215" customWidth="1"/>
    <col min="3330" max="3330" width="18.75" style="3215" customWidth="1"/>
    <col min="3331" max="3333" width="14.25" style="3215" customWidth="1"/>
    <col min="3334" max="3334" width="11" style="3215" customWidth="1"/>
    <col min="3335" max="3335" width="9" style="3215"/>
    <col min="3336" max="3336" width="13.75" style="3215" customWidth="1"/>
    <col min="3337" max="3584" width="9" style="3215"/>
    <col min="3585" max="3585" width="14.25" style="3215" customWidth="1"/>
    <col min="3586" max="3586" width="18.75" style="3215" customWidth="1"/>
    <col min="3587" max="3589" width="14.25" style="3215" customWidth="1"/>
    <col min="3590" max="3590" width="11" style="3215" customWidth="1"/>
    <col min="3591" max="3591" width="9" style="3215"/>
    <col min="3592" max="3592" width="13.75" style="3215" customWidth="1"/>
    <col min="3593" max="3840" width="9" style="3215"/>
    <col min="3841" max="3841" width="14.25" style="3215" customWidth="1"/>
    <col min="3842" max="3842" width="18.75" style="3215" customWidth="1"/>
    <col min="3843" max="3845" width="14.25" style="3215" customWidth="1"/>
    <col min="3846" max="3846" width="11" style="3215" customWidth="1"/>
    <col min="3847" max="3847" width="9" style="3215"/>
    <col min="3848" max="3848" width="13.75" style="3215" customWidth="1"/>
    <col min="3849" max="4096" width="9" style="3215"/>
    <col min="4097" max="4097" width="14.25" style="3215" customWidth="1"/>
    <col min="4098" max="4098" width="18.75" style="3215" customWidth="1"/>
    <col min="4099" max="4101" width="14.25" style="3215" customWidth="1"/>
    <col min="4102" max="4102" width="11" style="3215" customWidth="1"/>
    <col min="4103" max="4103" width="9" style="3215"/>
    <col min="4104" max="4104" width="13.75" style="3215" customWidth="1"/>
    <col min="4105" max="4352" width="9" style="3215"/>
    <col min="4353" max="4353" width="14.25" style="3215" customWidth="1"/>
    <col min="4354" max="4354" width="18.75" style="3215" customWidth="1"/>
    <col min="4355" max="4357" width="14.25" style="3215" customWidth="1"/>
    <col min="4358" max="4358" width="11" style="3215" customWidth="1"/>
    <col min="4359" max="4359" width="9" style="3215"/>
    <col min="4360" max="4360" width="13.75" style="3215" customWidth="1"/>
    <col min="4361" max="4608" width="9" style="3215"/>
    <col min="4609" max="4609" width="14.25" style="3215" customWidth="1"/>
    <col min="4610" max="4610" width="18.75" style="3215" customWidth="1"/>
    <col min="4611" max="4613" width="14.25" style="3215" customWidth="1"/>
    <col min="4614" max="4614" width="11" style="3215" customWidth="1"/>
    <col min="4615" max="4615" width="9" style="3215"/>
    <col min="4616" max="4616" width="13.75" style="3215" customWidth="1"/>
    <col min="4617" max="4864" width="9" style="3215"/>
    <col min="4865" max="4865" width="14.25" style="3215" customWidth="1"/>
    <col min="4866" max="4866" width="18.75" style="3215" customWidth="1"/>
    <col min="4867" max="4869" width="14.25" style="3215" customWidth="1"/>
    <col min="4870" max="4870" width="11" style="3215" customWidth="1"/>
    <col min="4871" max="4871" width="9" style="3215"/>
    <col min="4872" max="4872" width="13.75" style="3215" customWidth="1"/>
    <col min="4873" max="5120" width="9" style="3215"/>
    <col min="5121" max="5121" width="14.25" style="3215" customWidth="1"/>
    <col min="5122" max="5122" width="18.75" style="3215" customWidth="1"/>
    <col min="5123" max="5125" width="14.25" style="3215" customWidth="1"/>
    <col min="5126" max="5126" width="11" style="3215" customWidth="1"/>
    <col min="5127" max="5127" width="9" style="3215"/>
    <col min="5128" max="5128" width="13.75" style="3215" customWidth="1"/>
    <col min="5129" max="5376" width="9" style="3215"/>
    <col min="5377" max="5377" width="14.25" style="3215" customWidth="1"/>
    <col min="5378" max="5378" width="18.75" style="3215" customWidth="1"/>
    <col min="5379" max="5381" width="14.25" style="3215" customWidth="1"/>
    <col min="5382" max="5382" width="11" style="3215" customWidth="1"/>
    <col min="5383" max="5383" width="9" style="3215"/>
    <col min="5384" max="5384" width="13.75" style="3215" customWidth="1"/>
    <col min="5385" max="5632" width="9" style="3215"/>
    <col min="5633" max="5633" width="14.25" style="3215" customWidth="1"/>
    <col min="5634" max="5634" width="18.75" style="3215" customWidth="1"/>
    <col min="5635" max="5637" width="14.25" style="3215" customWidth="1"/>
    <col min="5638" max="5638" width="11" style="3215" customWidth="1"/>
    <col min="5639" max="5639" width="9" style="3215"/>
    <col min="5640" max="5640" width="13.75" style="3215" customWidth="1"/>
    <col min="5641" max="5888" width="9" style="3215"/>
    <col min="5889" max="5889" width="14.25" style="3215" customWidth="1"/>
    <col min="5890" max="5890" width="18.75" style="3215" customWidth="1"/>
    <col min="5891" max="5893" width="14.25" style="3215" customWidth="1"/>
    <col min="5894" max="5894" width="11" style="3215" customWidth="1"/>
    <col min="5895" max="5895" width="9" style="3215"/>
    <col min="5896" max="5896" width="13.75" style="3215" customWidth="1"/>
    <col min="5897" max="6144" width="9" style="3215"/>
    <col min="6145" max="6145" width="14.25" style="3215" customWidth="1"/>
    <col min="6146" max="6146" width="18.75" style="3215" customWidth="1"/>
    <col min="6147" max="6149" width="14.25" style="3215" customWidth="1"/>
    <col min="6150" max="6150" width="11" style="3215" customWidth="1"/>
    <col min="6151" max="6151" width="9" style="3215"/>
    <col min="6152" max="6152" width="13.75" style="3215" customWidth="1"/>
    <col min="6153" max="6400" width="9" style="3215"/>
    <col min="6401" max="6401" width="14.25" style="3215" customWidth="1"/>
    <col min="6402" max="6402" width="18.75" style="3215" customWidth="1"/>
    <col min="6403" max="6405" width="14.25" style="3215" customWidth="1"/>
    <col min="6406" max="6406" width="11" style="3215" customWidth="1"/>
    <col min="6407" max="6407" width="9" style="3215"/>
    <col min="6408" max="6408" width="13.75" style="3215" customWidth="1"/>
    <col min="6409" max="6656" width="9" style="3215"/>
    <col min="6657" max="6657" width="14.25" style="3215" customWidth="1"/>
    <col min="6658" max="6658" width="18.75" style="3215" customWidth="1"/>
    <col min="6659" max="6661" width="14.25" style="3215" customWidth="1"/>
    <col min="6662" max="6662" width="11" style="3215" customWidth="1"/>
    <col min="6663" max="6663" width="9" style="3215"/>
    <col min="6664" max="6664" width="13.75" style="3215" customWidth="1"/>
    <col min="6665" max="6912" width="9" style="3215"/>
    <col min="6913" max="6913" width="14.25" style="3215" customWidth="1"/>
    <col min="6914" max="6914" width="18.75" style="3215" customWidth="1"/>
    <col min="6915" max="6917" width="14.25" style="3215" customWidth="1"/>
    <col min="6918" max="6918" width="11" style="3215" customWidth="1"/>
    <col min="6919" max="6919" width="9" style="3215"/>
    <col min="6920" max="6920" width="13.75" style="3215" customWidth="1"/>
    <col min="6921" max="7168" width="9" style="3215"/>
    <col min="7169" max="7169" width="14.25" style="3215" customWidth="1"/>
    <col min="7170" max="7170" width="18.75" style="3215" customWidth="1"/>
    <col min="7171" max="7173" width="14.25" style="3215" customWidth="1"/>
    <col min="7174" max="7174" width="11" style="3215" customWidth="1"/>
    <col min="7175" max="7175" width="9" style="3215"/>
    <col min="7176" max="7176" width="13.75" style="3215" customWidth="1"/>
    <col min="7177" max="7424" width="9" style="3215"/>
    <col min="7425" max="7425" width="14.25" style="3215" customWidth="1"/>
    <col min="7426" max="7426" width="18.75" style="3215" customWidth="1"/>
    <col min="7427" max="7429" width="14.25" style="3215" customWidth="1"/>
    <col min="7430" max="7430" width="11" style="3215" customWidth="1"/>
    <col min="7431" max="7431" width="9" style="3215"/>
    <col min="7432" max="7432" width="13.75" style="3215" customWidth="1"/>
    <col min="7433" max="7680" width="9" style="3215"/>
    <col min="7681" max="7681" width="14.25" style="3215" customWidth="1"/>
    <col min="7682" max="7682" width="18.75" style="3215" customWidth="1"/>
    <col min="7683" max="7685" width="14.25" style="3215" customWidth="1"/>
    <col min="7686" max="7686" width="11" style="3215" customWidth="1"/>
    <col min="7687" max="7687" width="9" style="3215"/>
    <col min="7688" max="7688" width="13.75" style="3215" customWidth="1"/>
    <col min="7689" max="7936" width="9" style="3215"/>
    <col min="7937" max="7937" width="14.25" style="3215" customWidth="1"/>
    <col min="7938" max="7938" width="18.75" style="3215" customWidth="1"/>
    <col min="7939" max="7941" width="14.25" style="3215" customWidth="1"/>
    <col min="7942" max="7942" width="11" style="3215" customWidth="1"/>
    <col min="7943" max="7943" width="9" style="3215"/>
    <col min="7944" max="7944" width="13.75" style="3215" customWidth="1"/>
    <col min="7945" max="8192" width="9" style="3215"/>
    <col min="8193" max="8193" width="14.25" style="3215" customWidth="1"/>
    <col min="8194" max="8194" width="18.75" style="3215" customWidth="1"/>
    <col min="8195" max="8197" width="14.25" style="3215" customWidth="1"/>
    <col min="8198" max="8198" width="11" style="3215" customWidth="1"/>
    <col min="8199" max="8199" width="9" style="3215"/>
    <col min="8200" max="8200" width="13.75" style="3215" customWidth="1"/>
    <col min="8201" max="8448" width="9" style="3215"/>
    <col min="8449" max="8449" width="14.25" style="3215" customWidth="1"/>
    <col min="8450" max="8450" width="18.75" style="3215" customWidth="1"/>
    <col min="8451" max="8453" width="14.25" style="3215" customWidth="1"/>
    <col min="8454" max="8454" width="11" style="3215" customWidth="1"/>
    <col min="8455" max="8455" width="9" style="3215"/>
    <col min="8456" max="8456" width="13.75" style="3215" customWidth="1"/>
    <col min="8457" max="8704" width="9" style="3215"/>
    <col min="8705" max="8705" width="14.25" style="3215" customWidth="1"/>
    <col min="8706" max="8706" width="18.75" style="3215" customWidth="1"/>
    <col min="8707" max="8709" width="14.25" style="3215" customWidth="1"/>
    <col min="8710" max="8710" width="11" style="3215" customWidth="1"/>
    <col min="8711" max="8711" width="9" style="3215"/>
    <col min="8712" max="8712" width="13.75" style="3215" customWidth="1"/>
    <col min="8713" max="8960" width="9" style="3215"/>
    <col min="8961" max="8961" width="14.25" style="3215" customWidth="1"/>
    <col min="8962" max="8962" width="18.75" style="3215" customWidth="1"/>
    <col min="8963" max="8965" width="14.25" style="3215" customWidth="1"/>
    <col min="8966" max="8966" width="11" style="3215" customWidth="1"/>
    <col min="8967" max="8967" width="9" style="3215"/>
    <col min="8968" max="8968" width="13.75" style="3215" customWidth="1"/>
    <col min="8969" max="9216" width="9" style="3215"/>
    <col min="9217" max="9217" width="14.25" style="3215" customWidth="1"/>
    <col min="9218" max="9218" width="18.75" style="3215" customWidth="1"/>
    <col min="9219" max="9221" width="14.25" style="3215" customWidth="1"/>
    <col min="9222" max="9222" width="11" style="3215" customWidth="1"/>
    <col min="9223" max="9223" width="9" style="3215"/>
    <col min="9224" max="9224" width="13.75" style="3215" customWidth="1"/>
    <col min="9225" max="9472" width="9" style="3215"/>
    <col min="9473" max="9473" width="14.25" style="3215" customWidth="1"/>
    <col min="9474" max="9474" width="18.75" style="3215" customWidth="1"/>
    <col min="9475" max="9477" width="14.25" style="3215" customWidth="1"/>
    <col min="9478" max="9478" width="11" style="3215" customWidth="1"/>
    <col min="9479" max="9479" width="9" style="3215"/>
    <col min="9480" max="9480" width="13.75" style="3215" customWidth="1"/>
    <col min="9481" max="9728" width="9" style="3215"/>
    <col min="9729" max="9729" width="14.25" style="3215" customWidth="1"/>
    <col min="9730" max="9730" width="18.75" style="3215" customWidth="1"/>
    <col min="9731" max="9733" width="14.25" style="3215" customWidth="1"/>
    <col min="9734" max="9734" width="11" style="3215" customWidth="1"/>
    <col min="9735" max="9735" width="9" style="3215"/>
    <col min="9736" max="9736" width="13.75" style="3215" customWidth="1"/>
    <col min="9737" max="9984" width="9" style="3215"/>
    <col min="9985" max="9985" width="14.25" style="3215" customWidth="1"/>
    <col min="9986" max="9986" width="18.75" style="3215" customWidth="1"/>
    <col min="9987" max="9989" width="14.25" style="3215" customWidth="1"/>
    <col min="9990" max="9990" width="11" style="3215" customWidth="1"/>
    <col min="9991" max="9991" width="9" style="3215"/>
    <col min="9992" max="9992" width="13.75" style="3215" customWidth="1"/>
    <col min="9993" max="10240" width="9" style="3215"/>
    <col min="10241" max="10241" width="14.25" style="3215" customWidth="1"/>
    <col min="10242" max="10242" width="18.75" style="3215" customWidth="1"/>
    <col min="10243" max="10245" width="14.25" style="3215" customWidth="1"/>
    <col min="10246" max="10246" width="11" style="3215" customWidth="1"/>
    <col min="10247" max="10247" width="9" style="3215"/>
    <col min="10248" max="10248" width="13.75" style="3215" customWidth="1"/>
    <col min="10249" max="10496" width="9" style="3215"/>
    <col min="10497" max="10497" width="14.25" style="3215" customWidth="1"/>
    <col min="10498" max="10498" width="18.75" style="3215" customWidth="1"/>
    <col min="10499" max="10501" width="14.25" style="3215" customWidth="1"/>
    <col min="10502" max="10502" width="11" style="3215" customWidth="1"/>
    <col min="10503" max="10503" width="9" style="3215"/>
    <col min="10504" max="10504" width="13.75" style="3215" customWidth="1"/>
    <col min="10505" max="10752" width="9" style="3215"/>
    <col min="10753" max="10753" width="14.25" style="3215" customWidth="1"/>
    <col min="10754" max="10754" width="18.75" style="3215" customWidth="1"/>
    <col min="10755" max="10757" width="14.25" style="3215" customWidth="1"/>
    <col min="10758" max="10758" width="11" style="3215" customWidth="1"/>
    <col min="10759" max="10759" width="9" style="3215"/>
    <col min="10760" max="10760" width="13.75" style="3215" customWidth="1"/>
    <col min="10761" max="11008" width="9" style="3215"/>
    <col min="11009" max="11009" width="14.25" style="3215" customWidth="1"/>
    <col min="11010" max="11010" width="18.75" style="3215" customWidth="1"/>
    <col min="11011" max="11013" width="14.25" style="3215" customWidth="1"/>
    <col min="11014" max="11014" width="11" style="3215" customWidth="1"/>
    <col min="11015" max="11015" width="9" style="3215"/>
    <col min="11016" max="11016" width="13.75" style="3215" customWidth="1"/>
    <col min="11017" max="11264" width="9" style="3215"/>
    <col min="11265" max="11265" width="14.25" style="3215" customWidth="1"/>
    <col min="11266" max="11266" width="18.75" style="3215" customWidth="1"/>
    <col min="11267" max="11269" width="14.25" style="3215" customWidth="1"/>
    <col min="11270" max="11270" width="11" style="3215" customWidth="1"/>
    <col min="11271" max="11271" width="9" style="3215"/>
    <col min="11272" max="11272" width="13.75" style="3215" customWidth="1"/>
    <col min="11273" max="11520" width="9" style="3215"/>
    <col min="11521" max="11521" width="14.25" style="3215" customWidth="1"/>
    <col min="11522" max="11522" width="18.75" style="3215" customWidth="1"/>
    <col min="11523" max="11525" width="14.25" style="3215" customWidth="1"/>
    <col min="11526" max="11526" width="11" style="3215" customWidth="1"/>
    <col min="11527" max="11527" width="9" style="3215"/>
    <col min="11528" max="11528" width="13.75" style="3215" customWidth="1"/>
    <col min="11529" max="11776" width="9" style="3215"/>
    <col min="11777" max="11777" width="14.25" style="3215" customWidth="1"/>
    <col min="11778" max="11778" width="18.75" style="3215" customWidth="1"/>
    <col min="11779" max="11781" width="14.25" style="3215" customWidth="1"/>
    <col min="11782" max="11782" width="11" style="3215" customWidth="1"/>
    <col min="11783" max="11783" width="9" style="3215"/>
    <col min="11784" max="11784" width="13.75" style="3215" customWidth="1"/>
    <col min="11785" max="12032" width="9" style="3215"/>
    <col min="12033" max="12033" width="14.25" style="3215" customWidth="1"/>
    <col min="12034" max="12034" width="18.75" style="3215" customWidth="1"/>
    <col min="12035" max="12037" width="14.25" style="3215" customWidth="1"/>
    <col min="12038" max="12038" width="11" style="3215" customWidth="1"/>
    <col min="12039" max="12039" width="9" style="3215"/>
    <col min="12040" max="12040" width="13.75" style="3215" customWidth="1"/>
    <col min="12041" max="12288" width="9" style="3215"/>
    <col min="12289" max="12289" width="14.25" style="3215" customWidth="1"/>
    <col min="12290" max="12290" width="18.75" style="3215" customWidth="1"/>
    <col min="12291" max="12293" width="14.25" style="3215" customWidth="1"/>
    <col min="12294" max="12294" width="11" style="3215" customWidth="1"/>
    <col min="12295" max="12295" width="9" style="3215"/>
    <col min="12296" max="12296" width="13.75" style="3215" customWidth="1"/>
    <col min="12297" max="12544" width="9" style="3215"/>
    <col min="12545" max="12545" width="14.25" style="3215" customWidth="1"/>
    <col min="12546" max="12546" width="18.75" style="3215" customWidth="1"/>
    <col min="12547" max="12549" width="14.25" style="3215" customWidth="1"/>
    <col min="12550" max="12550" width="11" style="3215" customWidth="1"/>
    <col min="12551" max="12551" width="9" style="3215"/>
    <col min="12552" max="12552" width="13.75" style="3215" customWidth="1"/>
    <col min="12553" max="12800" width="9" style="3215"/>
    <col min="12801" max="12801" width="14.25" style="3215" customWidth="1"/>
    <col min="12802" max="12802" width="18.75" style="3215" customWidth="1"/>
    <col min="12803" max="12805" width="14.25" style="3215" customWidth="1"/>
    <col min="12806" max="12806" width="11" style="3215" customWidth="1"/>
    <col min="12807" max="12807" width="9" style="3215"/>
    <col min="12808" max="12808" width="13.75" style="3215" customWidth="1"/>
    <col min="12809" max="13056" width="9" style="3215"/>
    <col min="13057" max="13057" width="14.25" style="3215" customWidth="1"/>
    <col min="13058" max="13058" width="18.75" style="3215" customWidth="1"/>
    <col min="13059" max="13061" width="14.25" style="3215" customWidth="1"/>
    <col min="13062" max="13062" width="11" style="3215" customWidth="1"/>
    <col min="13063" max="13063" width="9" style="3215"/>
    <col min="13064" max="13064" width="13.75" style="3215" customWidth="1"/>
    <col min="13065" max="13312" width="9" style="3215"/>
    <col min="13313" max="13313" width="14.25" style="3215" customWidth="1"/>
    <col min="13314" max="13314" width="18.75" style="3215" customWidth="1"/>
    <col min="13315" max="13317" width="14.25" style="3215" customWidth="1"/>
    <col min="13318" max="13318" width="11" style="3215" customWidth="1"/>
    <col min="13319" max="13319" width="9" style="3215"/>
    <col min="13320" max="13320" width="13.75" style="3215" customWidth="1"/>
    <col min="13321" max="13568" width="9" style="3215"/>
    <col min="13569" max="13569" width="14.25" style="3215" customWidth="1"/>
    <col min="13570" max="13570" width="18.75" style="3215" customWidth="1"/>
    <col min="13571" max="13573" width="14.25" style="3215" customWidth="1"/>
    <col min="13574" max="13574" width="11" style="3215" customWidth="1"/>
    <col min="13575" max="13575" width="9" style="3215"/>
    <col min="13576" max="13576" width="13.75" style="3215" customWidth="1"/>
    <col min="13577" max="13824" width="9" style="3215"/>
    <col min="13825" max="13825" width="14.25" style="3215" customWidth="1"/>
    <col min="13826" max="13826" width="18.75" style="3215" customWidth="1"/>
    <col min="13827" max="13829" width="14.25" style="3215" customWidth="1"/>
    <col min="13830" max="13830" width="11" style="3215" customWidth="1"/>
    <col min="13831" max="13831" width="9" style="3215"/>
    <col min="13832" max="13832" width="13.75" style="3215" customWidth="1"/>
    <col min="13833" max="14080" width="9" style="3215"/>
    <col min="14081" max="14081" width="14.25" style="3215" customWidth="1"/>
    <col min="14082" max="14082" width="18.75" style="3215" customWidth="1"/>
    <col min="14083" max="14085" width="14.25" style="3215" customWidth="1"/>
    <col min="14086" max="14086" width="11" style="3215" customWidth="1"/>
    <col min="14087" max="14087" width="9" style="3215"/>
    <col min="14088" max="14088" width="13.75" style="3215" customWidth="1"/>
    <col min="14089" max="14336" width="9" style="3215"/>
    <col min="14337" max="14337" width="14.25" style="3215" customWidth="1"/>
    <col min="14338" max="14338" width="18.75" style="3215" customWidth="1"/>
    <col min="14339" max="14341" width="14.25" style="3215" customWidth="1"/>
    <col min="14342" max="14342" width="11" style="3215" customWidth="1"/>
    <col min="14343" max="14343" width="9" style="3215"/>
    <col min="14344" max="14344" width="13.75" style="3215" customWidth="1"/>
    <col min="14345" max="14592" width="9" style="3215"/>
    <col min="14593" max="14593" width="14.25" style="3215" customWidth="1"/>
    <col min="14594" max="14594" width="18.75" style="3215" customWidth="1"/>
    <col min="14595" max="14597" width="14.25" style="3215" customWidth="1"/>
    <col min="14598" max="14598" width="11" style="3215" customWidth="1"/>
    <col min="14599" max="14599" width="9" style="3215"/>
    <col min="14600" max="14600" width="13.75" style="3215" customWidth="1"/>
    <col min="14601" max="14848" width="9" style="3215"/>
    <col min="14849" max="14849" width="14.25" style="3215" customWidth="1"/>
    <col min="14850" max="14850" width="18.75" style="3215" customWidth="1"/>
    <col min="14851" max="14853" width="14.25" style="3215" customWidth="1"/>
    <col min="14854" max="14854" width="11" style="3215" customWidth="1"/>
    <col min="14855" max="14855" width="9" style="3215"/>
    <col min="14856" max="14856" width="13.75" style="3215" customWidth="1"/>
    <col min="14857" max="15104" width="9" style="3215"/>
    <col min="15105" max="15105" width="14.25" style="3215" customWidth="1"/>
    <col min="15106" max="15106" width="18.75" style="3215" customWidth="1"/>
    <col min="15107" max="15109" width="14.25" style="3215" customWidth="1"/>
    <col min="15110" max="15110" width="11" style="3215" customWidth="1"/>
    <col min="15111" max="15111" width="9" style="3215"/>
    <col min="15112" max="15112" width="13.75" style="3215" customWidth="1"/>
    <col min="15113" max="15360" width="9" style="3215"/>
    <col min="15361" max="15361" width="14.25" style="3215" customWidth="1"/>
    <col min="15362" max="15362" width="18.75" style="3215" customWidth="1"/>
    <col min="15363" max="15365" width="14.25" style="3215" customWidth="1"/>
    <col min="15366" max="15366" width="11" style="3215" customWidth="1"/>
    <col min="15367" max="15367" width="9" style="3215"/>
    <col min="15368" max="15368" width="13.75" style="3215" customWidth="1"/>
    <col min="15369" max="15616" width="9" style="3215"/>
    <col min="15617" max="15617" width="14.25" style="3215" customWidth="1"/>
    <col min="15618" max="15618" width="18.75" style="3215" customWidth="1"/>
    <col min="15619" max="15621" width="14.25" style="3215" customWidth="1"/>
    <col min="15622" max="15622" width="11" style="3215" customWidth="1"/>
    <col min="15623" max="15623" width="9" style="3215"/>
    <col min="15624" max="15624" width="13.75" style="3215" customWidth="1"/>
    <col min="15625" max="15872" width="9" style="3215"/>
    <col min="15873" max="15873" width="14.25" style="3215" customWidth="1"/>
    <col min="15874" max="15874" width="18.75" style="3215" customWidth="1"/>
    <col min="15875" max="15877" width="14.25" style="3215" customWidth="1"/>
    <col min="15878" max="15878" width="11" style="3215" customWidth="1"/>
    <col min="15879" max="15879" width="9" style="3215"/>
    <col min="15880" max="15880" width="13.75" style="3215" customWidth="1"/>
    <col min="15881" max="16128" width="9" style="3215"/>
    <col min="16129" max="16129" width="14.25" style="3215" customWidth="1"/>
    <col min="16130" max="16130" width="18.75" style="3215" customWidth="1"/>
    <col min="16131" max="16133" width="14.25" style="3215" customWidth="1"/>
    <col min="16134" max="16134" width="11" style="3215" customWidth="1"/>
    <col min="16135" max="16135" width="9" style="3215"/>
    <col min="16136" max="16136" width="13.75" style="3215" customWidth="1"/>
    <col min="16137" max="16384" width="9" style="3215"/>
  </cols>
  <sheetData>
    <row r="1" spans="1:6" ht="20.25" customHeight="1" thickBot="1">
      <c r="A1" s="3213" t="s">
        <v>3335</v>
      </c>
      <c r="B1" s="3214">
        <f>项目基本情况!D3</f>
        <v>43426</v>
      </c>
    </row>
    <row r="2" spans="1:6" ht="33" customHeight="1">
      <c r="A2" s="3216" t="s">
        <v>3336</v>
      </c>
      <c r="B2" s="3217" t="s">
        <v>2988</v>
      </c>
      <c r="C2" s="3218" t="s">
        <v>3337</v>
      </c>
      <c r="D2" s="3217" t="s">
        <v>3338</v>
      </c>
      <c r="E2" s="3219" t="s">
        <v>3339</v>
      </c>
    </row>
    <row r="3" spans="1:6" ht="20.25" customHeight="1">
      <c r="A3" s="3220">
        <v>50</v>
      </c>
      <c r="B3" s="3221">
        <f>项目基本情况!D17</f>
        <v>59808</v>
      </c>
      <c r="C3" s="174">
        <f>ROUNDDOWN(MIN((B3-$B$1)/365,A3),2)</f>
        <v>44.88</v>
      </c>
      <c r="D3" s="175">
        <f>IF(ISERROR(ROUND(POWER(1+E3,A3-C3)*(POWER(1+E3,C3)-1)/(POWER(1+E3,A3)-1),3)),0,ROUND(POWER(1+E3,A3-C3)*(POWER(1+E3,C3)-1)/(POWER(1+E3,A3)-1),3))</f>
        <v>0.97299999999999998</v>
      </c>
      <c r="E3" s="3222">
        <f>'数据-取费表'!H6</f>
        <v>0.05</v>
      </c>
    </row>
    <row r="4" spans="1:6" ht="20.25" customHeight="1">
      <c r="A4" s="3220">
        <v>50</v>
      </c>
      <c r="B4" s="3221"/>
      <c r="C4" s="174">
        <f>ROUNDDOWN(MIN((B4-$B$1)/365,A4),2)</f>
        <v>-118.97</v>
      </c>
      <c r="D4" s="175">
        <f>IF(ISERROR(ROUND(POWER(1+E4,A4-C4)*(POWER(1+E4,C4)-1)/(POWER(1+E4,A4)-1),3)),0,ROUND(POWER(1+E4,A4-C4)*(POWER(1+E4,C4)-1)/(POWER(1+E4,A4)-1),3))</f>
        <v>-122.52200000000001</v>
      </c>
      <c r="E4" s="3222">
        <v>0.04</v>
      </c>
    </row>
    <row r="5" spans="1:6" ht="20.25" customHeight="1" thickBot="1">
      <c r="A5" s="3223">
        <v>70</v>
      </c>
      <c r="B5" s="3224"/>
      <c r="C5" s="3225">
        <f>ROUNDDOWN(MIN((B5-$B$1)/365,A5),2)</f>
        <v>-118.97</v>
      </c>
      <c r="D5" s="3226">
        <f>IF(ISERROR(ROUND(POWER(1+E5,A5-C5)*(POWER(1+E5,C5)-1)/(POWER(1+E5,A5)-1),3)),0,ROUND(POWER(1+E5,A5-C5)*(POWER(1+E5,C5)-1)/(POWER(1+E5,A5)-1),3))</f>
        <v>-112.506</v>
      </c>
      <c r="E5" s="3227">
        <v>0.04</v>
      </c>
    </row>
    <row r="6" spans="1:6" ht="20.25" customHeight="1" thickBot="1"/>
    <row r="7" spans="1:6" s="3230" customFormat="1" ht="20.25" customHeight="1" thickBot="1">
      <c r="A7" s="3228" t="s">
        <v>3340</v>
      </c>
      <c r="B7" s="3229"/>
    </row>
    <row r="8" spans="1:6" ht="20.25" customHeight="1" thickBot="1">
      <c r="A8" s="3482" t="s">
        <v>3341</v>
      </c>
      <c r="B8" s="3483"/>
      <c r="C8" s="3231"/>
      <c r="D8" s="3232" t="s">
        <v>3339</v>
      </c>
      <c r="E8" s="3231"/>
      <c r="F8" s="3233" t="s">
        <v>3338</v>
      </c>
    </row>
    <row r="9" spans="1:6" ht="20.25" customHeight="1">
      <c r="A9" s="3234" t="s">
        <v>3342</v>
      </c>
      <c r="B9" s="3252">
        <f>C3</f>
        <v>44.88</v>
      </c>
      <c r="C9" s="3235" t="s">
        <v>3343</v>
      </c>
      <c r="D9" s="3236">
        <f>E3</f>
        <v>0.05</v>
      </c>
      <c r="E9" s="3235" t="s">
        <v>3344</v>
      </c>
      <c r="F9" s="3237">
        <f>1-(1/(POWER(1+D9,B9)))</f>
        <v>0.88804995880090765</v>
      </c>
    </row>
    <row r="10" spans="1:6" ht="20.25" customHeight="1" thickBot="1">
      <c r="A10" s="3238" t="s">
        <v>3345</v>
      </c>
      <c r="B10" s="3239">
        <v>40</v>
      </c>
      <c r="C10" s="3240" t="s">
        <v>3346</v>
      </c>
      <c r="D10" s="3241">
        <f>E3</f>
        <v>0.05</v>
      </c>
      <c r="E10" s="3240" t="s">
        <v>3347</v>
      </c>
      <c r="F10" s="3242">
        <f>1-(1/(POWER(1+D10,B10)))</f>
        <v>0.85795431769972219</v>
      </c>
    </row>
    <row r="11" spans="1:6" ht="20.25" customHeight="1" thickBot="1">
      <c r="A11" s="3243" t="s">
        <v>3348</v>
      </c>
      <c r="B11" s="3244"/>
      <c r="C11" s="3244"/>
      <c r="D11" s="3244"/>
      <c r="E11" s="3244"/>
      <c r="F11" s="3244"/>
    </row>
    <row r="12" spans="1:6" ht="20.25" customHeight="1">
      <c r="A12" s="3234" t="s">
        <v>3349</v>
      </c>
      <c r="B12" s="3245">
        <v>5000</v>
      </c>
      <c r="E12" s="3246"/>
      <c r="F12" s="3246"/>
    </row>
    <row r="13" spans="1:6" ht="20.25" customHeight="1" thickBot="1">
      <c r="A13" s="3238" t="s">
        <v>3350</v>
      </c>
      <c r="B13" s="3247">
        <f>ROUND(B12*F10/F9,2)</f>
        <v>4830.55</v>
      </c>
      <c r="C13" s="3248">
        <f>ROUND(F10/F9,4)</f>
        <v>0.96609999999999996</v>
      </c>
      <c r="E13" s="3246"/>
      <c r="F13" s="3246"/>
    </row>
    <row r="14" spans="1:6" ht="20.25" customHeight="1" thickBot="1">
      <c r="A14" s="3243" t="s">
        <v>3351</v>
      </c>
      <c r="B14" s="3249"/>
      <c r="C14" s="3246"/>
    </row>
    <row r="15" spans="1:6" ht="20.25" customHeight="1">
      <c r="A15" s="3235" t="s">
        <v>3352</v>
      </c>
      <c r="B15" s="3250">
        <v>4810</v>
      </c>
      <c r="C15" s="3246"/>
    </row>
    <row r="16" spans="1:6" ht="20.25" customHeight="1" thickBot="1">
      <c r="A16" s="3240" t="s">
        <v>3353</v>
      </c>
      <c r="B16" s="3251">
        <f>ROUND(B15*F9/F10,2)</f>
        <v>4978.7299999999996</v>
      </c>
      <c r="C16" s="3248">
        <f>ROUND(F9/F10,4)</f>
        <v>1.0350999999999999</v>
      </c>
    </row>
    <row r="17" spans="3:3" ht="20.25" customHeight="1">
      <c r="C17" s="3246"/>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28412</v>
      </c>
      <c r="C2" s="2105"/>
      <c r="D2" s="2105"/>
      <c r="E2" s="2105"/>
      <c r="F2" s="2105"/>
      <c r="G2" s="2105"/>
      <c r="H2" s="2105"/>
      <c r="I2" s="2105"/>
      <c r="J2" s="2105"/>
      <c r="K2" s="2105"/>
    </row>
    <row r="3" spans="1:31" s="2042" customFormat="1" ht="18" customHeight="1">
      <c r="A3" s="2107" t="s">
        <v>1684</v>
      </c>
      <c r="B3" s="2108">
        <f ca="1">ROUND(B2*10000/IF(B1="",'数据-汇总表'!E3,INDIRECT("'数据-取费表'!K"&amp;$K$1)),0)</f>
        <v>5034</v>
      </c>
      <c r="C3" s="2105"/>
      <c r="D3" s="2105"/>
      <c r="E3" s="2105"/>
      <c r="F3" s="2105"/>
      <c r="G3" s="2105"/>
      <c r="H3" s="2105"/>
      <c r="I3" s="2105"/>
      <c r="J3" s="2105"/>
      <c r="K3" s="2105"/>
    </row>
    <row r="4" spans="1:31" s="2042" customFormat="1" ht="18" customHeight="1">
      <c r="A4" s="426" t="s">
        <v>468</v>
      </c>
      <c r="B4" s="427">
        <f ca="1">ROUND(B2*10000/IF(B1="",'数据-汇总表'!D3,INDIRECT("'数据-取费表'!R"&amp;$K$1)),0)</f>
        <v>8055</v>
      </c>
      <c r="C4" s="428"/>
      <c r="D4" s="422"/>
      <c r="E4" s="422"/>
      <c r="F4" s="422"/>
      <c r="G4" s="422"/>
      <c r="H4" s="422"/>
      <c r="I4" s="422"/>
      <c r="J4" s="422"/>
      <c r="K4" s="422"/>
    </row>
    <row r="5" spans="1:31" s="2042" customFormat="1" ht="18" customHeight="1" thickBot="1">
      <c r="A5" s="429"/>
      <c r="B5" s="430">
        <f ca="1">ROUND(B2/(IF(B1="",'数据-汇总表'!D3,INDIRECT("'数据-取费表'!R"&amp;$K$1))/666.67),0)</f>
        <v>537</v>
      </c>
      <c r="C5" s="431" t="s">
        <v>469</v>
      </c>
      <c r="D5" s="422"/>
      <c r="E5" s="422"/>
      <c r="F5" s="422"/>
      <c r="G5" s="422"/>
      <c r="H5" s="422"/>
      <c r="I5" s="422"/>
      <c r="J5" s="422"/>
      <c r="K5" s="422"/>
    </row>
    <row r="6" spans="1:31" s="2112" customFormat="1" ht="16.5" customHeight="1">
      <c r="A6" s="2829" t="s">
        <v>1842</v>
      </c>
      <c r="B6" s="2830"/>
      <c r="C6" s="2831">
        <f ca="1">SUM(C10:K10)</f>
        <v>78107</v>
      </c>
      <c r="D6" s="2830"/>
      <c r="E6" s="2830"/>
      <c r="F6" s="2830"/>
      <c r="G6" s="2830"/>
      <c r="H6" s="2830"/>
      <c r="I6" s="2830"/>
      <c r="J6" s="2830"/>
      <c r="K6" s="2832"/>
    </row>
    <row r="7" spans="1:31" s="2114" customFormat="1" ht="15">
      <c r="A7" s="2833" t="s">
        <v>470</v>
      </c>
      <c r="B7" s="2834" t="s">
        <v>471</v>
      </c>
      <c r="C7" s="436" t="s">
        <v>3264</v>
      </c>
      <c r="D7" s="436" t="s">
        <v>3265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'不动产比较法-住宅'!C49</f>
        <v>12874</v>
      </c>
      <c r="D8" s="2835">
        <f ca="1">不动产收益法!B3</f>
        <v>17704</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45148</v>
      </c>
      <c r="D9" s="441">
        <f>SUMIF('数据-汇总表'!$C19:$C33,'剩余法-待开发'!D7,'数据-汇总表'!$E19:$E33)</f>
        <v>11287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30">
        <f>'不动产比较法-住宅'!B2</f>
        <v>58124</v>
      </c>
      <c r="D10" s="3030">
        <f ca="1">不动产收益法!B2</f>
        <v>19983</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17833</v>
      </c>
      <c r="D13" s="2845"/>
      <c r="E13" s="2846"/>
      <c r="F13" s="2847"/>
      <c r="G13" s="2813"/>
      <c r="H13" s="2814"/>
      <c r="I13" s="2814"/>
      <c r="J13" s="2814"/>
      <c r="K13" s="2815"/>
    </row>
    <row r="14" spans="1:31" s="2117" customFormat="1" ht="13.5" customHeight="1">
      <c r="A14" s="2843" t="s">
        <v>1849</v>
      </c>
      <c r="B14" s="2844" t="s">
        <v>480</v>
      </c>
      <c r="C14" s="53">
        <f ca="1">ROUND(C13*F14,0)</f>
        <v>892</v>
      </c>
      <c r="D14" s="2845"/>
      <c r="E14" s="2846"/>
      <c r="F14" s="2848">
        <f>'数据-取费表'!B33</f>
        <v>0.05</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1445</v>
      </c>
      <c r="D15" s="2845"/>
      <c r="E15" s="2846"/>
      <c r="F15" s="2848">
        <f>'数据-取费表'!B34</f>
        <v>0.1</v>
      </c>
      <c r="G15" s="2813" t="s">
        <v>483</v>
      </c>
      <c r="H15" s="2814"/>
      <c r="I15" s="2814"/>
      <c r="J15" s="2814"/>
      <c r="K15" s="2815"/>
    </row>
    <row r="16" spans="1:31" s="2118" customFormat="1" ht="13.5" customHeight="1">
      <c r="A16" s="2843" t="s">
        <v>1851</v>
      </c>
      <c r="B16" s="2844" t="s">
        <v>484</v>
      </c>
      <c r="C16" s="53">
        <f ca="1">ROUND(D16*E16/10000,0)</f>
        <v>1129</v>
      </c>
      <c r="D16" s="2845">
        <f ca="1">IF(B1="",'数据-汇总表'!E3,INDIRECT("'数据-取费表'!K"&amp;$K$1)+INDIRECT("'数据-取费表'!S"&amp;$K$1))</f>
        <v>56435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267</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21566</v>
      </c>
      <c r="D18" s="2854"/>
      <c r="E18" s="468"/>
      <c r="F18" s="468"/>
      <c r="G18" s="2817" t="s">
        <v>2430</v>
      </c>
      <c r="H18" s="2818"/>
      <c r="I18" s="2818"/>
      <c r="J18" s="2818"/>
      <c r="K18" s="2819"/>
    </row>
    <row r="19" spans="1:14" s="2117" customFormat="1" ht="13.5" customHeight="1">
      <c r="A19" s="2851" t="s">
        <v>1854</v>
      </c>
      <c r="B19" s="2852" t="s">
        <v>488</v>
      </c>
      <c r="C19" s="2809">
        <f ca="1">ROUND(D19*E19/10000,0)</f>
        <v>0</v>
      </c>
      <c r="D19" s="2855">
        <f ca="1">D16</f>
        <v>56435</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1636</v>
      </c>
      <c r="D20" s="2855"/>
      <c r="E20" s="2809"/>
      <c r="F20" s="2856"/>
      <c r="G20" s="3090"/>
      <c r="H20" s="2811"/>
      <c r="I20" s="2812" t="s">
        <v>2650</v>
      </c>
      <c r="J20" s="2818"/>
      <c r="K20" s="2819"/>
    </row>
    <row r="21" spans="1:14" s="2117" customFormat="1" ht="13.5" customHeight="1">
      <c r="A21" s="2843" t="s">
        <v>1856</v>
      </c>
      <c r="B21" s="2844" t="s">
        <v>491</v>
      </c>
      <c r="C21" s="53">
        <f ca="1">ROUND(D21*E21/10000,0)</f>
        <v>1309</v>
      </c>
      <c r="D21" s="2845">
        <f ca="1">IF(B1="",'数据-汇总表'!E5,IF(INDIRECT("'数据-取费表'!c"&amp;$K$1)="住宅",INDIRECT("'数据-取费表'!k"&amp;$K$1),0))</f>
        <v>45148</v>
      </c>
      <c r="E21" s="53">
        <f>'数据-取费表'!B27</f>
        <v>290</v>
      </c>
      <c r="F21" s="2848"/>
      <c r="G21" s="26"/>
      <c r="H21" s="51"/>
      <c r="I21" s="51"/>
      <c r="J21" s="51"/>
      <c r="K21" s="2820"/>
    </row>
    <row r="22" spans="1:14" s="2117" customFormat="1" ht="13.5" customHeight="1">
      <c r="A22" s="2843" t="s">
        <v>1857</v>
      </c>
      <c r="B22" s="2844" t="s">
        <v>492</v>
      </c>
      <c r="C22" s="53">
        <f ca="1">ROUND(D22*E22/10000,0)</f>
        <v>327</v>
      </c>
      <c r="D22" s="2845">
        <f ca="1">IF(B1="",'数据-汇总表'!E6,IF(INDIRECT("'数据-取费表'!c"&amp;$K$1)="住宅",INDIRECT("'数据-取费表'!s"&amp;$K$1),INDIRECT("'数据-取费表'!k"&amp;$K$1)+INDIRECT("'数据-取费表'!s"&amp;$K$1)))</f>
        <v>11287</v>
      </c>
      <c r="E22" s="53">
        <f>'数据-取费表'!B28</f>
        <v>290</v>
      </c>
      <c r="F22" s="2848"/>
      <c r="G22" s="26"/>
      <c r="H22" s="51"/>
      <c r="I22" s="51"/>
      <c r="J22" s="51"/>
      <c r="K22" s="2820"/>
    </row>
    <row r="23" spans="1:14" s="2117" customFormat="1" ht="13.5" customHeight="1">
      <c r="A23" s="2851" t="s">
        <v>1858</v>
      </c>
      <c r="B23" s="3036" t="s">
        <v>2833</v>
      </c>
      <c r="C23" s="2853">
        <f ca="1">ROUND((C18+C19+C20)*F23,0)</f>
        <v>696</v>
      </c>
      <c r="D23" s="468"/>
      <c r="E23" s="468"/>
      <c r="F23" s="2857">
        <f>'数据-取费表'!B37</f>
        <v>0.03</v>
      </c>
      <c r="G23" s="2813" t="s">
        <v>2431</v>
      </c>
      <c r="H23" s="2814"/>
      <c r="I23" s="2814"/>
      <c r="J23" s="2814"/>
      <c r="K23" s="2815"/>
      <c r="L23" s="2119"/>
      <c r="M23" s="2119"/>
      <c r="N23" s="2119"/>
    </row>
    <row r="24" spans="1:14" s="2117" customFormat="1" ht="13.5" customHeight="1">
      <c r="A24" s="2851" t="s">
        <v>1859</v>
      </c>
      <c r="B24" s="3036" t="s">
        <v>2836</v>
      </c>
      <c r="C24" s="2853">
        <f ca="1">ROUND(C6*F24,0)</f>
        <v>2343</v>
      </c>
      <c r="D24" s="475"/>
      <c r="E24" s="473"/>
      <c r="F24" s="2857">
        <f>'数据-取费表'!B38</f>
        <v>0.03</v>
      </c>
      <c r="G24" s="2822" t="s">
        <v>499</v>
      </c>
      <c r="H24" s="2816"/>
      <c r="I24" s="2816"/>
      <c r="J24" s="2816"/>
      <c r="K24" s="279"/>
      <c r="L24" s="2119"/>
      <c r="M24" s="2119"/>
      <c r="N24" s="2119"/>
    </row>
    <row r="25" spans="1:14" s="2120" customFormat="1" ht="13.5" customHeight="1">
      <c r="A25" s="2851" t="s">
        <v>1860</v>
      </c>
      <c r="B25" s="3036" t="s">
        <v>2834</v>
      </c>
      <c r="C25" s="467">
        <f>ROUND(F25/(1+'数据-取费表'!C42),4)</f>
        <v>2.9000000000000001E-2</v>
      </c>
      <c r="D25" s="462" t="s">
        <v>2828</v>
      </c>
      <c r="E25" s="469"/>
      <c r="F25" s="2857">
        <f>'数据-取费表'!B48+'数据-取费表'!B49</f>
        <v>3.0499999999999999E-2</v>
      </c>
      <c r="G25" s="2821" t="s">
        <v>2290</v>
      </c>
      <c r="H25" s="2814"/>
      <c r="I25" s="2814"/>
      <c r="J25" s="2814"/>
      <c r="K25" s="2815"/>
    </row>
    <row r="26" spans="1:14" s="2119" customFormat="1" ht="13.5" customHeight="1">
      <c r="A26" s="2851" t="s">
        <v>1861</v>
      </c>
      <c r="B26" s="3037" t="s">
        <v>2835</v>
      </c>
      <c r="C26" s="2858">
        <f ca="1">C28</f>
        <v>1892</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2837</v>
      </c>
      <c r="C28" s="2861">
        <f ca="1">ROUND(IF('数据-取费表'!B22&lt;=1,(C18+C19+C20+C23+C24)*F26*'数据-取费表'!B24/2,(C18+C19+C20+C23+C24)*(POWER((1+F26),'数据-取费表'!B24/2)-1)),0)</f>
        <v>1892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4166</v>
      </c>
      <c r="D29" s="468"/>
      <c r="E29" s="468"/>
      <c r="F29" s="3038">
        <f>'数据-取费表'!B41</f>
        <v>5.6000000000000001E-2</v>
      </c>
      <c r="G29" s="2822" t="s">
        <v>498</v>
      </c>
      <c r="H29" s="2814"/>
      <c r="I29" s="2814"/>
      <c r="J29" s="2814"/>
      <c r="K29" s="2815"/>
    </row>
    <row r="30" spans="1:14" s="2122" customFormat="1" ht="13.5" customHeight="1">
      <c r="A30" s="1636" t="s">
        <v>1863</v>
      </c>
      <c r="B30" s="2863" t="s">
        <v>500</v>
      </c>
      <c r="C30" s="2858">
        <f ca="1">C31</f>
        <v>32299</v>
      </c>
      <c r="D30" s="477">
        <f ca="1">C32</f>
        <v>0.1827</v>
      </c>
      <c r="E30" s="469" t="s">
        <v>495</v>
      </c>
      <c r="F30" s="471"/>
      <c r="G30" s="2821" t="s">
        <v>2965</v>
      </c>
      <c r="H30" s="2814"/>
      <c r="I30" s="2814"/>
      <c r="J30" s="2814"/>
      <c r="K30" s="2815"/>
    </row>
    <row r="31" spans="1:14" s="2121" customFormat="1" ht="13.5" customHeight="1">
      <c r="A31" s="803" t="s">
        <v>1856</v>
      </c>
      <c r="B31" s="2859"/>
      <c r="C31" s="450">
        <f ca="1">C18+C19+C20+C23+C24+C26+C29</f>
        <v>32299</v>
      </c>
      <c r="D31" s="472"/>
      <c r="E31" s="473"/>
      <c r="F31" s="474"/>
      <c r="G31" s="261"/>
      <c r="H31" s="2816"/>
      <c r="I31" s="2816"/>
      <c r="J31" s="2816"/>
      <c r="K31" s="279"/>
    </row>
    <row r="32" spans="1:14" s="2121" customFormat="1" ht="13.5" customHeight="1">
      <c r="A32" s="803" t="s">
        <v>1857</v>
      </c>
      <c r="B32" s="2859"/>
      <c r="C32" s="53">
        <f ca="1">ROUND(C25+D26,4)</f>
        <v>0.1827</v>
      </c>
      <c r="D32" s="472"/>
      <c r="E32" s="473"/>
      <c r="F32" s="474"/>
      <c r="G32" s="261"/>
      <c r="H32" s="2816"/>
      <c r="I32" s="2816"/>
      <c r="J32" s="2816"/>
      <c r="K32" s="279"/>
    </row>
    <row r="33" spans="1:11" s="2123" customFormat="1" ht="13.5" customHeight="1">
      <c r="A33" s="3035" t="s">
        <v>2832</v>
      </c>
      <c r="B33" s="3033" t="s">
        <v>2830</v>
      </c>
      <c r="C33" s="478">
        <f ca="1">C35</f>
        <v>5773</v>
      </c>
      <c r="D33" s="467">
        <f ca="1">C34</f>
        <v>0.22639999999999999</v>
      </c>
      <c r="E33" s="469" t="s">
        <v>495</v>
      </c>
      <c r="F33" s="479">
        <f ca="1">IF(B1="",'数据-取费表'!Q16,INDIRECT("'数据-取费表'!q"&amp;$K$1))</f>
        <v>0.22</v>
      </c>
      <c r="G33" s="2817"/>
      <c r="H33" s="2818"/>
      <c r="I33" s="2818"/>
      <c r="J33" s="2818"/>
      <c r="K33" s="2819"/>
    </row>
    <row r="34" spans="1:11" s="2124" customFormat="1" ht="13.5" customHeight="1">
      <c r="A34" s="375" t="s">
        <v>1856</v>
      </c>
      <c r="B34" s="2864" t="s">
        <v>501</v>
      </c>
      <c r="C34" s="472">
        <f ca="1">ROUND((1+C25)*F33,4)</f>
        <v>0.22639999999999999</v>
      </c>
      <c r="D34" s="472"/>
      <c r="E34" s="473"/>
      <c r="F34" s="480"/>
      <c r="G34" s="261" t="s">
        <v>2291</v>
      </c>
      <c r="H34" s="2816"/>
      <c r="I34" s="2816"/>
      <c r="J34" s="2816"/>
      <c r="K34" s="279"/>
    </row>
    <row r="35" spans="1:11" s="2124" customFormat="1" ht="13.5" customHeight="1" thickBot="1">
      <c r="A35" s="1637" t="s">
        <v>1857</v>
      </c>
      <c r="B35" s="3034" t="s">
        <v>2838</v>
      </c>
      <c r="C35" s="1629">
        <f ca="1">ROUND((C18+C19+C20+C23+C24)*F33,0)</f>
        <v>5773</v>
      </c>
      <c r="D35" s="1630"/>
      <c r="E35" s="2865"/>
      <c r="F35" s="1631"/>
      <c r="G35" s="2823"/>
      <c r="H35" s="2824"/>
      <c r="I35" s="2824"/>
      <c r="J35" s="2824"/>
      <c r="K35" s="2825"/>
    </row>
    <row r="36" spans="1:11" s="2086" customFormat="1" ht="13.5" customHeight="1" thickBot="1">
      <c r="A36" s="284" t="s">
        <v>1844</v>
      </c>
      <c r="B36" s="2827"/>
      <c r="C36" s="2866">
        <f ca="1">ROUND((C6-C30-C33)/(1+D30+D33),0)</f>
        <v>28412</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17833</v>
      </c>
      <c r="D13" s="451"/>
      <c r="E13" s="365"/>
      <c r="F13" s="452"/>
      <c r="G13" s="444"/>
      <c r="H13" s="447"/>
      <c r="I13" s="447"/>
      <c r="J13" s="447"/>
      <c r="K13" s="448"/>
    </row>
    <row r="14" spans="1:41" s="2117" customFormat="1" ht="13.5" customHeight="1">
      <c r="A14" s="1634" t="s">
        <v>1849</v>
      </c>
      <c r="B14" s="449" t="s">
        <v>480</v>
      </c>
      <c r="C14" s="53">
        <f ca="1">ROUND(C13*F14,0)</f>
        <v>892</v>
      </c>
      <c r="D14" s="451"/>
      <c r="E14" s="365"/>
      <c r="F14" s="453">
        <f>'数据-取费表'!B33</f>
        <v>0.05</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1445</v>
      </c>
      <c r="D15" s="451"/>
      <c r="E15" s="365"/>
      <c r="F15" s="453">
        <f>'数据-取费表'!B34</f>
        <v>0.1</v>
      </c>
      <c r="G15" s="444" t="s">
        <v>502</v>
      </c>
      <c r="H15" s="447"/>
      <c r="I15" s="447"/>
      <c r="J15" s="447"/>
      <c r="K15" s="448"/>
    </row>
    <row r="16" spans="1:41" s="2118" customFormat="1" ht="13.5" customHeight="1">
      <c r="A16" s="1634" t="s">
        <v>1851</v>
      </c>
      <c r="B16" s="449" t="s">
        <v>484</v>
      </c>
      <c r="C16" s="53">
        <f ca="1">ROUND(D16*E16/10000,0)</f>
        <v>1129</v>
      </c>
      <c r="D16" s="451">
        <f ca="1">IF(B1="",'数据-汇总表'!E3,INDIRECT("'数据-取费表'!K"&amp;$K$1)+INDIRECT("'数据-取费表'!S"&amp;$K$1))</f>
        <v>56435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267</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21566</v>
      </c>
      <c r="D18" s="461"/>
      <c r="E18" s="462"/>
      <c r="F18" s="462"/>
      <c r="G18" s="1327" t="s">
        <v>2432</v>
      </c>
      <c r="H18" s="447"/>
      <c r="I18" s="447"/>
      <c r="J18" s="447"/>
      <c r="K18" s="448"/>
    </row>
    <row r="19" spans="1:14" s="2120" customFormat="1" ht="13.5" customHeight="1">
      <c r="A19" s="1635" t="s">
        <v>1854</v>
      </c>
      <c r="B19" s="459" t="s">
        <v>493</v>
      </c>
      <c r="C19" s="460">
        <f ca="1">ROUND(C18*F19,0)</f>
        <v>647</v>
      </c>
      <c r="D19" s="462"/>
      <c r="E19" s="462"/>
      <c r="F19" s="466">
        <f>'数据-取费表'!B37</f>
        <v>0.03</v>
      </c>
      <c r="G19" s="444" t="s">
        <v>503</v>
      </c>
      <c r="H19" s="447"/>
      <c r="I19" s="447"/>
      <c r="J19" s="447"/>
      <c r="K19" s="448"/>
      <c r="L19" s="2122"/>
      <c r="M19" s="2122"/>
      <c r="N19" s="2122"/>
    </row>
    <row r="20" spans="1:14" s="2120" customFormat="1" ht="13.5" customHeight="1">
      <c r="A20" s="1635" t="s">
        <v>1855</v>
      </c>
      <c r="B20" s="459" t="s">
        <v>504</v>
      </c>
      <c r="C20" s="3031">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1858</v>
      </c>
      <c r="B21" s="461" t="s">
        <v>494</v>
      </c>
      <c r="C21" s="470">
        <f ca="1">C22</f>
        <v>1601</v>
      </c>
      <c r="D21" s="467">
        <f ca="1">C23</f>
        <v>2.2000000000000001E-3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1848</v>
      </c>
      <c r="B22" s="1328" t="s">
        <v>2435</v>
      </c>
      <c r="C22" s="487">
        <f ca="1">ROUND(IF('数据-取费表'!B22&lt;=1,(C18+C19)*F21*'数据-取费表'!B20/2,(C18+C19)*(POWER((1+F21),'数据-取费表'!B20/2)-1)),0)</f>
        <v>1601</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2.2000000000000001E-3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33" t="s">
        <v>2831</v>
      </c>
      <c r="C24" s="478">
        <f ca="1">C25</f>
        <v>4887</v>
      </c>
      <c r="D24" s="489">
        <f ca="1">C26</f>
        <v>6.6E-3</v>
      </c>
      <c r="E24" s="469" t="s">
        <v>507</v>
      </c>
      <c r="F24" s="479">
        <f ca="1">IF(B1="",'数据-取费表'!Q16,INDIRECT("'数据-取费表'!q"&amp;$K$1))</f>
        <v>0.22</v>
      </c>
      <c r="G24" s="444"/>
      <c r="H24" s="447"/>
      <c r="I24" s="447"/>
      <c r="J24" s="447"/>
      <c r="K24" s="448"/>
    </row>
    <row r="25" spans="1:14" s="2121" customFormat="1" ht="13.5" customHeight="1">
      <c r="A25" s="1634" t="s">
        <v>1848</v>
      </c>
      <c r="B25" s="1328" t="s">
        <v>2436</v>
      </c>
      <c r="C25" s="490">
        <f ca="1">ROUND((C18+C19)*F24,0)</f>
        <v>4887</v>
      </c>
      <c r="D25" s="472"/>
      <c r="E25" s="473"/>
      <c r="F25" s="480"/>
      <c r="G25" s="1326" t="s">
        <v>2433</v>
      </c>
      <c r="H25" s="457"/>
      <c r="I25" s="457"/>
      <c r="J25" s="457"/>
      <c r="K25" s="458"/>
    </row>
    <row r="26" spans="1:14" s="2121" customFormat="1" ht="13.5" customHeight="1">
      <c r="A26" s="1634" t="s">
        <v>1849</v>
      </c>
      <c r="B26" s="1328" t="s">
        <v>509</v>
      </c>
      <c r="C26" s="491">
        <f ca="1">ROUND(F20*F24,4)</f>
        <v>6.6E-3</v>
      </c>
      <c r="D26" s="472"/>
      <c r="E26" s="481"/>
      <c r="F26" s="480"/>
      <c r="G26" s="1326" t="s">
        <v>510</v>
      </c>
      <c r="H26" s="457"/>
      <c r="I26" s="457"/>
      <c r="J26" s="457"/>
      <c r="K26" s="458"/>
    </row>
    <row r="27" spans="1:14" s="2121" customFormat="1" ht="13.5" customHeight="1">
      <c r="A27" s="1638" t="s">
        <v>1867</v>
      </c>
      <c r="B27" s="459" t="s">
        <v>511</v>
      </c>
      <c r="C27" s="3032">
        <f>ROUND(F27/(1+'数据-取费表'!C42),4)</f>
        <v>5.33E-2</v>
      </c>
      <c r="D27" s="462" t="s">
        <v>2829</v>
      </c>
      <c r="E27" s="462"/>
      <c r="F27" s="466">
        <f>'数据-取费表'!B41</f>
        <v>5.6000000000000001E-2</v>
      </c>
      <c r="G27" s="1961" t="s">
        <v>2292</v>
      </c>
      <c r="H27" s="447"/>
      <c r="I27" s="447"/>
      <c r="J27" s="447"/>
      <c r="K27" s="448"/>
    </row>
    <row r="28" spans="1:14" s="2122" customFormat="1" ht="13.5" customHeight="1">
      <c r="A28" s="1638" t="s">
        <v>1868</v>
      </c>
      <c r="B28" s="476" t="s">
        <v>512</v>
      </c>
      <c r="C28" s="470">
        <f ca="1">ROUND((C18+C19+C21+C24)/(1-C20-D21-D24-C27),0)</f>
        <v>31613</v>
      </c>
      <c r="D28" s="477"/>
      <c r="E28" s="469"/>
      <c r="F28" s="471"/>
      <c r="G28" s="1327" t="s">
        <v>2434</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63" t="s">
        <v>522</v>
      </c>
      <c r="D6" s="3464"/>
      <c r="E6" s="3489" t="s">
        <v>523</v>
      </c>
      <c r="F6" s="3490"/>
      <c r="G6" s="3463" t="s">
        <v>524</v>
      </c>
      <c r="H6" s="3464"/>
      <c r="I6" s="3463" t="s">
        <v>525</v>
      </c>
      <c r="J6" s="3464"/>
      <c r="K6" s="514" t="s">
        <v>526</v>
      </c>
      <c r="L6" s="2134"/>
      <c r="M6" s="2135"/>
      <c r="N6" s="2135"/>
      <c r="O6" s="2135"/>
      <c r="P6" s="3465" t="s">
        <v>527</v>
      </c>
      <c r="Q6" s="3466"/>
      <c r="R6" s="3451" t="s">
        <v>523</v>
      </c>
      <c r="S6" s="3452"/>
      <c r="T6" s="3451" t="s">
        <v>524</v>
      </c>
      <c r="U6" s="3452"/>
      <c r="V6" s="3471" t="s">
        <v>525</v>
      </c>
      <c r="W6" s="3471"/>
      <c r="X6" s="1568"/>
      <c r="Y6" s="3451" t="s">
        <v>527</v>
      </c>
      <c r="Z6" s="3452"/>
      <c r="AA6" s="3446" t="s">
        <v>523</v>
      </c>
      <c r="AB6" s="3447" t="s">
        <v>524</v>
      </c>
      <c r="AC6" s="3446" t="s">
        <v>525</v>
      </c>
    </row>
    <row r="7" spans="1:29" ht="15">
      <c r="A7" s="515"/>
      <c r="B7" s="516"/>
      <c r="C7" s="3493" t="s">
        <v>2920</v>
      </c>
      <c r="D7" s="3494"/>
      <c r="E7" s="3491" t="s">
        <v>2921</v>
      </c>
      <c r="F7" s="3492"/>
      <c r="G7" s="3493" t="s">
        <v>2922</v>
      </c>
      <c r="H7" s="3494"/>
      <c r="I7" s="3493" t="s">
        <v>2923</v>
      </c>
      <c r="J7" s="3494"/>
      <c r="K7" s="514"/>
      <c r="L7" s="2134"/>
      <c r="M7" s="2135"/>
      <c r="N7" s="2135"/>
      <c r="O7" s="2135"/>
      <c r="P7" s="3467"/>
      <c r="Q7" s="3468"/>
      <c r="R7" s="3453"/>
      <c r="S7" s="3454"/>
      <c r="T7" s="3453"/>
      <c r="U7" s="3454"/>
      <c r="V7" s="3471"/>
      <c r="W7" s="3471"/>
      <c r="X7" s="1568"/>
      <c r="Y7" s="3453"/>
      <c r="Z7" s="3454"/>
      <c r="AA7" s="3447"/>
      <c r="AB7" s="3447"/>
      <c r="AC7" s="3447"/>
    </row>
    <row r="8" spans="1:29" ht="15.75" thickBot="1">
      <c r="A8" s="517"/>
      <c r="B8" s="518"/>
      <c r="C8" s="3495" t="s">
        <v>2924</v>
      </c>
      <c r="D8" s="3496"/>
      <c r="E8" s="3497" t="s">
        <v>2924</v>
      </c>
      <c r="F8" s="3498"/>
      <c r="G8" s="3495" t="s">
        <v>2924</v>
      </c>
      <c r="H8" s="3496"/>
      <c r="I8" s="3495" t="s">
        <v>2924</v>
      </c>
      <c r="J8" s="3496"/>
      <c r="K8" s="514" t="s">
        <v>528</v>
      </c>
      <c r="L8" s="2134"/>
      <c r="M8" s="2135"/>
      <c r="N8" s="2135"/>
      <c r="O8" s="2135"/>
      <c r="P8" s="3469"/>
      <c r="Q8" s="3470"/>
      <c r="R8" s="3453"/>
      <c r="S8" s="3454"/>
      <c r="T8" s="3455"/>
      <c r="U8" s="3456"/>
      <c r="V8" s="3471"/>
      <c r="W8" s="3471"/>
      <c r="X8" s="1568"/>
      <c r="Y8" s="3455"/>
      <c r="Z8" s="3456"/>
      <c r="AA8" s="3448"/>
      <c r="AB8" s="3448"/>
      <c r="AC8" s="3448"/>
    </row>
    <row r="9" spans="1:29" s="1220" customFormat="1" ht="15.75" thickBot="1">
      <c r="A9" s="2913"/>
      <c r="B9" s="2920" t="s">
        <v>529</v>
      </c>
      <c r="C9" s="519">
        <f>'数据-取费表'!B2</f>
        <v>43426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49" t="s">
        <v>530</v>
      </c>
      <c r="Q9" s="3458"/>
      <c r="R9" s="1569" t="s">
        <v>8</v>
      </c>
      <c r="S9" s="1570">
        <f t="shared" ref="S9:S17" si="0">F9</f>
        <v>0</v>
      </c>
      <c r="T9" s="1569" t="s">
        <v>8</v>
      </c>
      <c r="U9" s="1570">
        <f t="shared" ref="U9:U17" si="1">H9</f>
        <v>0</v>
      </c>
      <c r="V9" s="1569" t="s">
        <v>8</v>
      </c>
      <c r="W9" s="1570">
        <f t="shared" ref="W9:W17" si="2">J9</f>
        <v>0</v>
      </c>
      <c r="X9" s="1571"/>
      <c r="Y9" s="3449" t="s">
        <v>530</v>
      </c>
      <c r="Z9" s="3450"/>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49" t="s">
        <v>533</v>
      </c>
      <c r="Q10" s="3450"/>
      <c r="R10" s="1569" t="s">
        <v>8</v>
      </c>
      <c r="S10" s="1570">
        <f t="shared" si="0"/>
        <v>0</v>
      </c>
      <c r="T10" s="1569" t="s">
        <v>8</v>
      </c>
      <c r="U10" s="1570">
        <f t="shared" si="1"/>
        <v>0</v>
      </c>
      <c r="V10" s="1569" t="s">
        <v>8</v>
      </c>
      <c r="W10" s="1570">
        <f t="shared" si="2"/>
        <v>0</v>
      </c>
      <c r="X10" s="1571"/>
      <c r="Y10" s="3449" t="s">
        <v>533</v>
      </c>
      <c r="Z10" s="3450"/>
      <c r="AA10" s="1572" t="e">
        <f t="shared" ref="AA10:AA42" si="3">D10/F10</f>
        <v>#DIV/0!</v>
      </c>
      <c r="AB10" s="1572" t="e">
        <f t="shared" ref="AB10:AB42" si="4">D10/H10</f>
        <v>#DIV/0!</v>
      </c>
      <c r="AC10" s="1572"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57" t="s">
        <v>535</v>
      </c>
      <c r="Q11" s="1151" t="str">
        <f t="shared" ref="Q11:Q17" si="6">B11</f>
        <v>用途</v>
      </c>
      <c r="R11" s="1569" t="s">
        <v>8</v>
      </c>
      <c r="S11" s="1570">
        <f t="shared" si="0"/>
        <v>100</v>
      </c>
      <c r="T11" s="1569" t="s">
        <v>8</v>
      </c>
      <c r="U11" s="1570">
        <f t="shared" si="1"/>
        <v>100</v>
      </c>
      <c r="V11" s="1569" t="s">
        <v>8</v>
      </c>
      <c r="W11" s="1570">
        <f t="shared" si="2"/>
        <v>100</v>
      </c>
      <c r="X11" s="1571"/>
      <c r="Y11" s="3414" t="s">
        <v>536</v>
      </c>
      <c r="Z11" s="1150" t="str">
        <f t="shared" ref="Z11:Z17" si="7">Q11</f>
        <v>用途</v>
      </c>
      <c r="AA11" s="1572">
        <f t="shared" si="3"/>
        <v>1</v>
      </c>
      <c r="AB11" s="1572">
        <f t="shared" si="4"/>
        <v>1</v>
      </c>
      <c r="AC11" s="1572">
        <f t="shared" si="5"/>
        <v>1</v>
      </c>
    </row>
    <row r="12" spans="1:29" s="1338" customFormat="1" ht="27">
      <c r="A12" s="2916"/>
      <c r="B12" s="2921" t="s">
        <v>2756</v>
      </c>
      <c r="C12" s="528"/>
      <c r="D12" s="255">
        <v>100</v>
      </c>
      <c r="E12" s="528"/>
      <c r="F12" s="255">
        <f>ROUND(100/'数据-取费表'!G16,0)</f>
        <v>103</v>
      </c>
      <c r="G12" s="528"/>
      <c r="H12" s="255">
        <f>ROUND(100/'数据-取费表'!G16,0)</f>
        <v>103</v>
      </c>
      <c r="I12" s="528"/>
      <c r="J12" s="255">
        <f>ROUND(100/'数据-取费表'!G16,0)</f>
        <v>103</v>
      </c>
      <c r="K12" s="531"/>
      <c r="L12" s="2139"/>
      <c r="M12" s="2179"/>
      <c r="N12" s="2179"/>
      <c r="O12" s="2140"/>
      <c r="P12" s="3457"/>
      <c r="Q12" s="1151" t="str">
        <f t="shared" si="6"/>
        <v>土地使用年限（年）</v>
      </c>
      <c r="R12" s="1569" t="s">
        <v>8</v>
      </c>
      <c r="S12" s="1570">
        <f t="shared" si="0"/>
        <v>103</v>
      </c>
      <c r="T12" s="1569" t="s">
        <v>8</v>
      </c>
      <c r="U12" s="1570">
        <f t="shared" si="1"/>
        <v>103</v>
      </c>
      <c r="V12" s="1569" t="s">
        <v>8</v>
      </c>
      <c r="W12" s="1570">
        <f t="shared" si="2"/>
        <v>103</v>
      </c>
      <c r="X12" s="1571"/>
      <c r="Y12" s="3414"/>
      <c r="Z12" s="1150" t="str">
        <f t="shared" si="7"/>
        <v>土地使用年限（年）</v>
      </c>
      <c r="AA12" s="1572">
        <f t="shared" si="3"/>
        <v>0.970873786407767</v>
      </c>
      <c r="AB12" s="1572">
        <f t="shared" si="4"/>
        <v>0.970873786407767</v>
      </c>
      <c r="AC12" s="1572">
        <f t="shared" si="5"/>
        <v>0.970873786407767</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57"/>
      <c r="Q13" s="1151" t="str">
        <f t="shared" si="6"/>
        <v>容积率</v>
      </c>
      <c r="R13" s="1569" t="s">
        <v>8</v>
      </c>
      <c r="S13" s="1570" t="e">
        <f t="shared" si="0"/>
        <v>#N/A</v>
      </c>
      <c r="T13" s="1569" t="s">
        <v>8</v>
      </c>
      <c r="U13" s="1570" t="e">
        <f t="shared" si="1"/>
        <v>#N/A</v>
      </c>
      <c r="V13" s="1569" t="s">
        <v>8</v>
      </c>
      <c r="W13" s="1570" t="e">
        <f t="shared" si="2"/>
        <v>#N/A</v>
      </c>
      <c r="X13" s="1571"/>
      <c r="Y13" s="3414"/>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57"/>
      <c r="Q14" s="1151">
        <f t="shared" si="6"/>
        <v>111</v>
      </c>
      <c r="R14" s="1569" t="s">
        <v>8</v>
      </c>
      <c r="S14" s="1570">
        <f t="shared" si="0"/>
        <v>100</v>
      </c>
      <c r="T14" s="1569" t="s">
        <v>8</v>
      </c>
      <c r="U14" s="1570">
        <f t="shared" si="1"/>
        <v>100</v>
      </c>
      <c r="V14" s="1569" t="s">
        <v>8</v>
      </c>
      <c r="W14" s="1570">
        <f t="shared" si="2"/>
        <v>100</v>
      </c>
      <c r="X14" s="1571"/>
      <c r="Y14" s="3414"/>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57"/>
      <c r="Q15" s="1151">
        <f t="shared" si="6"/>
        <v>111</v>
      </c>
      <c r="R15" s="1569" t="s">
        <v>8</v>
      </c>
      <c r="S15" s="1570">
        <f t="shared" si="0"/>
        <v>100</v>
      </c>
      <c r="T15" s="1569" t="s">
        <v>8</v>
      </c>
      <c r="U15" s="1570">
        <f t="shared" si="1"/>
        <v>100</v>
      </c>
      <c r="V15" s="1569" t="s">
        <v>8</v>
      </c>
      <c r="W15" s="1570">
        <f t="shared" si="2"/>
        <v>100</v>
      </c>
      <c r="X15" s="1571"/>
      <c r="Y15" s="3414"/>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57"/>
      <c r="Q16" s="1151">
        <f t="shared" si="6"/>
        <v>111</v>
      </c>
      <c r="R16" s="1569" t="s">
        <v>8</v>
      </c>
      <c r="S16" s="1570">
        <f t="shared" si="0"/>
        <v>100</v>
      </c>
      <c r="T16" s="1569" t="s">
        <v>8</v>
      </c>
      <c r="U16" s="1570">
        <f t="shared" si="1"/>
        <v>100</v>
      </c>
      <c r="V16" s="1569" t="s">
        <v>8</v>
      </c>
      <c r="W16" s="1570">
        <f t="shared" si="2"/>
        <v>100</v>
      </c>
      <c r="X16" s="1571"/>
      <c r="Y16" s="3414"/>
      <c r="Z16" s="1150">
        <f t="shared" si="7"/>
        <v>111</v>
      </c>
      <c r="AA16" s="1572">
        <f t="shared" si="3"/>
        <v>1</v>
      </c>
      <c r="AB16" s="1572">
        <f t="shared" si="4"/>
        <v>1</v>
      </c>
      <c r="AC16" s="1572">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59" t="s">
        <v>540</v>
      </c>
      <c r="Q17" s="1573" t="str">
        <f t="shared" si="6"/>
        <v>产业集聚程度</v>
      </c>
      <c r="R17" s="1574" t="s">
        <v>8</v>
      </c>
      <c r="S17" s="1575">
        <f t="shared" si="0"/>
        <v>100</v>
      </c>
      <c r="T17" s="1574" t="s">
        <v>8</v>
      </c>
      <c r="U17" s="1575">
        <f t="shared" si="1"/>
        <v>100</v>
      </c>
      <c r="V17" s="1574" t="s">
        <v>8</v>
      </c>
      <c r="W17" s="1575">
        <f t="shared" si="2"/>
        <v>100</v>
      </c>
      <c r="X17" s="1568"/>
      <c r="Y17" s="345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60"/>
      <c r="Q18" s="1573"/>
      <c r="R18" s="1574"/>
      <c r="S18" s="1575"/>
      <c r="T18" s="1574"/>
      <c r="U18" s="1575"/>
      <c r="V18" s="1574"/>
      <c r="W18" s="1575"/>
      <c r="X18" s="1568"/>
      <c r="Y18" s="346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60"/>
      <c r="Q19" s="1573" t="str">
        <f>B19</f>
        <v>交通便捷度</v>
      </c>
      <c r="R19" s="1574" t="s">
        <v>8</v>
      </c>
      <c r="S19" s="1575">
        <f>F19</f>
        <v>100</v>
      </c>
      <c r="T19" s="1574" t="s">
        <v>8</v>
      </c>
      <c r="U19" s="1575">
        <f>H19</f>
        <v>100</v>
      </c>
      <c r="V19" s="1574" t="s">
        <v>8</v>
      </c>
      <c r="W19" s="1575">
        <f>J19</f>
        <v>100</v>
      </c>
      <c r="X19" s="1568"/>
      <c r="Y19" s="346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60"/>
      <c r="Q20" s="1573"/>
      <c r="R20" s="1574"/>
      <c r="S20" s="1575"/>
      <c r="T20" s="1574"/>
      <c r="U20" s="1575"/>
      <c r="V20" s="1574"/>
      <c r="W20" s="1575"/>
      <c r="X20" s="1568"/>
      <c r="Y20" s="346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60"/>
      <c r="Q21" s="1573" t="str">
        <f t="shared" ref="Q21:Q35" si="8">B21</f>
        <v>区域土地利用方向</v>
      </c>
      <c r="R21" s="1574" t="s">
        <v>8</v>
      </c>
      <c r="S21" s="1575">
        <f>F21</f>
        <v>100</v>
      </c>
      <c r="T21" s="1574" t="s">
        <v>8</v>
      </c>
      <c r="U21" s="1575">
        <f>H21</f>
        <v>100</v>
      </c>
      <c r="V21" s="1574" t="s">
        <v>8</v>
      </c>
      <c r="W21" s="1575">
        <f>J21</f>
        <v>100</v>
      </c>
      <c r="X21" s="1568"/>
      <c r="Y21" s="346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60"/>
      <c r="Q22" s="1573"/>
      <c r="R22" s="1574"/>
      <c r="S22" s="1575"/>
      <c r="T22" s="1574"/>
      <c r="U22" s="1575"/>
      <c r="V22" s="1574"/>
      <c r="W22" s="1575"/>
      <c r="X22" s="1568"/>
      <c r="Y22" s="346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60"/>
      <c r="Q23" s="1573" t="str">
        <f t="shared" si="8"/>
        <v>环境状况</v>
      </c>
      <c r="R23" s="1574" t="s">
        <v>8</v>
      </c>
      <c r="S23" s="1575">
        <f>F23</f>
        <v>100</v>
      </c>
      <c r="T23" s="1574" t="s">
        <v>8</v>
      </c>
      <c r="U23" s="1575">
        <f>H23</f>
        <v>100</v>
      </c>
      <c r="V23" s="1574" t="s">
        <v>8</v>
      </c>
      <c r="W23" s="1575">
        <f>J23</f>
        <v>100</v>
      </c>
      <c r="X23" s="1568"/>
      <c r="Y23" s="346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60"/>
      <c r="Q24" s="1573"/>
      <c r="R24" s="1574"/>
      <c r="S24" s="1575"/>
      <c r="T24" s="1574"/>
      <c r="U24" s="1575"/>
      <c r="V24" s="1574"/>
      <c r="W24" s="1575"/>
      <c r="X24" s="1568"/>
      <c r="Y24" s="3460"/>
      <c r="Z24" s="1576"/>
      <c r="AA24" s="1577">
        <v>1</v>
      </c>
      <c r="AB24" s="1577">
        <v>1</v>
      </c>
      <c r="AC24" s="1577">
        <v>1</v>
      </c>
    </row>
    <row r="25" spans="1:29" s="1220" customFormat="1" ht="42.75">
      <c r="A25" s="577"/>
      <c r="B25" s="2594"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60"/>
      <c r="Q25" s="1151" t="str">
        <f t="shared" si="8"/>
        <v>公共配套设施</v>
      </c>
      <c r="R25" s="1569" t="s">
        <v>8</v>
      </c>
      <c r="S25" s="1570">
        <f>F25</f>
        <v>100</v>
      </c>
      <c r="T25" s="1569" t="s">
        <v>8</v>
      </c>
      <c r="U25" s="1570">
        <f>H25</f>
        <v>100</v>
      </c>
      <c r="V25" s="1569" t="s">
        <v>8</v>
      </c>
      <c r="W25" s="1570">
        <f>J25</f>
        <v>100</v>
      </c>
      <c r="X25" s="1571"/>
      <c r="Y25" s="3460"/>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460"/>
      <c r="Q26" s="1151"/>
      <c r="R26" s="1569"/>
      <c r="S26" s="1570"/>
      <c r="T26" s="1569"/>
      <c r="U26" s="1570"/>
      <c r="V26" s="1569"/>
      <c r="W26" s="1570"/>
      <c r="X26" s="1571"/>
      <c r="Y26" s="3460"/>
      <c r="Z26" s="1150"/>
      <c r="AA26" s="1572">
        <v>1</v>
      </c>
      <c r="AB26" s="1572">
        <v>1</v>
      </c>
      <c r="AC26" s="1572">
        <v>1</v>
      </c>
    </row>
    <row r="27" spans="1:29" s="1220" customFormat="1" ht="28.5">
      <c r="A27" s="577"/>
      <c r="B27" s="2594"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60"/>
      <c r="Q27" s="2579" t="str">
        <f t="shared" ref="Q27" si="9">B27</f>
        <v>基础设施水平</v>
      </c>
      <c r="R27" s="1569" t="s">
        <v>8</v>
      </c>
      <c r="S27" s="1570">
        <f>F27</f>
        <v>100</v>
      </c>
      <c r="T27" s="1569" t="s">
        <v>8</v>
      </c>
      <c r="U27" s="1570">
        <f>H27</f>
        <v>100</v>
      </c>
      <c r="V27" s="1569" t="s">
        <v>8</v>
      </c>
      <c r="W27" s="1570">
        <f>J27</f>
        <v>100</v>
      </c>
      <c r="X27" s="1571"/>
      <c r="Y27" s="3460"/>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460"/>
      <c r="Q28" s="2579"/>
      <c r="R28" s="1569"/>
      <c r="S28" s="1570"/>
      <c r="T28" s="1569"/>
      <c r="U28" s="1570"/>
      <c r="V28" s="1569"/>
      <c r="W28" s="1570"/>
      <c r="X28" s="1571"/>
      <c r="Y28" s="3460"/>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6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60"/>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60"/>
      <c r="Q30" s="1573" t="str">
        <f t="shared" si="8"/>
        <v>毗邻道路的类型与等级</v>
      </c>
      <c r="R30" s="1574" t="s">
        <v>8</v>
      </c>
      <c r="S30" s="1575">
        <f t="shared" si="10"/>
        <v>100</v>
      </c>
      <c r="T30" s="1574" t="s">
        <v>8</v>
      </c>
      <c r="U30" s="1575">
        <f t="shared" si="11"/>
        <v>100</v>
      </c>
      <c r="V30" s="1574" t="s">
        <v>8</v>
      </c>
      <c r="W30" s="1575">
        <f t="shared" si="12"/>
        <v>100</v>
      </c>
      <c r="X30" s="1568"/>
      <c r="Y30" s="346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60"/>
      <c r="Q31" s="1573"/>
      <c r="R31" s="1574"/>
      <c r="S31" s="1575"/>
      <c r="T31" s="1574"/>
      <c r="U31" s="1575"/>
      <c r="V31" s="1574"/>
      <c r="W31" s="1575"/>
      <c r="X31" s="1568"/>
      <c r="Y31" s="3460"/>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60"/>
      <c r="Q32" s="1573" t="str">
        <f t="shared" si="8"/>
        <v>土地级别</v>
      </c>
      <c r="R32" s="1574" t="s">
        <v>8</v>
      </c>
      <c r="S32" s="1575">
        <f t="shared" si="10"/>
        <v>100</v>
      </c>
      <c r="T32" s="1574" t="s">
        <v>8</v>
      </c>
      <c r="U32" s="1575">
        <f t="shared" si="11"/>
        <v>100</v>
      </c>
      <c r="V32" s="1574" t="s">
        <v>8</v>
      </c>
      <c r="W32" s="1575">
        <f t="shared" si="12"/>
        <v>100</v>
      </c>
      <c r="X32" s="1568"/>
      <c r="Y32" s="346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60"/>
      <c r="Q33" s="1573">
        <f t="shared" si="8"/>
        <v>111</v>
      </c>
      <c r="R33" s="1574" t="s">
        <v>8</v>
      </c>
      <c r="S33" s="1575">
        <f t="shared" si="10"/>
        <v>100</v>
      </c>
      <c r="T33" s="1574" t="s">
        <v>8</v>
      </c>
      <c r="U33" s="1575">
        <f t="shared" si="11"/>
        <v>100</v>
      </c>
      <c r="V33" s="1574" t="s">
        <v>8</v>
      </c>
      <c r="W33" s="1575">
        <f t="shared" si="12"/>
        <v>100</v>
      </c>
      <c r="X33" s="1568"/>
      <c r="Y33" s="346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61" t="s">
        <v>550</v>
      </c>
      <c r="Q34" s="1573">
        <f t="shared" si="8"/>
        <v>111</v>
      </c>
      <c r="R34" s="1574" t="s">
        <v>8</v>
      </c>
      <c r="S34" s="1575">
        <f t="shared" si="10"/>
        <v>100</v>
      </c>
      <c r="T34" s="1574" t="s">
        <v>8</v>
      </c>
      <c r="U34" s="1575">
        <f t="shared" si="11"/>
        <v>100</v>
      </c>
      <c r="V34" s="1574" t="s">
        <v>8</v>
      </c>
      <c r="W34" s="1575">
        <f t="shared" si="12"/>
        <v>100</v>
      </c>
      <c r="X34" s="1568"/>
      <c r="Y34" s="3462"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62"/>
      <c r="Q35" s="1573">
        <f t="shared" si="8"/>
        <v>111</v>
      </c>
      <c r="R35" s="1578" t="s">
        <v>8</v>
      </c>
      <c r="S35" s="1579">
        <f t="shared" si="10"/>
        <v>100</v>
      </c>
      <c r="T35" s="1578" t="s">
        <v>8</v>
      </c>
      <c r="U35" s="1579">
        <f t="shared" si="11"/>
        <v>100</v>
      </c>
      <c r="V35" s="1578" t="s">
        <v>8</v>
      </c>
      <c r="W35" s="1579">
        <f t="shared" si="12"/>
        <v>100</v>
      </c>
      <c r="X35" s="1580"/>
      <c r="Y35" s="3462"/>
      <c r="Z35" s="1581">
        <f t="shared" si="13"/>
        <v>111</v>
      </c>
      <c r="AA35" s="1577">
        <f t="shared" si="3"/>
        <v>1</v>
      </c>
      <c r="AB35" s="1577">
        <f t="shared" si="4"/>
        <v>1</v>
      </c>
      <c r="AC35" s="1577">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62"/>
      <c r="Q36" s="1573" t="str">
        <f>B36</f>
        <v>宗地面积</v>
      </c>
      <c r="R36" s="1574" t="s">
        <v>8</v>
      </c>
      <c r="S36" s="1575" t="e">
        <f t="shared" si="10"/>
        <v>#N/A</v>
      </c>
      <c r="T36" s="1574" t="s">
        <v>8</v>
      </c>
      <c r="U36" s="1575" t="e">
        <f t="shared" si="11"/>
        <v>#N/A</v>
      </c>
      <c r="V36" s="1574" t="s">
        <v>8</v>
      </c>
      <c r="W36" s="1575" t="e">
        <f t="shared" si="12"/>
        <v>#N/A</v>
      </c>
      <c r="X36" s="1568"/>
      <c r="Y36" s="346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62"/>
      <c r="Q37" s="1573" t="str">
        <f t="shared" ref="Q37:Q42" si="14">B37</f>
        <v>宗地形状</v>
      </c>
      <c r="R37" s="1574" t="s">
        <v>8</v>
      </c>
      <c r="S37" s="1575">
        <f t="shared" si="10"/>
        <v>100</v>
      </c>
      <c r="T37" s="1574" t="s">
        <v>8</v>
      </c>
      <c r="U37" s="1575">
        <f t="shared" si="11"/>
        <v>100</v>
      </c>
      <c r="V37" s="1574" t="s">
        <v>8</v>
      </c>
      <c r="W37" s="1575">
        <f t="shared" si="12"/>
        <v>100</v>
      </c>
      <c r="X37" s="1568"/>
      <c r="Y37" s="3462"/>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62"/>
      <c r="Q38" s="1573" t="str">
        <f t="shared" si="14"/>
        <v>宗地开发程度</v>
      </c>
      <c r="R38" s="1569" t="s">
        <v>8</v>
      </c>
      <c r="S38" s="1570">
        <f t="shared" si="10"/>
        <v>100</v>
      </c>
      <c r="T38" s="1569" t="s">
        <v>8</v>
      </c>
      <c r="U38" s="1570">
        <f t="shared" si="11"/>
        <v>100</v>
      </c>
      <c r="V38" s="1569" t="s">
        <v>8</v>
      </c>
      <c r="W38" s="1570">
        <f t="shared" si="12"/>
        <v>100</v>
      </c>
      <c r="X38" s="1571"/>
      <c r="Y38" s="346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62" t="s">
        <v>601</v>
      </c>
      <c r="Q39" s="1573" t="str">
        <f t="shared" si="14"/>
        <v>工程地质条件</v>
      </c>
      <c r="R39" s="1574" t="s">
        <v>8</v>
      </c>
      <c r="S39" s="1575">
        <f t="shared" si="10"/>
        <v>100</v>
      </c>
      <c r="T39" s="1574" t="s">
        <v>8</v>
      </c>
      <c r="U39" s="1575">
        <f t="shared" si="11"/>
        <v>100</v>
      </c>
      <c r="V39" s="1574" t="s">
        <v>8</v>
      </c>
      <c r="W39" s="1575">
        <f t="shared" si="12"/>
        <v>100</v>
      </c>
      <c r="X39" s="1568"/>
      <c r="Y39" s="346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62"/>
      <c r="Q40" s="1573">
        <f t="shared" si="14"/>
        <v>111</v>
      </c>
      <c r="R40" s="1574" t="s">
        <v>8</v>
      </c>
      <c r="S40" s="1575">
        <f t="shared" si="10"/>
        <v>100</v>
      </c>
      <c r="T40" s="1574" t="s">
        <v>8</v>
      </c>
      <c r="U40" s="1575">
        <f t="shared" si="11"/>
        <v>100</v>
      </c>
      <c r="V40" s="1574" t="s">
        <v>8</v>
      </c>
      <c r="W40" s="1575">
        <f t="shared" si="12"/>
        <v>100</v>
      </c>
      <c r="X40" s="1568"/>
      <c r="Y40" s="346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62"/>
      <c r="Q41" s="1573">
        <f t="shared" si="14"/>
        <v>111</v>
      </c>
      <c r="R41" s="1574" t="s">
        <v>8</v>
      </c>
      <c r="S41" s="1575">
        <f t="shared" si="10"/>
        <v>100</v>
      </c>
      <c r="T41" s="1574" t="s">
        <v>8</v>
      </c>
      <c r="U41" s="1575">
        <f t="shared" si="11"/>
        <v>100</v>
      </c>
      <c r="V41" s="1574" t="s">
        <v>8</v>
      </c>
      <c r="W41" s="1575">
        <f t="shared" si="12"/>
        <v>100</v>
      </c>
      <c r="X41" s="1568"/>
      <c r="Y41" s="346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62"/>
      <c r="Q42" s="1573">
        <f t="shared" si="14"/>
        <v>111</v>
      </c>
      <c r="R42" s="1578" t="s">
        <v>8</v>
      </c>
      <c r="S42" s="1579">
        <f t="shared" si="10"/>
        <v>100</v>
      </c>
      <c r="T42" s="1578" t="s">
        <v>8</v>
      </c>
      <c r="U42" s="1579">
        <f t="shared" si="11"/>
        <v>100</v>
      </c>
      <c r="V42" s="1578" t="s">
        <v>8</v>
      </c>
      <c r="W42" s="1579">
        <f t="shared" si="12"/>
        <v>100</v>
      </c>
      <c r="X42" s="1580"/>
      <c r="Y42" s="3462"/>
      <c r="Z42" s="1581">
        <f t="shared" si="13"/>
        <v>111</v>
      </c>
      <c r="AA42" s="1577">
        <f t="shared" si="3"/>
        <v>1</v>
      </c>
      <c r="AB42" s="1577">
        <f t="shared" si="4"/>
        <v>1</v>
      </c>
      <c r="AC42" s="1577">
        <f t="shared" si="5"/>
        <v>1</v>
      </c>
    </row>
    <row r="43" spans="1:29" ht="15">
      <c r="A43" s="607" t="s">
        <v>556</v>
      </c>
      <c r="B43" s="608" t="s">
        <v>2925</v>
      </c>
      <c r="C43" s="609" t="s">
        <v>1</v>
      </c>
      <c r="D43" s="610"/>
      <c r="E43" s="611"/>
      <c r="F43" s="612"/>
      <c r="G43" s="613"/>
      <c r="H43" s="614"/>
      <c r="I43" s="611"/>
      <c r="J43" s="614"/>
      <c r="K43" s="1340"/>
      <c r="L43" s="2145"/>
      <c r="M43" s="2135"/>
      <c r="N43" s="2135"/>
      <c r="O43" s="2146"/>
      <c r="P43" s="3457" t="str">
        <f>A43</f>
        <v>成交单价</v>
      </c>
      <c r="Q43" s="3457"/>
      <c r="R43" s="3471">
        <f>E43</f>
        <v>0</v>
      </c>
      <c r="S43" s="3471"/>
      <c r="T43" s="3471">
        <f>G43</f>
        <v>0</v>
      </c>
      <c r="U43" s="3471"/>
      <c r="V43" s="3471">
        <f>I43</f>
        <v>0</v>
      </c>
      <c r="W43" s="3471"/>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457" t="str">
        <f>A44</f>
        <v>比较价格（元/平方米）</v>
      </c>
      <c r="Q44" s="3457"/>
      <c r="R44" s="3481" t="e">
        <f>ROUND(PRODUCT(R43,AA9:AA42),0)</f>
        <v>#DIV/0!</v>
      </c>
      <c r="S44" s="3481"/>
      <c r="T44" s="3481" t="e">
        <f>ROUND(PRODUCT(T43,AB9:AB42),0)</f>
        <v>#DIV/0!</v>
      </c>
      <c r="U44" s="3481"/>
      <c r="V44" s="3481" t="e">
        <f>ROUND(PRODUCT(V43,AC9:AC42),0)</f>
        <v>#DIV/0!</v>
      </c>
      <c r="W44" s="3481"/>
      <c r="X44" s="1560"/>
      <c r="Y44" s="1560"/>
      <c r="Z44" s="1560"/>
      <c r="AA44" s="1560"/>
      <c r="AB44" s="1560"/>
      <c r="AC44" s="1560"/>
    </row>
    <row r="45" spans="1:29" ht="15.75" thickBot="1">
      <c r="A45" s="621" t="s">
        <v>2926</v>
      </c>
      <c r="B45" s="622"/>
      <c r="C45" s="623" t="e">
        <f>R45</f>
        <v>#DIV/0!</v>
      </c>
      <c r="D45" s="623"/>
      <c r="E45" s="623"/>
      <c r="F45" s="623"/>
      <c r="G45" s="623"/>
      <c r="H45" s="623"/>
      <c r="I45" s="623"/>
      <c r="J45" s="623"/>
      <c r="K45" s="1342"/>
      <c r="L45" s="2145"/>
      <c r="M45" s="2135"/>
      <c r="N45" s="2135"/>
      <c r="O45" s="2146"/>
      <c r="P45" s="3478" t="str">
        <f>A45</f>
        <v>估价对象XX用房的比较价格（楼面单价，元/平方米）</v>
      </c>
      <c r="Q45" s="3479"/>
      <c r="R45" s="3480" t="e">
        <f>ROUND(AVERAGE(R44:V44),0)</f>
        <v>#DIV/0!</v>
      </c>
      <c r="S45" s="3480"/>
      <c r="T45" s="3480"/>
      <c r="U45" s="3480"/>
      <c r="V45" s="3480"/>
      <c r="W45" s="348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2294</v>
      </c>
      <c r="E52" s="631" t="s">
        <v>562</v>
      </c>
      <c r="F52" s="1952" t="s">
        <v>563</v>
      </c>
      <c r="G52" s="3484" t="s">
        <v>2285</v>
      </c>
      <c r="H52" s="3485"/>
      <c r="I52" s="1953" t="s">
        <v>1947</v>
      </c>
      <c r="J52" s="1556" t="str">
        <f>项目基本情况!F41</f>
        <v>重庆市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56435</v>
      </c>
      <c r="F53" s="1951" t="e">
        <f t="shared" ref="F53:F62" si="15">ROUND(B53*E53/10000,0)</f>
        <v>#DIV/0!</v>
      </c>
      <c r="G53" s="3486"/>
      <c r="H53" s="348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8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8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8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8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35272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2532</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2549</v>
      </c>
      <c r="C95" s="2599" t="s">
        <v>2550</v>
      </c>
      <c r="D95" s="2599" t="s">
        <v>2551</v>
      </c>
      <c r="E95" s="2599" t="s">
        <v>2552</v>
      </c>
      <c r="F95" s="2599" t="s">
        <v>2553</v>
      </c>
      <c r="G95" s="2599"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2426</v>
      </c>
      <c r="D1" s="1522">
        <f>SUM(D29:D30,D33:D39)</f>
        <v>0</v>
      </c>
      <c r="E1" s="1407" t="s">
        <v>2427</v>
      </c>
      <c r="F1" s="2453"/>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2927</v>
      </c>
      <c r="G3" s="1039">
        <f>IF(F3="宗地容积率",'数据-汇总表'!I4,IF(F3="估价对象容积率",'数据-汇总表'!I6,'数据-汇总表'!I7))</f>
        <v>1.6</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500"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2764</v>
      </c>
      <c r="X7" s="2928">
        <f>G2</f>
        <v>0</v>
      </c>
      <c r="Y7" s="2928" t="s">
        <v>2765</v>
      </c>
      <c r="Z7" s="2929">
        <f>G3</f>
        <v>1.6</v>
      </c>
      <c r="AA7" s="2193"/>
      <c r="AB7" s="2193"/>
      <c r="AC7" s="2194"/>
      <c r="AD7" s="2930"/>
      <c r="AE7" s="2930"/>
      <c r="AF7" s="2930"/>
      <c r="AG7" s="2930"/>
      <c r="AH7" s="2930"/>
      <c r="AI7" s="2930"/>
      <c r="AJ7" s="2931"/>
    </row>
    <row r="8" spans="1:39" ht="15">
      <c r="A8" s="3501"/>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510" t="s">
        <v>2782</v>
      </c>
      <c r="X8" s="3511"/>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501"/>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509" t="s">
        <v>2778</v>
      </c>
      <c r="X9" s="2932" t="s">
        <v>2779</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501"/>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509"/>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501"/>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509" t="s">
        <v>2780</v>
      </c>
      <c r="X11" s="1048" t="s">
        <v>2765</v>
      </c>
      <c r="Y11" s="1654">
        <f>$G$3</f>
        <v>1.6</v>
      </c>
      <c r="Z11" s="1654">
        <f t="shared" ref="Z11:AJ11" si="3">$G$3</f>
        <v>1.6</v>
      </c>
      <c r="AA11" s="1654">
        <f t="shared" si="3"/>
        <v>1.6</v>
      </c>
      <c r="AB11" s="1654">
        <f t="shared" si="3"/>
        <v>1.6</v>
      </c>
      <c r="AC11" s="1654">
        <f t="shared" si="3"/>
        <v>1.6</v>
      </c>
      <c r="AD11" s="1654">
        <f t="shared" si="3"/>
        <v>1.6</v>
      </c>
      <c r="AE11" s="1654">
        <f t="shared" si="3"/>
        <v>1.6</v>
      </c>
      <c r="AF11" s="1654">
        <f t="shared" si="3"/>
        <v>1.6</v>
      </c>
      <c r="AG11" s="1654">
        <f t="shared" si="3"/>
        <v>1.6</v>
      </c>
      <c r="AH11" s="1654">
        <f t="shared" si="3"/>
        <v>1.6</v>
      </c>
      <c r="AI11" s="1654">
        <f t="shared" si="3"/>
        <v>1.6</v>
      </c>
      <c r="AJ11" s="1654">
        <f t="shared" si="3"/>
        <v>1.6</v>
      </c>
    </row>
    <row r="12" spans="1:39" ht="25.5" thickBot="1">
      <c r="A12" s="3500"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509"/>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502"/>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38">
        <v>12</v>
      </c>
      <c r="S13" s="2927"/>
      <c r="T13" s="2938" t="e">
        <f t="shared" si="0"/>
        <v>#DIV/0!</v>
      </c>
      <c r="U13" s="2927"/>
      <c r="V13" s="2938" t="e">
        <f t="shared" si="1"/>
        <v>#DIV/0!</v>
      </c>
      <c r="W13" s="3509"/>
      <c r="X13" s="2935"/>
      <c r="Y13" s="2934">
        <f>(-0.163*(Y12^2)-0.59*Y12+7617)*(10^(-4))/Y11</f>
        <v>0.4760625</v>
      </c>
      <c r="Z13" s="2934">
        <f t="shared" ref="Z13:AJ13" si="5">(-0.163*(Z12^2)-0.59*Z12+7617)*(10^(-4))/Z11</f>
        <v>0.4760625</v>
      </c>
      <c r="AA13" s="2934">
        <f t="shared" si="5"/>
        <v>0.4760625</v>
      </c>
      <c r="AB13" s="2934">
        <f t="shared" si="5"/>
        <v>0.4760625</v>
      </c>
      <c r="AC13" s="2934">
        <f t="shared" si="5"/>
        <v>0.4760625</v>
      </c>
      <c r="AD13" s="2934">
        <f t="shared" si="5"/>
        <v>0.4760625</v>
      </c>
      <c r="AE13" s="2934">
        <f t="shared" si="5"/>
        <v>0.4760625</v>
      </c>
      <c r="AF13" s="2934">
        <f t="shared" si="5"/>
        <v>0.4760625</v>
      </c>
      <c r="AG13" s="2934">
        <f t="shared" si="5"/>
        <v>0.4760625</v>
      </c>
      <c r="AH13" s="2934">
        <f t="shared" si="5"/>
        <v>0.4760625</v>
      </c>
      <c r="AI13" s="2934">
        <f t="shared" si="5"/>
        <v>0.4760625</v>
      </c>
      <c r="AJ13" s="2934">
        <f t="shared" si="5"/>
        <v>0.4760625</v>
      </c>
    </row>
    <row r="14" spans="1:39" ht="12.75" customHeight="1" thickBot="1">
      <c r="A14" s="3502"/>
      <c r="B14" s="1452"/>
      <c r="C14" s="1453"/>
      <c r="D14" s="1454"/>
      <c r="E14" s="1454"/>
      <c r="F14" s="1455"/>
      <c r="G14" s="1456" t="s">
        <v>948</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503"/>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38">
        <v>14</v>
      </c>
      <c r="S15" s="2927"/>
      <c r="T15" s="2938" t="e">
        <f t="shared" si="0"/>
        <v>#DIV/0!</v>
      </c>
      <c r="U15" s="2927"/>
      <c r="V15" s="2938" t="e">
        <f t="shared" si="1"/>
        <v>#DIV/0!</v>
      </c>
      <c r="W15" s="2190"/>
      <c r="X15" s="2190"/>
      <c r="Y15" s="2190"/>
      <c r="Z15" s="2190"/>
      <c r="AA15" s="2190"/>
      <c r="AB15" s="2190"/>
      <c r="AC15" s="2191"/>
    </row>
    <row r="16" spans="1:39" ht="24">
      <c r="A16" s="3500"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50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73" t="s">
        <v>955</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43426</v>
      </c>
      <c r="H19" s="1476" t="s">
        <v>2928</v>
      </c>
      <c r="I19" s="2785" t="str">
        <f>IF(H19="季度增幅（自定义）",SUMIF(N21:N24,E2,O21:O24),"")</f>
        <v/>
      </c>
      <c r="J19" s="1472"/>
      <c r="K19" s="1482"/>
      <c r="L19" s="3041" t="s">
        <v>2840</v>
      </c>
      <c r="M19" s="3042">
        <f>ROUND(SUMIF(地价!B2:F2,E2,地价!B24:F24),0)</f>
        <v>0</v>
      </c>
      <c r="N19" s="2787" t="s">
        <v>1676</v>
      </c>
      <c r="O19" s="2786">
        <f>ROUNDDOWN(DATEDIF(E19,G19,"M")/3,0)</f>
        <v>19</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1836</v>
      </c>
      <c r="B20" s="2780" t="s">
        <v>971</v>
      </c>
      <c r="C20" s="2781" t="e">
        <f>ROUND(POWER(1+G20,J20-I20)*(POWER(1+G20,I20)-1)/(POWER(1+G20,J20)-1),4)</f>
        <v>#DIV/0!</v>
      </c>
      <c r="D20" s="2782" t="s">
        <v>972</v>
      </c>
      <c r="E20" s="3097">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2"/>
      <c r="L20" s="3043" t="s">
        <v>2841</v>
      </c>
      <c r="M20" s="3044">
        <f>ROUND(SUMPRODUCT((地价!A4:A24=YEAR(G19)&amp;"-"&amp;ROUNDUP(MONTH(G19)/3,0))*(地价!B2:F2=E2)*(地价!B4:F24)),0)</f>
        <v>0</v>
      </c>
      <c r="N20" s="2790" t="s">
        <v>2644</v>
      </c>
      <c r="O20" s="2788" t="s">
        <v>2643</v>
      </c>
      <c r="P20" s="2789" t="s">
        <v>2649</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0">
        <f>SUMPRODUCT((地价!A3:A24=YEAR(G19)&amp;"-"&amp;ROUNDUP(MONTH(G19)/3,0))*(地价!AD2:AH2=N23)*(地价!AD3:AH24))</f>
        <v>2.41E-2</v>
      </c>
      <c r="R23" s="2926"/>
      <c r="S23" s="2926"/>
      <c r="T23" s="2926"/>
      <c r="U23" s="2926"/>
      <c r="V23" s="2926"/>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98" t="s">
        <v>2647</v>
      </c>
      <c r="O25" s="2196"/>
      <c r="P25" s="1542">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506" t="s">
        <v>2954</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507"/>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507"/>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08"/>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1006</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1007</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09" t="s">
        <v>1009</v>
      </c>
      <c r="C46" s="2431" t="s">
        <v>1010</v>
      </c>
      <c r="D46" s="2432" t="s">
        <v>1011</v>
      </c>
      <c r="E46" s="2433" t="s">
        <v>1013</v>
      </c>
      <c r="F46" s="2434" t="s">
        <v>2251</v>
      </c>
      <c r="G46" s="2432" t="s">
        <v>1014</v>
      </c>
      <c r="H46" s="2415" t="s">
        <v>2418</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99" t="s">
        <v>2930</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98" t="s">
        <v>2929</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1026</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1027</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1028</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1029</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09"/>
      <c r="C57" s="2431" t="s">
        <v>1010</v>
      </c>
      <c r="D57" s="2432" t="s">
        <v>1011</v>
      </c>
      <c r="E57" s="2433" t="s">
        <v>1013</v>
      </c>
      <c r="F57" s="2434" t="s">
        <v>2252</v>
      </c>
      <c r="G57" s="2432" t="s">
        <v>1014</v>
      </c>
      <c r="H57" s="2415" t="s">
        <v>2418</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99" t="s">
        <v>2931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98" t="s">
        <v>2929</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1028</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1031</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09"/>
      <c r="C68" s="2431" t="s">
        <v>1010</v>
      </c>
      <c r="D68" s="2432" t="s">
        <v>1011</v>
      </c>
      <c r="E68" s="2433" t="s">
        <v>1013</v>
      </c>
      <c r="F68" s="2434" t="s">
        <v>2253</v>
      </c>
      <c r="G68" s="2432" t="s">
        <v>1014</v>
      </c>
      <c r="H68" s="2415" t="s">
        <v>2418</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98" t="s">
        <v>2929</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1035</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1036</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1008</v>
      </c>
      <c r="B79" s="2409"/>
      <c r="C79" s="2431" t="s">
        <v>1010</v>
      </c>
      <c r="D79" s="2432" t="s">
        <v>1011</v>
      </c>
      <c r="E79" s="2433" t="s">
        <v>1013</v>
      </c>
      <c r="F79" s="2434" t="s">
        <v>2254</v>
      </c>
      <c r="G79" s="2432" t="s">
        <v>1014</v>
      </c>
      <c r="H79" s="2415" t="s">
        <v>2418</v>
      </c>
      <c r="I79" s="2432" t="s">
        <v>1012</v>
      </c>
      <c r="J79" s="2435" t="s">
        <v>1015</v>
      </c>
      <c r="K79" s="2435" t="s">
        <v>1016</v>
      </c>
      <c r="L79" s="2435" t="s">
        <v>1017</v>
      </c>
      <c r="M79" s="2435" t="s">
        <v>1018</v>
      </c>
      <c r="N79" s="2435" t="s">
        <v>1019</v>
      </c>
      <c r="AC79" s="1406"/>
      <c r="AD79" s="1405"/>
      <c r="AJ79" s="1404"/>
      <c r="AN79" s="1405"/>
    </row>
    <row r="80" spans="1:40" ht="36">
      <c r="A80" s="1067" t="s">
        <v>1037</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1033</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1022</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1034</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1026</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1027</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1025</v>
      </c>
      <c r="B86" s="3098" t="s">
        <v>2929</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1038</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504" t="s">
        <v>1633</v>
      </c>
      <c r="B90" s="3504"/>
      <c r="C90" s="3504"/>
      <c r="D90" s="3504"/>
      <c r="E90" s="3504"/>
      <c r="F90" s="3504"/>
      <c r="G90" s="3504"/>
      <c r="H90" s="3504"/>
      <c r="I90" s="3504"/>
      <c r="J90" s="3504"/>
      <c r="K90" s="2451"/>
      <c r="L90" s="2451"/>
      <c r="M90" s="2451"/>
      <c r="N90" s="2451"/>
    </row>
    <row r="91" spans="1:40">
      <c r="A91" s="3505" t="s">
        <v>1443</v>
      </c>
      <c r="B91" s="3505" t="s">
        <v>1634</v>
      </c>
      <c r="C91" s="1140" t="s">
        <v>1635</v>
      </c>
      <c r="D91" s="1141"/>
      <c r="E91" s="1141"/>
      <c r="F91" s="1141"/>
      <c r="G91" s="1141"/>
      <c r="H91" s="1141"/>
      <c r="I91" s="1141"/>
      <c r="J91" s="1142"/>
      <c r="K91" s="1134"/>
      <c r="L91" s="1134"/>
      <c r="M91" s="1134"/>
      <c r="N91" s="1134"/>
    </row>
    <row r="92" spans="1:40">
      <c r="A92" s="3505"/>
      <c r="B92" s="3505"/>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512"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2" t="s">
        <v>1637</v>
      </c>
      <c r="B101" s="1147" t="s">
        <v>905</v>
      </c>
      <c r="C101" s="1148">
        <f>$G$3</f>
        <v>1.6</v>
      </c>
      <c r="D101" s="1148">
        <f t="shared" ref="D101:N101" si="31">$G$3</f>
        <v>1.6</v>
      </c>
      <c r="E101" s="1148">
        <f t="shared" si="31"/>
        <v>1.6</v>
      </c>
      <c r="F101" s="1148">
        <f t="shared" si="31"/>
        <v>1.6</v>
      </c>
      <c r="G101" s="1148">
        <f t="shared" si="31"/>
        <v>1.6</v>
      </c>
      <c r="H101" s="1148">
        <f t="shared" si="31"/>
        <v>1.6</v>
      </c>
      <c r="I101" s="1148">
        <f t="shared" si="31"/>
        <v>1.6</v>
      </c>
      <c r="J101" s="1148">
        <f t="shared" si="31"/>
        <v>1.6</v>
      </c>
      <c r="K101" s="1148">
        <f t="shared" si="31"/>
        <v>1.6</v>
      </c>
      <c r="L101" s="1148">
        <f t="shared" si="31"/>
        <v>1.6</v>
      </c>
      <c r="M101" s="1148">
        <f t="shared" si="31"/>
        <v>1.6</v>
      </c>
      <c r="N101" s="1148">
        <f t="shared" si="31"/>
        <v>1.6</v>
      </c>
    </row>
    <row r="102" spans="1:14">
      <c r="A102" s="3513"/>
      <c r="B102" s="1143">
        <v>1</v>
      </c>
      <c r="C102" s="1144">
        <f>1.9362/C101</f>
        <v>1.2101249999999999</v>
      </c>
      <c r="D102" s="1144">
        <f>1.9362/D101</f>
        <v>1.2101249999999999</v>
      </c>
      <c r="E102" s="1144">
        <f>1.8629/E101</f>
        <v>1.1643124999999999</v>
      </c>
      <c r="F102" s="1144">
        <f>1.8629/F101</f>
        <v>1.1643124999999999</v>
      </c>
      <c r="G102" s="1144">
        <f>1.8629/G101</f>
        <v>1.1643124999999999</v>
      </c>
      <c r="H102" s="1144">
        <f>1.8629/H101</f>
        <v>1.1643124999999999</v>
      </c>
      <c r="I102" s="1144">
        <f>1.8629/I101</f>
        <v>1.1643124999999999</v>
      </c>
      <c r="J102" s="1144">
        <f>1.942/J101</f>
        <v>1.2137499999999999</v>
      </c>
      <c r="K102" s="1144">
        <f>1.942/K101</f>
        <v>1.2137499999999999</v>
      </c>
      <c r="L102" s="1144">
        <f>1.942/L101</f>
        <v>1.2137499999999999</v>
      </c>
      <c r="M102" s="1144">
        <f>1.942/M101</f>
        <v>1.2137499999999999</v>
      </c>
      <c r="N102" s="1144">
        <f>1.942/N101</f>
        <v>1.2137499999999999</v>
      </c>
    </row>
    <row r="103" spans="1:14">
      <c r="A103" s="3513"/>
      <c r="B103" s="1143">
        <v>2</v>
      </c>
      <c r="C103" s="1144">
        <f>1.4198/C101</f>
        <v>0.88737499999999991</v>
      </c>
      <c r="D103" s="1144">
        <f>1.4198/D101</f>
        <v>0.88737499999999991</v>
      </c>
      <c r="E103" s="1144">
        <f>1.3372/E101</f>
        <v>0.83574999999999988</v>
      </c>
      <c r="F103" s="1144">
        <f>1.3372/F101</f>
        <v>0.83574999999999988</v>
      </c>
      <c r="G103" s="1144">
        <f>1.3372/G101</f>
        <v>0.83574999999999988</v>
      </c>
      <c r="H103" s="1144">
        <f>1.3372/H101</f>
        <v>0.83574999999999988</v>
      </c>
      <c r="I103" s="1144">
        <f>1.3372/I101</f>
        <v>0.83574999999999988</v>
      </c>
      <c r="J103" s="1144">
        <f>1.2799/J101</f>
        <v>0.79993749999999997</v>
      </c>
      <c r="K103" s="1144">
        <f>1.2799/K101</f>
        <v>0.79993749999999997</v>
      </c>
      <c r="L103" s="1144">
        <f>1.2799/L101</f>
        <v>0.79993749999999997</v>
      </c>
      <c r="M103" s="1144">
        <f>1.2799/M101</f>
        <v>0.79993749999999997</v>
      </c>
      <c r="N103" s="1144">
        <f>1.2799/N101</f>
        <v>0.79993749999999997</v>
      </c>
    </row>
    <row r="104" spans="1:14">
      <c r="A104" s="3513"/>
      <c r="B104" s="1143">
        <v>3</v>
      </c>
      <c r="C104" s="1144">
        <f>1.1594/C101</f>
        <v>0.72462499999999996</v>
      </c>
      <c r="D104" s="1144">
        <f>1.1594/D101</f>
        <v>0.72462499999999996</v>
      </c>
      <c r="E104" s="1144">
        <f>1.0788/E101</f>
        <v>0.6742499999999999</v>
      </c>
      <c r="F104" s="1144">
        <f>1.0788/F101</f>
        <v>0.6742499999999999</v>
      </c>
      <c r="G104" s="1144">
        <f>1.0788/G101</f>
        <v>0.6742499999999999</v>
      </c>
      <c r="H104" s="1144">
        <f>1.0788/H101</f>
        <v>0.6742499999999999</v>
      </c>
      <c r="I104" s="1144">
        <f>1.0788/I101</f>
        <v>0.6742499999999999</v>
      </c>
      <c r="J104" s="1144">
        <f>1.0072/J101</f>
        <v>0.62950000000000006</v>
      </c>
      <c r="K104" s="1144">
        <f>1.0072/K101</f>
        <v>0.62950000000000006</v>
      </c>
      <c r="L104" s="1144">
        <f>1.0072/L101</f>
        <v>0.62950000000000006</v>
      </c>
      <c r="M104" s="1144">
        <f>1.0072/M101</f>
        <v>0.62950000000000006</v>
      </c>
      <c r="N104" s="1144">
        <f>1.0072/N101</f>
        <v>0.62950000000000006</v>
      </c>
    </row>
    <row r="105" spans="1:14">
      <c r="A105" s="3513"/>
      <c r="B105" s="1143">
        <v>4</v>
      </c>
      <c r="C105" s="1144">
        <f>0.9622/C101</f>
        <v>0.60137499999999999</v>
      </c>
      <c r="D105" s="1144">
        <f>0.9622/D101</f>
        <v>0.60137499999999999</v>
      </c>
      <c r="E105" s="1144">
        <f>0.8656/E101</f>
        <v>0.54100000000000004</v>
      </c>
      <c r="F105" s="1144">
        <f>0.8656/F101</f>
        <v>0.54100000000000004</v>
      </c>
      <c r="G105" s="1144">
        <f>0.8656/G101</f>
        <v>0.54100000000000004</v>
      </c>
      <c r="H105" s="1144">
        <f>0.8656/H101</f>
        <v>0.54100000000000004</v>
      </c>
      <c r="I105" s="1144">
        <f>0.8656/I101</f>
        <v>0.54100000000000004</v>
      </c>
      <c r="J105" s="1144">
        <f>0.7525/J101</f>
        <v>0.47031249999999997</v>
      </c>
      <c r="K105" s="1144">
        <f>0.7525/K101</f>
        <v>0.47031249999999997</v>
      </c>
      <c r="L105" s="1144">
        <f>0.7525/L101</f>
        <v>0.47031249999999997</v>
      </c>
      <c r="M105" s="1144">
        <f>0.7525/M101</f>
        <v>0.47031249999999997</v>
      </c>
      <c r="N105" s="1144">
        <f>0.7525/N101</f>
        <v>0.47031249999999997</v>
      </c>
    </row>
    <row r="106" spans="1:14">
      <c r="A106" s="3513"/>
      <c r="B106" s="1143">
        <v>5</v>
      </c>
      <c r="C106" s="1144">
        <f>0.8417/C101</f>
        <v>0.52606249999999999</v>
      </c>
      <c r="D106" s="1144">
        <f>0.8417/D101</f>
        <v>0.52606249999999999</v>
      </c>
      <c r="E106" s="1144">
        <f>0.7371/E101</f>
        <v>0.46068749999999997</v>
      </c>
      <c r="F106" s="1144">
        <f>0.7371/F101</f>
        <v>0.46068749999999997</v>
      </c>
      <c r="G106" s="1144">
        <f>0.7371/G101</f>
        <v>0.46068749999999997</v>
      </c>
      <c r="H106" s="1144">
        <f>0.7371/H101</f>
        <v>0.46068749999999997</v>
      </c>
      <c r="I106" s="1144">
        <f>0.7371/I101</f>
        <v>0.46068749999999997</v>
      </c>
      <c r="J106" s="1144">
        <f>0.5659/J101</f>
        <v>0.35368749999999993</v>
      </c>
      <c r="K106" s="1144">
        <f>0.5659/K101</f>
        <v>0.35368749999999993</v>
      </c>
      <c r="L106" s="1144">
        <f>0.5659/L101</f>
        <v>0.35368749999999993</v>
      </c>
      <c r="M106" s="1144">
        <f>0.5659/M101</f>
        <v>0.35368749999999993</v>
      </c>
      <c r="N106" s="1144">
        <f>0.5659/N101</f>
        <v>0.35368749999999993</v>
      </c>
    </row>
    <row r="107" spans="1:14">
      <c r="A107" s="3513"/>
      <c r="B107" s="1143">
        <v>6</v>
      </c>
      <c r="C107" s="1144">
        <f>0.7608/C101</f>
        <v>0.47549999999999998</v>
      </c>
      <c r="D107" s="1144">
        <f>0.7608/D101</f>
        <v>0.47549999999999998</v>
      </c>
      <c r="E107" s="1144">
        <f>0.6482/E101</f>
        <v>0.40512499999999996</v>
      </c>
      <c r="F107" s="1144">
        <f>0.6482/F101</f>
        <v>0.40512499999999996</v>
      </c>
      <c r="G107" s="1144">
        <f>0.6482/G101</f>
        <v>0.40512499999999996</v>
      </c>
      <c r="H107" s="1144">
        <f>0.6482/H101</f>
        <v>0.40512499999999996</v>
      </c>
      <c r="I107" s="1144">
        <f>0.6482/I101</f>
        <v>0.40512499999999996</v>
      </c>
      <c r="J107" s="1144">
        <f>0.4525/J101</f>
        <v>0.28281249999999997</v>
      </c>
      <c r="K107" s="1144">
        <f>0.4525/K101</f>
        <v>0.28281249999999997</v>
      </c>
      <c r="L107" s="1144">
        <f>0.4525/L101</f>
        <v>0.28281249999999997</v>
      </c>
      <c r="M107" s="1144">
        <f>0.4525/M101</f>
        <v>0.28281249999999997</v>
      </c>
      <c r="N107" s="1144">
        <f>0.4525/N101</f>
        <v>0.28281249999999997</v>
      </c>
    </row>
    <row r="108" spans="1:14">
      <c r="A108" s="3513"/>
      <c r="B108" s="351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4"/>
      <c r="B109" s="3516"/>
      <c r="C109" s="1146">
        <f>(-0.163*(C108^2)-0.59*C108+7617)*(10^(-4))/C101</f>
        <v>0.47511549999999997</v>
      </c>
      <c r="D109" s="1146">
        <f>(-0.163*(D108^2)-0.59*D108+7617)*(10^(-4))/D101</f>
        <v>0.47511549999999997</v>
      </c>
      <c r="E109" s="1146">
        <f>(-0.161*(E108^2)-7.509*E108+6533)*(10^(-4))/E101</f>
        <v>0.403914</v>
      </c>
      <c r="F109" s="1146">
        <f>(-0.161*(F108^2)-7.509*F108+6533)*(10^(-4))/F101</f>
        <v>0.403914</v>
      </c>
      <c r="G109" s="1146">
        <f>(-0.161*(G108^2)-7.509*G108+6533)*(10^(-4))/G101</f>
        <v>0.403914</v>
      </c>
      <c r="H109" s="1146">
        <f>(-0.161*(H108^2)-7.509*H108+6533)*(10^(-4))/H101</f>
        <v>0.403914</v>
      </c>
      <c r="I109" s="1146">
        <f>(-0.161*(I108^2)-7.509*I108+6533)*(10^(-4))/I101</f>
        <v>0.403914</v>
      </c>
      <c r="J109" s="1146">
        <f>(-0.214*(J108^2)-21.991*J108+4665)*(10^(-4))/J101</f>
        <v>0.27971099999999999</v>
      </c>
      <c r="K109" s="1146">
        <f>(-0.214*(K108^2)-21.991*K108+4665)*(10^(-4))/K101</f>
        <v>0.27971099999999999</v>
      </c>
      <c r="L109" s="1146">
        <f>(-0.214*(L108^2)-21.991*L108+4665)*(10^(-4))/L101</f>
        <v>0.27971099999999999</v>
      </c>
      <c r="M109" s="1146">
        <f>(-0.214*(M108^2)-21.991*M108+4665)*(10^(-4))/M101</f>
        <v>0.27971099999999999</v>
      </c>
      <c r="N109" s="1146">
        <f>(-0.214*(N108^2)-21.991*N108+4665)*(10^(-4))/N101</f>
        <v>0.27971099999999999</v>
      </c>
    </row>
    <row r="110" spans="1:14">
      <c r="A110" s="3499" t="s">
        <v>1639</v>
      </c>
      <c r="B110" s="3499"/>
      <c r="C110" s="3499"/>
      <c r="D110" s="3499"/>
      <c r="E110" s="3499"/>
      <c r="F110" s="3499"/>
      <c r="G110" s="3499"/>
      <c r="H110" s="3499"/>
      <c r="I110" s="3499"/>
      <c r="J110" s="3499"/>
      <c r="K110" s="2449"/>
      <c r="L110" s="2449"/>
      <c r="M110" s="2449"/>
      <c r="N110" s="2449"/>
    </row>
    <row r="112" spans="1:14" ht="12.75" thickBot="1"/>
    <row r="113" spans="1:13" ht="25.5" thickBot="1">
      <c r="A113" s="1016" t="s">
        <v>895</v>
      </c>
      <c r="B113" s="2452">
        <f>G3</f>
        <v>1.6</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0.91849999999999998</v>
      </c>
      <c r="C115" s="1030">
        <f>B115</f>
        <v>0.91849999999999998</v>
      </c>
      <c r="D115" s="1030">
        <f>ROUND(0.8331-0.0109*B113,4)</f>
        <v>0.81569999999999998</v>
      </c>
      <c r="E115" s="1030">
        <f>D115</f>
        <v>0.81569999999999998</v>
      </c>
      <c r="F115" s="1030">
        <f>E115</f>
        <v>0.81569999999999998</v>
      </c>
      <c r="G115" s="1030">
        <f>F115</f>
        <v>0.81569999999999998</v>
      </c>
      <c r="H115" s="1030">
        <f>G115</f>
        <v>0.81569999999999998</v>
      </c>
      <c r="I115" s="1030">
        <f>ROUND(0.689-0.0155*B113,4)</f>
        <v>0.66420000000000001</v>
      </c>
      <c r="J115" s="1030">
        <f t="shared" ref="J115:M118" si="33">I115</f>
        <v>0.66420000000000001</v>
      </c>
      <c r="K115" s="1030">
        <f t="shared" si="33"/>
        <v>0.66420000000000001</v>
      </c>
      <c r="L115" s="1030">
        <f t="shared" si="33"/>
        <v>0.66420000000000001</v>
      </c>
      <c r="M115" s="1031">
        <f t="shared" si="33"/>
        <v>0.66420000000000001</v>
      </c>
    </row>
    <row r="116" spans="1:13" ht="12.75">
      <c r="A116" s="1029" t="s">
        <v>900</v>
      </c>
      <c r="B116" s="1030">
        <f>ROUND(0.949-0.012*B113,4)</f>
        <v>0.92979999999999996</v>
      </c>
      <c r="C116" s="1030">
        <f>B116</f>
        <v>0.92979999999999996</v>
      </c>
      <c r="D116" s="1030">
        <f>ROUND(0.8567-0.013*B113,4)</f>
        <v>0.83589999999999998</v>
      </c>
      <c r="E116" s="1030">
        <f t="shared" ref="E116:H117" si="34">D116</f>
        <v>0.83589999999999998</v>
      </c>
      <c r="F116" s="1030">
        <f t="shared" si="34"/>
        <v>0.83589999999999998</v>
      </c>
      <c r="G116" s="1030">
        <f t="shared" si="34"/>
        <v>0.83589999999999998</v>
      </c>
      <c r="H116" s="1030">
        <f t="shared" si="34"/>
        <v>0.83589999999999998</v>
      </c>
      <c r="I116" s="1030">
        <f>ROUND(0.7694-0.014*B113,4)</f>
        <v>0.747</v>
      </c>
      <c r="J116" s="1030">
        <f t="shared" si="33"/>
        <v>0.747</v>
      </c>
      <c r="K116" s="1030">
        <f t="shared" si="33"/>
        <v>0.747</v>
      </c>
      <c r="L116" s="1030">
        <f t="shared" si="33"/>
        <v>0.747</v>
      </c>
      <c r="M116" s="1031">
        <f t="shared" si="33"/>
        <v>0.747</v>
      </c>
    </row>
    <row r="117" spans="1:13" ht="12.75">
      <c r="A117" s="1032" t="s">
        <v>901</v>
      </c>
      <c r="B117" s="1030">
        <f>ROUND(0.8808-0.006*B113,4)</f>
        <v>0.87119999999999997</v>
      </c>
      <c r="C117" s="1030">
        <f>B117</f>
        <v>0.87119999999999997</v>
      </c>
      <c r="D117" s="1030">
        <f>ROUND(0.8748-0.008*B113,4)</f>
        <v>0.86199999999999999</v>
      </c>
      <c r="E117" s="1030">
        <f t="shared" si="34"/>
        <v>0.86199999999999999</v>
      </c>
      <c r="F117" s="1030">
        <f t="shared" si="34"/>
        <v>0.86199999999999999</v>
      </c>
      <c r="G117" s="1030">
        <f t="shared" si="34"/>
        <v>0.86199999999999999</v>
      </c>
      <c r="H117" s="1030">
        <f t="shared" si="34"/>
        <v>0.86199999999999999</v>
      </c>
      <c r="I117" s="1030">
        <f>ROUND(0.7412-0.0095*B113,4)</f>
        <v>0.72599999999999998</v>
      </c>
      <c r="J117" s="1030">
        <f t="shared" si="33"/>
        <v>0.72599999999999998</v>
      </c>
      <c r="K117" s="1030">
        <f t="shared" si="33"/>
        <v>0.72599999999999998</v>
      </c>
      <c r="L117" s="1030">
        <f t="shared" si="33"/>
        <v>0.72599999999999998</v>
      </c>
      <c r="M117" s="1031">
        <f t="shared" si="33"/>
        <v>0.72599999999999998</v>
      </c>
    </row>
    <row r="118" spans="1:13" ht="13.5" thickBot="1">
      <c r="A118" s="1033" t="s">
        <v>902</v>
      </c>
      <c r="B118" s="1034">
        <f>ROUND(0.7275-0.01*B113,4)</f>
        <v>0.71150000000000002</v>
      </c>
      <c r="C118" s="1034">
        <f>B118</f>
        <v>0.71150000000000002</v>
      </c>
      <c r="D118" s="1034">
        <f>ROUND(0.7043-0.012*B113,4)</f>
        <v>0.68510000000000004</v>
      </c>
      <c r="E118" s="1034">
        <f>D118</f>
        <v>0.68510000000000004</v>
      </c>
      <c r="F118" s="1034">
        <f>E118</f>
        <v>0.68510000000000004</v>
      </c>
      <c r="G118" s="1034">
        <f>ROUND(0.6299-0.0122*B113,4)</f>
        <v>0.61040000000000005</v>
      </c>
      <c r="H118" s="1034">
        <f>G118</f>
        <v>0.61040000000000005</v>
      </c>
      <c r="I118" s="1034">
        <f>ROUND(0.5667-0.0136*B113,4)</f>
        <v>0.54490000000000005</v>
      </c>
      <c r="J118" s="1034">
        <f t="shared" si="33"/>
        <v>0.54490000000000005</v>
      </c>
      <c r="K118" s="1034">
        <f t="shared" si="33"/>
        <v>0.54490000000000005</v>
      </c>
      <c r="L118" s="1034">
        <f t="shared" si="33"/>
        <v>0.54490000000000005</v>
      </c>
      <c r="M118" s="1035">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505" t="s">
        <v>1007</v>
      </c>
      <c r="B18" s="1154" t="s">
        <v>1446</v>
      </c>
      <c r="C18" s="1131" t="s">
        <v>1447</v>
      </c>
      <c r="D18" s="1132"/>
      <c r="E18" s="1154">
        <v>1</v>
      </c>
      <c r="F18" s="1133" t="s">
        <v>1448</v>
      </c>
      <c r="G18" s="1134"/>
      <c r="H18" s="1105"/>
      <c r="I18" s="1105"/>
    </row>
    <row r="19" spans="1:9" s="1600" customFormat="1" ht="19.5" customHeight="1">
      <c r="A19" s="3505"/>
      <c r="B19" s="3505" t="s">
        <v>1449</v>
      </c>
      <c r="C19" s="1131" t="s">
        <v>1450</v>
      </c>
      <c r="D19" s="1132"/>
      <c r="E19" s="1154">
        <v>0.9</v>
      </c>
      <c r="F19" s="1133" t="s">
        <v>1451</v>
      </c>
      <c r="G19" s="1134"/>
      <c r="H19" s="1105"/>
      <c r="I19" s="1105"/>
    </row>
    <row r="20" spans="1:9" s="1600" customFormat="1" ht="19.5" customHeight="1">
      <c r="A20" s="3505"/>
      <c r="B20" s="3505"/>
      <c r="C20" s="1131" t="s">
        <v>1452</v>
      </c>
      <c r="D20" s="1132"/>
      <c r="E20" s="1154">
        <v>1.1000000000000001</v>
      </c>
      <c r="F20" s="1133" t="s">
        <v>1453</v>
      </c>
      <c r="G20" s="1134"/>
      <c r="H20" s="1105"/>
      <c r="I20" s="1105"/>
    </row>
    <row r="21" spans="1:9" s="1600" customFormat="1" ht="19.5" customHeight="1">
      <c r="A21" s="3505"/>
      <c r="B21" s="3505"/>
      <c r="C21" s="1131" t="s">
        <v>1454</v>
      </c>
      <c r="D21" s="1132"/>
      <c r="E21" s="1154">
        <v>0.8</v>
      </c>
      <c r="F21" s="1133" t="s">
        <v>1455</v>
      </c>
      <c r="G21" s="1134"/>
      <c r="H21" s="1105"/>
      <c r="I21" s="1105"/>
    </row>
    <row r="22" spans="1:9" s="1600" customFormat="1" ht="19.5" customHeight="1">
      <c r="A22" s="3505"/>
      <c r="B22" s="3505"/>
      <c r="C22" s="1131" t="s">
        <v>1456</v>
      </c>
      <c r="D22" s="1132"/>
      <c r="E22" s="1154">
        <v>0.5</v>
      </c>
      <c r="F22" s="1133"/>
      <c r="G22" s="1134"/>
      <c r="H22" s="1105"/>
      <c r="I22" s="1105"/>
    </row>
    <row r="23" spans="1:9" s="1600" customFormat="1" ht="19.5" customHeight="1">
      <c r="A23" s="3505" t="s">
        <v>1029</v>
      </c>
      <c r="B23" s="1154" t="s">
        <v>1446</v>
      </c>
      <c r="C23" s="1131" t="s">
        <v>1457</v>
      </c>
      <c r="D23" s="1132"/>
      <c r="E23" s="1154">
        <v>1</v>
      </c>
      <c r="F23" s="1133" t="s">
        <v>1458</v>
      </c>
      <c r="G23" s="1134"/>
      <c r="H23" s="1105"/>
      <c r="I23" s="1105"/>
    </row>
    <row r="24" spans="1:9" s="1600" customFormat="1" ht="19.5" customHeight="1">
      <c r="A24" s="3505"/>
      <c r="B24" s="3505" t="s">
        <v>1449</v>
      </c>
      <c r="C24" s="1131" t="s">
        <v>1459</v>
      </c>
      <c r="D24" s="1132"/>
      <c r="E24" s="1154">
        <v>0.5</v>
      </c>
      <c r="F24" s="1133"/>
      <c r="G24" s="1134"/>
      <c r="H24" s="1105"/>
      <c r="I24" s="1105"/>
    </row>
    <row r="25" spans="1:9" s="1600" customFormat="1" ht="19.5" customHeight="1">
      <c r="A25" s="3505"/>
      <c r="B25" s="3505"/>
      <c r="C25" s="1131" t="s">
        <v>1460</v>
      </c>
      <c r="D25" s="1132"/>
      <c r="E25" s="1154">
        <v>1.1000000000000001</v>
      </c>
      <c r="F25" s="1133"/>
      <c r="G25" s="1134"/>
      <c r="H25" s="1105"/>
      <c r="I25" s="1105"/>
    </row>
    <row r="26" spans="1:9" s="1600" customFormat="1" ht="19.5" customHeight="1">
      <c r="A26" s="3505"/>
      <c r="B26" s="3505"/>
      <c r="C26" s="1131" t="s">
        <v>1461</v>
      </c>
      <c r="D26" s="1132"/>
      <c r="E26" s="1154">
        <v>1.1000000000000001</v>
      </c>
      <c r="F26" s="1133"/>
      <c r="G26" s="1134"/>
      <c r="H26" s="1105"/>
      <c r="I26" s="1105"/>
    </row>
    <row r="27" spans="1:9" s="1600" customFormat="1" ht="19.5" customHeight="1">
      <c r="A27" s="3505"/>
      <c r="B27" s="3505"/>
      <c r="C27" s="1131" t="s">
        <v>1462</v>
      </c>
      <c r="D27" s="1132"/>
      <c r="E27" s="1154">
        <v>0.9</v>
      </c>
      <c r="F27" s="1133" t="s">
        <v>1463</v>
      </c>
      <c r="G27" s="1134"/>
      <c r="H27" s="1105"/>
      <c r="I27" s="1105"/>
    </row>
    <row r="28" spans="1:9" s="1600" customFormat="1" ht="19.5" customHeight="1">
      <c r="A28" s="3505"/>
      <c r="B28" s="3505"/>
      <c r="C28" s="1131" t="s">
        <v>1464</v>
      </c>
      <c r="D28" s="1132"/>
      <c r="E28" s="1154">
        <v>0.9</v>
      </c>
      <c r="F28" s="1133" t="s">
        <v>1465</v>
      </c>
      <c r="G28" s="1134"/>
      <c r="H28" s="1105"/>
      <c r="I28" s="1105"/>
    </row>
    <row r="29" spans="1:9" s="1600" customFormat="1" ht="19.5" customHeight="1">
      <c r="A29" s="3505"/>
      <c r="B29" s="3505"/>
      <c r="C29" s="1131" t="s">
        <v>1466</v>
      </c>
      <c r="D29" s="1132"/>
      <c r="E29" s="1154">
        <v>0.9</v>
      </c>
      <c r="F29" s="1133" t="s">
        <v>1467</v>
      </c>
      <c r="G29" s="1134"/>
      <c r="H29" s="1105"/>
      <c r="I29" s="1105"/>
    </row>
    <row r="30" spans="1:9" s="1600" customFormat="1" ht="19.5" customHeight="1">
      <c r="A30" s="3505"/>
      <c r="B30" s="3505"/>
      <c r="C30" s="1131" t="s">
        <v>1468</v>
      </c>
      <c r="D30" s="1132"/>
      <c r="E30" s="1154">
        <v>0.9</v>
      </c>
      <c r="F30" s="1133" t="s">
        <v>1469</v>
      </c>
      <c r="G30" s="1134"/>
      <c r="H30" s="1105"/>
      <c r="I30" s="1105"/>
    </row>
    <row r="31" spans="1:9" s="1600" customFormat="1" ht="19.5" customHeight="1">
      <c r="A31" s="3505"/>
      <c r="B31" s="3505"/>
      <c r="C31" s="1131" t="s">
        <v>1470</v>
      </c>
      <c r="D31" s="1132"/>
      <c r="E31" s="1154">
        <v>0.8</v>
      </c>
      <c r="F31" s="1133" t="s">
        <v>1471</v>
      </c>
      <c r="G31" s="1134"/>
      <c r="H31" s="1105"/>
      <c r="I31" s="1105"/>
    </row>
    <row r="32" spans="1:9" s="1600" customFormat="1" ht="19.5" customHeight="1">
      <c r="A32" s="3505"/>
      <c r="B32" s="3505"/>
      <c r="C32" s="1131" t="s">
        <v>1472</v>
      </c>
      <c r="D32" s="1132"/>
      <c r="E32" s="1154">
        <v>0.8</v>
      </c>
      <c r="F32" s="1133" t="s">
        <v>1473</v>
      </c>
      <c r="G32" s="1134"/>
      <c r="H32" s="1105"/>
      <c r="I32" s="1105"/>
    </row>
    <row r="33" spans="1:9" s="1600" customFormat="1" ht="19.5" customHeight="1">
      <c r="A33" s="3505" t="s">
        <v>1474</v>
      </c>
      <c r="B33" s="1154" t="s">
        <v>1446</v>
      </c>
      <c r="C33" s="1131" t="s">
        <v>1475</v>
      </c>
      <c r="D33" s="1132"/>
      <c r="E33" s="1154">
        <v>1</v>
      </c>
      <c r="F33" s="1133" t="s">
        <v>1476</v>
      </c>
      <c r="G33" s="1134"/>
      <c r="H33" s="1105"/>
      <c r="I33" s="1105"/>
    </row>
    <row r="34" spans="1:9" s="1600" customFormat="1" ht="19.5" customHeight="1">
      <c r="A34" s="3505"/>
      <c r="B34" s="1154" t="s">
        <v>1449</v>
      </c>
      <c r="C34" s="1131" t="s">
        <v>1477</v>
      </c>
      <c r="D34" s="1132"/>
      <c r="E34" s="1154">
        <v>1.5</v>
      </c>
      <c r="F34" s="1133" t="s">
        <v>1478</v>
      </c>
      <c r="G34" s="1134"/>
      <c r="H34" s="1105"/>
      <c r="I34" s="1105"/>
    </row>
    <row r="35" spans="1:9" s="1600" customFormat="1" ht="19.5" customHeight="1">
      <c r="A35" s="3505" t="s">
        <v>1432</v>
      </c>
      <c r="B35" s="1154" t="s">
        <v>1446</v>
      </c>
      <c r="C35" s="1131" t="s">
        <v>1479</v>
      </c>
      <c r="D35" s="1132"/>
      <c r="E35" s="1154">
        <v>1</v>
      </c>
      <c r="F35" s="1133" t="s">
        <v>1480</v>
      </c>
      <c r="G35" s="1134"/>
      <c r="H35" s="1105"/>
      <c r="I35" s="1105"/>
    </row>
    <row r="36" spans="1:9" s="1600" customFormat="1" ht="19.5" customHeight="1">
      <c r="A36" s="3505"/>
      <c r="B36" s="3505" t="s">
        <v>1449</v>
      </c>
      <c r="C36" s="1131" t="s">
        <v>1481</v>
      </c>
      <c r="D36" s="1132"/>
      <c r="E36" s="1154">
        <v>1</v>
      </c>
      <c r="F36" s="1133" t="s">
        <v>1482</v>
      </c>
      <c r="G36" s="1134"/>
      <c r="H36" s="1105"/>
      <c r="I36" s="1105"/>
    </row>
    <row r="37" spans="1:9" s="1600" customFormat="1" ht="19.5" customHeight="1">
      <c r="A37" s="3505"/>
      <c r="B37" s="3505"/>
      <c r="C37" s="1131" t="s">
        <v>1483</v>
      </c>
      <c r="D37" s="1132"/>
      <c r="E37" s="1154">
        <v>1.5</v>
      </c>
      <c r="F37" s="1133" t="s">
        <v>1484</v>
      </c>
      <c r="G37" s="1134"/>
      <c r="H37" s="1105"/>
      <c r="I37" s="1105"/>
    </row>
    <row r="38" spans="1:9" s="1600" customFormat="1" ht="19.5" customHeight="1">
      <c r="A38" s="3505"/>
      <c r="B38" s="3505"/>
      <c r="C38" s="1131" t="s">
        <v>1485</v>
      </c>
      <c r="D38" s="1132"/>
      <c r="E38" s="1154">
        <v>1</v>
      </c>
      <c r="F38" s="1133" t="s">
        <v>1486</v>
      </c>
      <c r="G38" s="1134"/>
      <c r="H38" s="1105"/>
      <c r="I38" s="1105"/>
    </row>
    <row r="39" spans="1:9" s="1600" customFormat="1" ht="19.5" customHeight="1">
      <c r="A39" s="3505"/>
      <c r="B39" s="350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505" t="s">
        <v>1501</v>
      </c>
      <c r="C61" s="1068" t="s">
        <v>1502</v>
      </c>
      <c r="D61" s="1068" t="s">
        <v>1503</v>
      </c>
      <c r="E61" s="1139">
        <v>0.5</v>
      </c>
      <c r="F61" s="1154">
        <v>80</v>
      </c>
      <c r="H61" s="1105">
        <f>SUMIF(C59:C119,基准地价!C8,E59:E119)</f>
        <v>0</v>
      </c>
    </row>
    <row r="62" spans="1:8" s="1105" customFormat="1" ht="24">
      <c r="A62" s="1154">
        <v>2</v>
      </c>
      <c r="B62" s="3505"/>
      <c r="C62" s="1068" t="s">
        <v>1504</v>
      </c>
      <c r="D62" s="1068" t="s">
        <v>1505</v>
      </c>
      <c r="E62" s="1139">
        <v>0.5</v>
      </c>
      <c r="F62" s="1154">
        <v>80</v>
      </c>
    </row>
    <row r="63" spans="1:8" s="1105" customFormat="1" ht="36">
      <c r="A63" s="1154">
        <v>3</v>
      </c>
      <c r="B63" s="3505"/>
      <c r="C63" s="1068" t="s">
        <v>1506</v>
      </c>
      <c r="D63" s="1068" t="s">
        <v>1507</v>
      </c>
      <c r="E63" s="1139">
        <v>0.5</v>
      </c>
      <c r="F63" s="1154">
        <v>80</v>
      </c>
    </row>
    <row r="64" spans="1:8" s="1105" customFormat="1" ht="36">
      <c r="A64" s="1154">
        <v>4</v>
      </c>
      <c r="B64" s="3505"/>
      <c r="C64" s="1068" t="s">
        <v>1508</v>
      </c>
      <c r="D64" s="1068" t="s">
        <v>1509</v>
      </c>
      <c r="E64" s="1139">
        <v>0.4</v>
      </c>
      <c r="F64" s="1154">
        <v>60</v>
      </c>
    </row>
    <row r="65" spans="1:6" s="1105" customFormat="1" ht="36">
      <c r="A65" s="1154">
        <v>5</v>
      </c>
      <c r="B65" s="3505"/>
      <c r="C65" s="1068" t="s">
        <v>1510</v>
      </c>
      <c r="D65" s="1068" t="s">
        <v>1511</v>
      </c>
      <c r="E65" s="1139">
        <v>0.2</v>
      </c>
      <c r="F65" s="1154">
        <v>30</v>
      </c>
    </row>
    <row r="66" spans="1:6" s="1105" customFormat="1" ht="36">
      <c r="A66" s="1154">
        <v>6</v>
      </c>
      <c r="B66" s="3505"/>
      <c r="C66" s="1068" t="s">
        <v>1512</v>
      </c>
      <c r="D66" s="1068" t="s">
        <v>1513</v>
      </c>
      <c r="E66" s="1139">
        <v>0.3</v>
      </c>
      <c r="F66" s="1154">
        <v>50</v>
      </c>
    </row>
    <row r="67" spans="1:6" s="1105" customFormat="1" ht="36">
      <c r="A67" s="1154">
        <v>7</v>
      </c>
      <c r="B67" s="3505"/>
      <c r="C67" s="1068" t="s">
        <v>1514</v>
      </c>
      <c r="D67" s="1068" t="s">
        <v>1515</v>
      </c>
      <c r="E67" s="1139">
        <v>0.2</v>
      </c>
      <c r="F67" s="1154">
        <v>30</v>
      </c>
    </row>
    <row r="68" spans="1:6" s="1105" customFormat="1" ht="36">
      <c r="A68" s="1154">
        <v>8</v>
      </c>
      <c r="B68" s="3505"/>
      <c r="C68" s="1068" t="s">
        <v>1516</v>
      </c>
      <c r="D68" s="1068" t="s">
        <v>1517</v>
      </c>
      <c r="E68" s="1139">
        <v>0.2</v>
      </c>
      <c r="F68" s="1154">
        <v>30</v>
      </c>
    </row>
    <row r="69" spans="1:6" s="1105" customFormat="1" ht="36">
      <c r="A69" s="1154">
        <v>9</v>
      </c>
      <c r="B69" s="3505"/>
      <c r="C69" s="1068" t="s">
        <v>1518</v>
      </c>
      <c r="D69" s="1068" t="s">
        <v>1519</v>
      </c>
      <c r="E69" s="1139">
        <v>0.2</v>
      </c>
      <c r="F69" s="1154">
        <v>30</v>
      </c>
    </row>
    <row r="70" spans="1:6" s="1105" customFormat="1" ht="48">
      <c r="A70" s="1154">
        <v>10</v>
      </c>
      <c r="B70" s="3505"/>
      <c r="C70" s="1068" t="s">
        <v>1520</v>
      </c>
      <c r="D70" s="1068" t="s">
        <v>1521</v>
      </c>
      <c r="E70" s="1139">
        <v>0.2</v>
      </c>
      <c r="F70" s="1154">
        <v>30</v>
      </c>
    </row>
    <row r="71" spans="1:6" s="1105" customFormat="1" ht="48">
      <c r="A71" s="1154">
        <v>11</v>
      </c>
      <c r="B71" s="3505"/>
      <c r="C71" s="1068" t="s">
        <v>1522</v>
      </c>
      <c r="D71" s="1068" t="s">
        <v>1523</v>
      </c>
      <c r="E71" s="1139">
        <v>0.2</v>
      </c>
      <c r="F71" s="1154">
        <v>30</v>
      </c>
    </row>
    <row r="72" spans="1:6" s="1105" customFormat="1" ht="36">
      <c r="A72" s="1154">
        <v>12</v>
      </c>
      <c r="B72" s="3505"/>
      <c r="C72" s="1068" t="s">
        <v>1524</v>
      </c>
      <c r="D72" s="1068" t="s">
        <v>1525</v>
      </c>
      <c r="E72" s="1139">
        <v>0.5</v>
      </c>
      <c r="F72" s="1154">
        <v>80</v>
      </c>
    </row>
    <row r="73" spans="1:6" s="1105" customFormat="1" ht="24">
      <c r="A73" s="1154">
        <v>13</v>
      </c>
      <c r="B73" s="3505"/>
      <c r="C73" s="1068" t="s">
        <v>1526</v>
      </c>
      <c r="D73" s="1068" t="s">
        <v>1527</v>
      </c>
      <c r="E73" s="1139">
        <v>0.4</v>
      </c>
      <c r="F73" s="1154">
        <v>60</v>
      </c>
    </row>
    <row r="74" spans="1:6" s="1105" customFormat="1" ht="24">
      <c r="A74" s="1154">
        <v>14</v>
      </c>
      <c r="B74" s="3505"/>
      <c r="C74" s="1068" t="s">
        <v>1528</v>
      </c>
      <c r="D74" s="1068" t="s">
        <v>1529</v>
      </c>
      <c r="E74" s="1139">
        <v>0.2</v>
      </c>
      <c r="F74" s="1154">
        <v>30</v>
      </c>
    </row>
    <row r="75" spans="1:6" s="1105" customFormat="1" ht="24">
      <c r="A75" s="1154">
        <v>15</v>
      </c>
      <c r="B75" s="3505"/>
      <c r="C75" s="1068" t="s">
        <v>1530</v>
      </c>
      <c r="D75" s="1068" t="s">
        <v>1531</v>
      </c>
      <c r="E75" s="1139">
        <v>0.2</v>
      </c>
      <c r="F75" s="1154">
        <v>30</v>
      </c>
    </row>
    <row r="76" spans="1:6" s="1105" customFormat="1" ht="24">
      <c r="A76" s="1154">
        <v>16</v>
      </c>
      <c r="B76" s="3505" t="s">
        <v>1532</v>
      </c>
      <c r="C76" s="1068" t="s">
        <v>1533</v>
      </c>
      <c r="D76" s="1068" t="s">
        <v>1534</v>
      </c>
      <c r="E76" s="1139">
        <v>0.5</v>
      </c>
      <c r="F76" s="1154">
        <v>80</v>
      </c>
    </row>
    <row r="77" spans="1:6" s="1105" customFormat="1" ht="24">
      <c r="A77" s="1154">
        <v>17</v>
      </c>
      <c r="B77" s="3505"/>
      <c r="C77" s="1068" t="s">
        <v>1535</v>
      </c>
      <c r="D77" s="1068" t="s">
        <v>1536</v>
      </c>
      <c r="E77" s="1139">
        <v>0.5</v>
      </c>
      <c r="F77" s="1154">
        <v>80</v>
      </c>
    </row>
    <row r="78" spans="1:6" s="1105" customFormat="1" ht="24">
      <c r="A78" s="1154">
        <v>18</v>
      </c>
      <c r="B78" s="3505"/>
      <c r="C78" s="1068" t="s">
        <v>1537</v>
      </c>
      <c r="D78" s="1068" t="s">
        <v>1538</v>
      </c>
      <c r="E78" s="1139">
        <v>0.2</v>
      </c>
      <c r="F78" s="1154">
        <v>30</v>
      </c>
    </row>
    <row r="79" spans="1:6" s="1105" customFormat="1" ht="24">
      <c r="A79" s="1154">
        <v>19</v>
      </c>
      <c r="B79" s="3505"/>
      <c r="C79" s="1068" t="s">
        <v>1539</v>
      </c>
      <c r="D79" s="1068" t="s">
        <v>1540</v>
      </c>
      <c r="E79" s="1139">
        <v>0.5</v>
      </c>
      <c r="F79" s="1154">
        <v>80</v>
      </c>
    </row>
    <row r="80" spans="1:6" s="1105" customFormat="1" ht="36">
      <c r="A80" s="1154">
        <v>20</v>
      </c>
      <c r="B80" s="3505"/>
      <c r="C80" s="1068" t="s">
        <v>1541</v>
      </c>
      <c r="D80" s="1068" t="s">
        <v>1542</v>
      </c>
      <c r="E80" s="1139">
        <v>0.2</v>
      </c>
      <c r="F80" s="1154">
        <v>30</v>
      </c>
    </row>
    <row r="81" spans="1:6" s="1105" customFormat="1" ht="36">
      <c r="A81" s="1154">
        <v>21</v>
      </c>
      <c r="B81" s="3505"/>
      <c r="C81" s="1068" t="s">
        <v>1543</v>
      </c>
      <c r="D81" s="1068" t="s">
        <v>1544</v>
      </c>
      <c r="E81" s="1139">
        <v>0.2</v>
      </c>
      <c r="F81" s="1154">
        <v>30</v>
      </c>
    </row>
    <row r="82" spans="1:6" s="1105" customFormat="1" ht="48">
      <c r="A82" s="1154">
        <v>22</v>
      </c>
      <c r="B82" s="3505"/>
      <c r="C82" s="1068" t="s">
        <v>1545</v>
      </c>
      <c r="D82" s="1068" t="s">
        <v>1546</v>
      </c>
      <c r="E82" s="1139">
        <v>0.2</v>
      </c>
      <c r="F82" s="1154">
        <v>30</v>
      </c>
    </row>
    <row r="83" spans="1:6" s="1105" customFormat="1" ht="48">
      <c r="A83" s="1154">
        <v>23</v>
      </c>
      <c r="B83" s="3505"/>
      <c r="C83" s="1068" t="s">
        <v>1547</v>
      </c>
      <c r="D83" s="1068" t="s">
        <v>1548</v>
      </c>
      <c r="E83" s="1139">
        <v>0.2</v>
      </c>
      <c r="F83" s="1154">
        <v>30</v>
      </c>
    </row>
    <row r="84" spans="1:6" s="1105" customFormat="1" ht="36">
      <c r="A84" s="1154">
        <v>24</v>
      </c>
      <c r="B84" s="3505"/>
      <c r="C84" s="1068" t="s">
        <v>1549</v>
      </c>
      <c r="D84" s="1068" t="s">
        <v>1550</v>
      </c>
      <c r="E84" s="1139">
        <v>0.2</v>
      </c>
      <c r="F84" s="1154">
        <v>30</v>
      </c>
    </row>
    <row r="85" spans="1:6" s="1105" customFormat="1" ht="36">
      <c r="A85" s="1154">
        <v>25</v>
      </c>
      <c r="B85" s="3505"/>
      <c r="C85" s="1068" t="s">
        <v>1551</v>
      </c>
      <c r="D85" s="1068" t="s">
        <v>1552</v>
      </c>
      <c r="E85" s="1139">
        <v>0.5</v>
      </c>
      <c r="F85" s="1154">
        <v>80</v>
      </c>
    </row>
    <row r="86" spans="1:6" s="1105" customFormat="1" ht="36">
      <c r="A86" s="1154">
        <v>26</v>
      </c>
      <c r="B86" s="3505"/>
      <c r="C86" s="1068" t="s">
        <v>1553</v>
      </c>
      <c r="D86" s="1068" t="s">
        <v>1554</v>
      </c>
      <c r="E86" s="1139">
        <v>0.2</v>
      </c>
      <c r="F86" s="1154">
        <v>30</v>
      </c>
    </row>
    <row r="87" spans="1:6" s="1105" customFormat="1" ht="36">
      <c r="A87" s="1154">
        <v>27</v>
      </c>
      <c r="B87" s="3505"/>
      <c r="C87" s="1068" t="s">
        <v>1555</v>
      </c>
      <c r="D87" s="1068" t="s">
        <v>1556</v>
      </c>
      <c r="E87" s="1139">
        <v>0.2</v>
      </c>
      <c r="F87" s="1154">
        <v>30</v>
      </c>
    </row>
    <row r="88" spans="1:6" s="1105" customFormat="1" ht="36">
      <c r="A88" s="1154">
        <v>28</v>
      </c>
      <c r="B88" s="3505"/>
      <c r="C88" s="1068" t="s">
        <v>1557</v>
      </c>
      <c r="D88" s="1068" t="s">
        <v>1558</v>
      </c>
      <c r="E88" s="1139">
        <v>0.2</v>
      </c>
      <c r="F88" s="1154">
        <v>30</v>
      </c>
    </row>
    <row r="89" spans="1:6" s="1105" customFormat="1" ht="24">
      <c r="A89" s="1154">
        <v>29</v>
      </c>
      <c r="B89" s="3505"/>
      <c r="C89" s="1068" t="s">
        <v>1559</v>
      </c>
      <c r="D89" s="1068" t="s">
        <v>1560</v>
      </c>
      <c r="E89" s="1139">
        <v>0.2</v>
      </c>
      <c r="F89" s="1154">
        <v>30</v>
      </c>
    </row>
    <row r="90" spans="1:6" s="1105" customFormat="1" ht="24">
      <c r="A90" s="1154">
        <v>30</v>
      </c>
      <c r="B90" s="3505"/>
      <c r="C90" s="1068" t="s">
        <v>1561</v>
      </c>
      <c r="D90" s="1068" t="s">
        <v>1562</v>
      </c>
      <c r="E90" s="1139">
        <v>0.2</v>
      </c>
      <c r="F90" s="1154">
        <v>30</v>
      </c>
    </row>
    <row r="91" spans="1:6" s="1105" customFormat="1" ht="36">
      <c r="A91" s="1154">
        <v>31</v>
      </c>
      <c r="B91" s="3505"/>
      <c r="C91" s="1068" t="s">
        <v>1563</v>
      </c>
      <c r="D91" s="1068" t="s">
        <v>1564</v>
      </c>
      <c r="E91" s="1139">
        <v>0.2</v>
      </c>
      <c r="F91" s="1154">
        <v>30</v>
      </c>
    </row>
    <row r="92" spans="1:6" s="1105" customFormat="1" ht="24">
      <c r="A92" s="1154">
        <v>32</v>
      </c>
      <c r="B92" s="3505" t="s">
        <v>1565</v>
      </c>
      <c r="C92" s="1154" t="s">
        <v>1566</v>
      </c>
      <c r="D92" s="1068" t="s">
        <v>1567</v>
      </c>
      <c r="E92" s="1139">
        <v>0.2</v>
      </c>
      <c r="F92" s="1154">
        <v>30</v>
      </c>
    </row>
    <row r="93" spans="1:6" s="1105" customFormat="1" ht="36">
      <c r="A93" s="1154">
        <v>33</v>
      </c>
      <c r="B93" s="3505"/>
      <c r="C93" s="1154" t="s">
        <v>1568</v>
      </c>
      <c r="D93" s="1068" t="s">
        <v>1569</v>
      </c>
      <c r="E93" s="1139">
        <v>0.2</v>
      </c>
      <c r="F93" s="1154">
        <v>30</v>
      </c>
    </row>
    <row r="94" spans="1:6" s="1105" customFormat="1" ht="48">
      <c r="A94" s="1154">
        <v>34</v>
      </c>
      <c r="B94" s="3505"/>
      <c r="C94" s="1154" t="s">
        <v>1570</v>
      </c>
      <c r="D94" s="1068" t="s">
        <v>1571</v>
      </c>
      <c r="E94" s="1139">
        <v>0.2</v>
      </c>
      <c r="F94" s="1154">
        <v>30</v>
      </c>
    </row>
    <row r="95" spans="1:6" s="1105" customFormat="1" ht="36">
      <c r="A95" s="1154">
        <v>35</v>
      </c>
      <c r="B95" s="3505"/>
      <c r="C95" s="1154" t="s">
        <v>1572</v>
      </c>
      <c r="D95" s="1068" t="s">
        <v>1573</v>
      </c>
      <c r="E95" s="1139">
        <v>0.2</v>
      </c>
      <c r="F95" s="1154">
        <v>30</v>
      </c>
    </row>
    <row r="96" spans="1:6" s="1105" customFormat="1" ht="48">
      <c r="A96" s="1154">
        <v>36</v>
      </c>
      <c r="B96" s="3505"/>
      <c r="C96" s="1068" t="s">
        <v>1574</v>
      </c>
      <c r="D96" s="1068" t="s">
        <v>1575</v>
      </c>
      <c r="E96" s="1139">
        <v>0.2</v>
      </c>
      <c r="F96" s="1154">
        <v>30</v>
      </c>
    </row>
    <row r="97" spans="1:6" s="1105" customFormat="1" ht="36">
      <c r="A97" s="1154">
        <v>37</v>
      </c>
      <c r="B97" s="3505"/>
      <c r="C97" s="1154" t="s">
        <v>1576</v>
      </c>
      <c r="D97" s="1068" t="s">
        <v>1577</v>
      </c>
      <c r="E97" s="1139">
        <v>0.2</v>
      </c>
      <c r="F97" s="1154">
        <v>30</v>
      </c>
    </row>
    <row r="98" spans="1:6" s="1105" customFormat="1" ht="36">
      <c r="A98" s="1154">
        <v>38</v>
      </c>
      <c r="B98" s="3505"/>
      <c r="C98" s="1154" t="s">
        <v>1578</v>
      </c>
      <c r="D98" s="1068" t="s">
        <v>1579</v>
      </c>
      <c r="E98" s="1139">
        <v>0.2</v>
      </c>
      <c r="F98" s="1154">
        <v>30</v>
      </c>
    </row>
    <row r="99" spans="1:6" s="1105" customFormat="1" ht="36">
      <c r="A99" s="1154">
        <v>39</v>
      </c>
      <c r="B99" s="3505" t="s">
        <v>1580</v>
      </c>
      <c r="C99" s="1154" t="s">
        <v>1581</v>
      </c>
      <c r="D99" s="1068" t="s">
        <v>1582</v>
      </c>
      <c r="E99" s="1139">
        <v>0.3</v>
      </c>
      <c r="F99" s="1154">
        <v>50</v>
      </c>
    </row>
    <row r="100" spans="1:6" s="1105" customFormat="1" ht="24">
      <c r="A100" s="1154">
        <v>40</v>
      </c>
      <c r="B100" s="3505"/>
      <c r="C100" s="1154" t="s">
        <v>1583</v>
      </c>
      <c r="D100" s="1068" t="s">
        <v>1584</v>
      </c>
      <c r="E100" s="1139">
        <v>0.2</v>
      </c>
      <c r="F100" s="1154">
        <v>30</v>
      </c>
    </row>
    <row r="101" spans="1:6" s="1105" customFormat="1" ht="36">
      <c r="A101" s="1154">
        <v>41</v>
      </c>
      <c r="B101" s="350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505" t="s">
        <v>1595</v>
      </c>
      <c r="C105" s="1154" t="s">
        <v>1596</v>
      </c>
      <c r="D105" s="1068" t="s">
        <v>1597</v>
      </c>
      <c r="E105" s="1139">
        <v>0.2</v>
      </c>
      <c r="F105" s="1154">
        <v>30</v>
      </c>
    </row>
    <row r="106" spans="1:6" s="1105" customFormat="1" ht="36">
      <c r="A106" s="1154">
        <v>46</v>
      </c>
      <c r="B106" s="3505"/>
      <c r="C106" s="1154" t="s">
        <v>1598</v>
      </c>
      <c r="D106" s="1068" t="s">
        <v>1599</v>
      </c>
      <c r="E106" s="1139">
        <v>0.2</v>
      </c>
      <c r="F106" s="1154">
        <v>30</v>
      </c>
    </row>
    <row r="107" spans="1:6" s="1105" customFormat="1" ht="36">
      <c r="A107" s="1154">
        <v>47</v>
      </c>
      <c r="B107" s="3505" t="s">
        <v>1600</v>
      </c>
      <c r="C107" s="1154" t="s">
        <v>1601</v>
      </c>
      <c r="D107" s="1068" t="s">
        <v>1602</v>
      </c>
      <c r="E107" s="1139">
        <v>0.3</v>
      </c>
      <c r="F107" s="1154">
        <v>50</v>
      </c>
    </row>
    <row r="108" spans="1:6" s="1105" customFormat="1" ht="36">
      <c r="A108" s="1154">
        <v>48</v>
      </c>
      <c r="B108" s="350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505" t="s">
        <v>1611</v>
      </c>
      <c r="C111" s="1154" t="s">
        <v>1612</v>
      </c>
      <c r="D111" s="1068" t="s">
        <v>1613</v>
      </c>
      <c r="E111" s="1139">
        <v>0.2</v>
      </c>
      <c r="F111" s="1154">
        <v>30</v>
      </c>
    </row>
    <row r="112" spans="1:6" s="1105" customFormat="1" ht="24">
      <c r="A112" s="1154">
        <v>52</v>
      </c>
      <c r="B112" s="3505"/>
      <c r="C112" s="1154" t="s">
        <v>1614</v>
      </c>
      <c r="D112" s="1068" t="s">
        <v>1615</v>
      </c>
      <c r="E112" s="1139">
        <v>0.2</v>
      </c>
      <c r="F112" s="1154">
        <v>30</v>
      </c>
    </row>
    <row r="113" spans="1:14" s="1105" customFormat="1" ht="24">
      <c r="A113" s="1154">
        <v>53</v>
      </c>
      <c r="B113" s="350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505" t="s">
        <v>1624</v>
      </c>
      <c r="C116" s="1154" t="s">
        <v>1625</v>
      </c>
      <c r="D116" s="1068" t="s">
        <v>1626</v>
      </c>
      <c r="E116" s="1139">
        <v>0.2</v>
      </c>
      <c r="F116" s="1154">
        <v>30</v>
      </c>
    </row>
    <row r="117" spans="1:14" ht="36">
      <c r="A117" s="1154">
        <v>57</v>
      </c>
      <c r="B117" s="350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504" t="s">
        <v>1633</v>
      </c>
      <c r="B121" s="3504"/>
      <c r="C121" s="3504"/>
      <c r="D121" s="3504"/>
      <c r="E121" s="3504"/>
      <c r="F121" s="3504"/>
      <c r="G121" s="3504"/>
      <c r="H121" s="3504"/>
      <c r="I121" s="3504"/>
      <c r="J121" s="35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7" t="s">
        <v>1039</v>
      </c>
      <c r="B1" s="3517"/>
      <c r="C1" s="3517"/>
      <c r="D1" s="3517"/>
      <c r="E1" s="3517"/>
      <c r="F1" s="351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518" t="s">
        <v>1052</v>
      </c>
      <c r="B2" s="3518"/>
      <c r="C2" s="3518"/>
      <c r="D2" s="3518"/>
      <c r="E2" s="3518"/>
      <c r="F2" s="351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1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21" t="s">
        <v>2080</v>
      </c>
      <c r="B1" s="35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2942</v>
      </c>
      <c r="B1" s="3107"/>
      <c r="C1" s="3107"/>
      <c r="D1" s="3107"/>
      <c r="E1" s="3107"/>
      <c r="F1" s="3107"/>
    </row>
    <row r="2" spans="1:6" ht="14.25">
      <c r="A2" s="3108" t="s">
        <v>2937</v>
      </c>
      <c r="B2" s="3109" t="e">
        <f ca="1">SUMIF(B7:B14,"&lt;&gt;#ref!",B7:B14)</f>
        <v>#DIV/0!</v>
      </c>
      <c r="C2" s="3108" t="s">
        <v>2938</v>
      </c>
      <c r="D2" s="3107"/>
      <c r="E2" s="3107"/>
      <c r="F2" s="3107"/>
    </row>
    <row r="3" spans="1:6" ht="14.25">
      <c r="A3" s="3108" t="s">
        <v>2971</v>
      </c>
      <c r="B3" s="3109" t="e">
        <f ca="1">ROUND(B2*10000/E3,0)</f>
        <v>#DIV/0!</v>
      </c>
      <c r="C3" s="3108" t="s">
        <v>2079</v>
      </c>
      <c r="D3" s="3108" t="s">
        <v>2939</v>
      </c>
      <c r="E3" s="3109">
        <f ca="1">SUMIF(E7:E14,"&lt;&gt;#ref!",E7:E14)</f>
        <v>0</v>
      </c>
      <c r="F3" s="3107"/>
    </row>
    <row r="4" spans="1:6" ht="14.25">
      <c r="A4" s="3108" t="s">
        <v>2946</v>
      </c>
      <c r="B4" s="3109" t="e">
        <f ca="1">ROUND(B2*10000/E4,0)</f>
        <v>#DIV/0!</v>
      </c>
      <c r="C4" s="3108" t="s">
        <v>2079</v>
      </c>
      <c r="D4" s="3108" t="s">
        <v>2947</v>
      </c>
      <c r="E4" s="3109">
        <f ca="1">SUMIF(F7:F14,"&lt;&gt;#ref!",F7:F14)</f>
        <v>0</v>
      </c>
      <c r="F4" s="3107"/>
    </row>
    <row r="5" spans="1:6" ht="14.25">
      <c r="A5" s="3110"/>
      <c r="B5" s="1882"/>
      <c r="C5" s="1882"/>
      <c r="D5" s="1882"/>
      <c r="E5" s="1882"/>
      <c r="F5" s="3107"/>
    </row>
    <row r="6" spans="1:6" ht="28.5">
      <c r="A6" s="3111" t="s">
        <v>2943</v>
      </c>
      <c r="B6" s="3108" t="s">
        <v>2940</v>
      </c>
      <c r="C6" s="3109"/>
      <c r="D6" s="1882"/>
      <c r="E6" s="3108" t="s">
        <v>2941</v>
      </c>
      <c r="F6" s="3108" t="s">
        <v>2945</v>
      </c>
    </row>
    <row r="7" spans="1:6" ht="14.25">
      <c r="A7" s="260" t="s">
        <v>2944</v>
      </c>
      <c r="B7" s="3112" t="e">
        <f ca="1">SUMIF(INDIRECT("'"&amp;A7&amp;"'"&amp;"!A:A"),"总价",INDIRECT("'"&amp;A7&amp;"'"&amp;"!B:B"))</f>
        <v>#DIV/0!</v>
      </c>
      <c r="C7" s="3108" t="s">
        <v>2938</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2938</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2938</v>
      </c>
      <c r="D9" s="1882"/>
      <c r="E9" s="3113" t="e">
        <f t="shared" ca="1" si="1"/>
        <v>#REF!</v>
      </c>
      <c r="F9" s="3113" t="e">
        <f t="shared" ca="1" si="2"/>
        <v>#REF!</v>
      </c>
    </row>
    <row r="10" spans="1:6" ht="14.25">
      <c r="A10" s="260"/>
      <c r="B10" s="3112" t="e">
        <f t="shared" ca="1" si="0"/>
        <v>#REF!</v>
      </c>
      <c r="C10" s="3108" t="s">
        <v>2938</v>
      </c>
      <c r="D10" s="1882"/>
      <c r="E10" s="3113" t="e">
        <f t="shared" ca="1" si="1"/>
        <v>#REF!</v>
      </c>
      <c r="F10" s="3113" t="e">
        <f t="shared" ca="1" si="2"/>
        <v>#REF!</v>
      </c>
    </row>
    <row r="11" spans="1:6" ht="14.25">
      <c r="A11" s="260"/>
      <c r="B11" s="3112" t="e">
        <f t="shared" ca="1" si="0"/>
        <v>#REF!</v>
      </c>
      <c r="C11" s="3108" t="s">
        <v>2938</v>
      </c>
      <c r="D11" s="1882"/>
      <c r="E11" s="3113" t="e">
        <f t="shared" ca="1" si="1"/>
        <v>#REF!</v>
      </c>
      <c r="F11" s="3113" t="e">
        <f t="shared" ca="1" si="2"/>
        <v>#REF!</v>
      </c>
    </row>
    <row r="12" spans="1:6" ht="14.25">
      <c r="A12" s="260"/>
      <c r="B12" s="3112" t="e">
        <f t="shared" ca="1" si="0"/>
        <v>#REF!</v>
      </c>
      <c r="C12" s="3108" t="s">
        <v>2938</v>
      </c>
      <c r="D12" s="1882"/>
      <c r="E12" s="3113" t="e">
        <f t="shared" ca="1" si="1"/>
        <v>#REF!</v>
      </c>
      <c r="F12" s="3113" t="e">
        <f t="shared" ca="1" si="2"/>
        <v>#REF!</v>
      </c>
    </row>
    <row r="13" spans="1:6" ht="14.25">
      <c r="A13" s="260"/>
      <c r="B13" s="3112" t="e">
        <f t="shared" ca="1" si="0"/>
        <v>#REF!</v>
      </c>
      <c r="C13" s="3108" t="s">
        <v>2938</v>
      </c>
      <c r="D13" s="1882"/>
      <c r="E13" s="3113" t="e">
        <f t="shared" ca="1" si="1"/>
        <v>#REF!</v>
      </c>
      <c r="F13" s="3113" t="e">
        <f t="shared" ca="1" si="2"/>
        <v>#REF!</v>
      </c>
    </row>
    <row r="14" spans="1:6" ht="14.25">
      <c r="A14" s="3106"/>
      <c r="B14" s="3112" t="e">
        <f t="shared" ca="1" si="0"/>
        <v>#REF!</v>
      </c>
      <c r="C14" s="3108" t="s">
        <v>2938</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中诚信托有限责任公司：</v>
      </c>
    </row>
    <row r="4" spans="1:4" ht="37.5">
      <c r="A4" s="1792" t="str">
        <f>"受贵公司委托，我公司对"&amp;项目基本情况!K2&amp;项目基本情况!B9&amp;"进行了预评估。"</f>
        <v>受贵公司委托，我公司对重庆市巴南区南泉鹿角出让国有建设用地使用权抵押价格进行了预评估。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7" spans="1:4" ht="56.25">
      <c r="A7" s="1796" t="s">
        <v>2746</v>
      </c>
    </row>
    <row r="8" spans="1:4" ht="18.75">
      <c r="A8" s="1795" t="s">
        <v>1906</v>
      </c>
    </row>
    <row r="9" spans="1:4" ht="93.75">
      <c r="A9" s="1797" t="str">
        <f>IF(项目基本情况!B8="抵押",IF(项目基本情况!B5=项目基本情况!B6,定义!C51,定义!B51),定义!D51)</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2934</v>
      </c>
    </row>
    <row r="14" spans="1:4" ht="37.5">
      <c r="A14" s="1792" t="str">
        <f>"根据"&amp;项目基本情况!F12&amp;"，本次评估估价对象证载（地类）用途为"&amp;项目基本情况!B12&amp;"。"</f>
        <v>根据202D房地证2014字第00221号，本次评估估价对象证载（地类）用途为二类居住用地。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根据，估价对象（分摊）出让国有建设用地使用权面积为35272平方米。根据《国有建设用地使用权出让合同》[电子监管号：5001132013B00515]及附件，估价对象规划建筑面积为56435平方米。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202D房地证2014字第00221号、《国有建设用地使用权出让合同》[电子监管号：5001132013B00515]及附件，土地终止日期为住宅2063年9月29日、商业2053年9月29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-3</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497" t="s">
        <v>2460</v>
      </c>
      <c r="E7" s="2491"/>
      <c r="F7" s="2492"/>
      <c r="G7" s="1593"/>
      <c r="H7" s="781">
        <v>1</v>
      </c>
      <c r="I7" s="782" t="s">
        <v>2457</v>
      </c>
      <c r="J7" s="53">
        <f ca="1">J8+J12+J14</f>
        <v>0</v>
      </c>
      <c r="K7" s="2497" t="s">
        <v>2460</v>
      </c>
      <c r="L7" s="2491"/>
      <c r="M7" s="2492"/>
    </row>
    <row r="8" spans="1:25" ht="18" customHeight="1">
      <c r="A8" s="1831" t="s">
        <v>1824</v>
      </c>
      <c r="B8" s="3523" t="s">
        <v>2462</v>
      </c>
      <c r="C8" s="1826">
        <f ca="1">ROUND(F8*F10*F9*(1-F11)/10000,0)</f>
        <v>0</v>
      </c>
      <c r="D8" s="1823" t="s">
        <v>2533</v>
      </c>
      <c r="E8" s="61" t="s">
        <v>637</v>
      </c>
      <c r="F8" s="785">
        <f ca="1">INDIRECT("'数据-取费表'!u"&amp;$G$1)</f>
        <v>0</v>
      </c>
      <c r="G8" s="1593"/>
      <c r="H8" s="2505" t="s">
        <v>1824</v>
      </c>
      <c r="I8" s="3523" t="s">
        <v>2462</v>
      </c>
      <c r="J8" s="783">
        <f ca="1">ROUND(M8*M10*M9*(1-M11)/10000,0)</f>
        <v>0</v>
      </c>
      <c r="K8" s="341" t="s">
        <v>2533</v>
      </c>
      <c r="L8" s="784" t="s">
        <v>1738</v>
      </c>
      <c r="M8" s="785">
        <f ca="1">INDIRECT("'数据-取费表'!z"&amp;$G$1)</f>
        <v>0</v>
      </c>
    </row>
    <row r="9" spans="1:25" ht="18" customHeight="1">
      <c r="A9" s="2501"/>
      <c r="B9" s="3524"/>
      <c r="C9" s="1827"/>
      <c r="D9" s="1824"/>
      <c r="E9" s="61" t="s">
        <v>638</v>
      </c>
      <c r="F9" s="785">
        <f ca="1">IF(INDIRECT("'数据-取费表'!ah"&amp;$G$1)="",INDIRECT("'数据-取费表'!k"&amp;$G$1),INDIRECT("'数据-取费表'!ah"&amp;$G$1))</f>
        <v>0</v>
      </c>
      <c r="G9" s="1593"/>
      <c r="H9" s="2490"/>
      <c r="I9" s="3524"/>
      <c r="J9" s="788"/>
      <c r="K9" s="789"/>
      <c r="L9" s="784" t="s">
        <v>1739</v>
      </c>
      <c r="M9" s="785">
        <f ca="1">F9</f>
        <v>0</v>
      </c>
    </row>
    <row r="10" spans="1:25" ht="18" customHeight="1">
      <c r="A10" s="2494"/>
      <c r="B10" s="3525"/>
      <c r="C10" s="1827"/>
      <c r="D10" s="1824"/>
      <c r="E10" s="61" t="s">
        <v>639</v>
      </c>
      <c r="F10" s="785">
        <f ca="1">INDIRECT("'数据-取费表'!ai"&amp;$G$1)</f>
        <v>0</v>
      </c>
      <c r="G10" s="1593"/>
      <c r="H10" s="2490"/>
      <c r="I10" s="3525"/>
      <c r="J10" s="788"/>
      <c r="K10" s="789"/>
      <c r="L10" s="784" t="s">
        <v>1740</v>
      </c>
      <c r="M10" s="785">
        <f ca="1">INDIRECT("'数据-取费表'!ai"&amp;$G$1)</f>
        <v>0</v>
      </c>
    </row>
    <row r="11" spans="1:25" ht="18" customHeight="1">
      <c r="A11" s="786"/>
      <c r="B11" s="3526"/>
      <c r="C11" s="1827"/>
      <c r="D11" s="1824"/>
      <c r="E11" s="61" t="s">
        <v>640</v>
      </c>
      <c r="F11" s="794">
        <f ca="1">INDIRECT("'数据-取费表'!w"&amp;$G$1)</f>
        <v>0</v>
      </c>
      <c r="G11" s="1593"/>
      <c r="H11" s="2506"/>
      <c r="I11" s="3525"/>
      <c r="J11" s="788"/>
      <c r="K11" s="789"/>
      <c r="L11" s="795" t="s">
        <v>1741</v>
      </c>
      <c r="M11" s="796">
        <f ca="1">INDIRECT("'数据-取费表'!ab"&amp;$G$1)</f>
        <v>0</v>
      </c>
    </row>
    <row r="12" spans="1:25" ht="18" customHeight="1">
      <c r="A12" s="1831" t="s">
        <v>1825</v>
      </c>
      <c r="B12" s="2495" t="s">
        <v>2458</v>
      </c>
      <c r="C12" s="799">
        <f ca="1">ROUND(IF(F12="押一",C8/12*F13,IF(F12="押二",C8/12*2*F13,IF(F12="押三",C8/12*3*F13,C13*F13))),0)</f>
        <v>0</v>
      </c>
      <c r="D12" s="2502" t="s">
        <v>2967</v>
      </c>
      <c r="E12" s="2499" t="s">
        <v>2463</v>
      </c>
      <c r="F12" s="2622"/>
      <c r="G12" s="1593"/>
      <c r="H12" s="2562" t="s">
        <v>1825</v>
      </c>
      <c r="I12" s="2567" t="s">
        <v>2458</v>
      </c>
      <c r="J12" s="783">
        <f ca="1">ROUND(IF(M12="押一",J8/12*M13,IF(M12="押二",J8/12*2*M13,IF(M12="押三",J8/12*3*M13,J13*M13))),0)</f>
        <v>0</v>
      </c>
      <c r="K12" s="2502" t="s">
        <v>2967</v>
      </c>
      <c r="L12" s="2499" t="s">
        <v>2463</v>
      </c>
      <c r="M12" s="2622"/>
    </row>
    <row r="13" spans="1:25" ht="18" customHeight="1">
      <c r="A13" s="790"/>
      <c r="B13" s="2496" t="s">
        <v>2572</v>
      </c>
      <c r="C13" s="2500"/>
      <c r="D13" s="789"/>
      <c r="E13" s="2499" t="s">
        <v>2455</v>
      </c>
      <c r="F13" s="796">
        <f ca="1">'数据-取费表'!B39</f>
        <v>1.4999999999999999E-2</v>
      </c>
      <c r="G13" s="1593"/>
      <c r="H13" s="2563"/>
      <c r="I13" s="2496" t="s">
        <v>2572</v>
      </c>
      <c r="J13" s="2500"/>
      <c r="K13" s="2564"/>
      <c r="L13" s="2499" t="s">
        <v>2455</v>
      </c>
      <c r="M13" s="2493">
        <f ca="1">'数据-取费表'!B39</f>
        <v>1.4999999999999999E-2</v>
      </c>
    </row>
    <row r="14" spans="1:25" ht="18" customHeight="1" thickBot="1">
      <c r="A14" s="2538" t="s">
        <v>2466</v>
      </c>
      <c r="B14" s="2539" t="s">
        <v>2459</v>
      </c>
      <c r="C14" s="2540"/>
      <c r="D14" s="2541"/>
      <c r="E14" s="2542"/>
      <c r="F14" s="2543"/>
      <c r="G14" s="1593"/>
      <c r="H14" s="2552" t="s">
        <v>2466</v>
      </c>
      <c r="I14" s="2565" t="s">
        <v>2459</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2070</v>
      </c>
      <c r="I16" s="2232" t="s">
        <v>2824</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0.03</v>
      </c>
      <c r="G22" s="1594"/>
      <c r="H22" s="1833" t="s">
        <v>1850</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2.2000000000000001E-3</v>
      </c>
      <c r="D26" s="2572"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3012" t="s">
        <v>2821</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2822</v>
      </c>
      <c r="C31" s="2545">
        <f ca="1">ROUND((C21+C22+C25+C28)/(1-F23-C26-C29-C30),0)</f>
        <v>0</v>
      </c>
      <c r="D31" s="2546"/>
      <c r="E31" s="2547"/>
      <c r="F31" s="2548"/>
      <c r="G31" s="1594"/>
      <c r="H31" s="823" t="s">
        <v>1872</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16</v>
      </c>
      <c r="G36" s="2063"/>
      <c r="H36" s="2066"/>
      <c r="I36" s="3522"/>
      <c r="J36" s="2080"/>
      <c r="K36" s="2081"/>
      <c r="L36" s="2080"/>
      <c r="M36" s="2080"/>
    </row>
    <row r="37" spans="1:18" ht="18" customHeight="1">
      <c r="A37" s="815"/>
      <c r="B37" s="793"/>
      <c r="C37" s="69"/>
      <c r="D37" s="816"/>
      <c r="E37" s="784" t="s">
        <v>674</v>
      </c>
      <c r="F37" s="785">
        <f ca="1">INDIRECT("'数据-取费表'!r"&amp;$G$1)</f>
        <v>0</v>
      </c>
      <c r="G37" s="2063"/>
      <c r="H37" s="2066"/>
      <c r="I37" s="3522"/>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24" t="s">
        <v>2955</v>
      </c>
      <c r="F43" s="3125">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2958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3"/>
      <c r="Q47" s="1605"/>
      <c r="R47" s="1593"/>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2972</v>
      </c>
      <c r="J54" s="3158">
        <f ca="1">IF(M48="住宅",MAX(J52,L49-'数据-取费表'!B20),MIN(J52,L49-'数据-取费表'!B20))</f>
        <v>-3</v>
      </c>
      <c r="K54" s="3527"/>
      <c r="L54" s="3528"/>
      <c r="O54" s="2402" t="s">
        <v>2388</v>
      </c>
      <c r="P54" s="2400" t="s">
        <v>2389</v>
      </c>
      <c r="Q54" s="2401">
        <f ca="1">J54</f>
        <v>-3</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3"/>
      <c r="Q56" s="1605"/>
      <c r="R56" s="1593"/>
    </row>
    <row r="57" spans="1:18" s="2060" customFormat="1" ht="43.5" thickBot="1">
      <c r="A57" s="2097"/>
      <c r="B57" s="2098"/>
      <c r="C57" s="2098"/>
      <c r="I57" s="3169" t="s">
        <v>2357</v>
      </c>
      <c r="J57" s="3179" t="s">
        <v>1678</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2935</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3"/>
      <c r="Q65" s="1605"/>
      <c r="R65" s="1593"/>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31" t="s">
        <v>2575</v>
      </c>
      <c r="C1" s="3531"/>
      <c r="D1" s="3531"/>
      <c r="E1" s="3531"/>
      <c r="F1" s="3531"/>
      <c r="G1" s="3530" t="s">
        <v>2576</v>
      </c>
      <c r="H1" s="3530"/>
      <c r="I1" s="3530"/>
      <c r="J1" s="3530"/>
      <c r="K1" s="3530"/>
      <c r="L1" s="3530"/>
      <c r="N1" s="3530" t="s">
        <v>2577</v>
      </c>
      <c r="O1" s="3530"/>
      <c r="P1" s="3530"/>
      <c r="Q1" s="3530"/>
      <c r="R1" s="2655"/>
      <c r="S1" s="3530" t="s">
        <v>2578</v>
      </c>
      <c r="T1" s="3530"/>
      <c r="U1" s="3530"/>
      <c r="V1" s="3530"/>
      <c r="X1" s="3529" t="s">
        <v>2638</v>
      </c>
      <c r="Y1" s="3530"/>
      <c r="Z1" s="3530"/>
      <c r="AA1" s="3530"/>
      <c r="AB1" s="3530"/>
      <c r="AD1" s="3529" t="s">
        <v>2642</v>
      </c>
      <c r="AE1" s="3530"/>
      <c r="AF1" s="3530"/>
      <c r="AG1" s="3530"/>
      <c r="AH1" s="3530"/>
    </row>
    <row r="2" spans="1:34" s="2757" customFormat="1" ht="14.25" thickBot="1">
      <c r="B2" s="2765" t="s">
        <v>2579</v>
      </c>
      <c r="C2" s="2765" t="s">
        <v>2640</v>
      </c>
      <c r="D2" s="2758" t="s">
        <v>1644</v>
      </c>
      <c r="E2" s="2758" t="s">
        <v>1951</v>
      </c>
      <c r="F2" s="2765" t="s">
        <v>2641</v>
      </c>
      <c r="G2" s="2761"/>
      <c r="H2" s="2760"/>
      <c r="I2" s="2765" t="s">
        <v>2949</v>
      </c>
      <c r="J2" s="2758" t="s">
        <v>2951</v>
      </c>
      <c r="K2" s="2758" t="s">
        <v>2952</v>
      </c>
      <c r="L2" s="2765" t="s">
        <v>2953</v>
      </c>
      <c r="N2" s="2765" t="s">
        <v>2579</v>
      </c>
      <c r="O2" s="2758" t="s">
        <v>2950</v>
      </c>
      <c r="P2" s="2758" t="s">
        <v>1951</v>
      </c>
      <c r="Q2" s="2765" t="s">
        <v>2641</v>
      </c>
      <c r="R2" s="2759"/>
      <c r="S2" s="2765" t="s">
        <v>2579</v>
      </c>
      <c r="T2" s="2758" t="s">
        <v>2950</v>
      </c>
      <c r="U2" s="2758" t="s">
        <v>1951</v>
      </c>
      <c r="V2" s="2765" t="s">
        <v>2641</v>
      </c>
      <c r="X2" s="2765" t="s">
        <v>2579</v>
      </c>
      <c r="Y2" s="2765" t="s">
        <v>2640</v>
      </c>
      <c r="Z2" s="2758" t="s">
        <v>1644</v>
      </c>
      <c r="AA2" s="2758" t="s">
        <v>1951</v>
      </c>
      <c r="AB2" s="2765" t="s">
        <v>2641</v>
      </c>
      <c r="AD2" s="2765" t="s">
        <v>2579</v>
      </c>
      <c r="AE2" s="2765" t="s">
        <v>2640</v>
      </c>
      <c r="AF2" s="2758" t="s">
        <v>1644</v>
      </c>
      <c r="AG2" s="2758" t="s">
        <v>1951</v>
      </c>
      <c r="AH2" s="2765" t="s">
        <v>2641</v>
      </c>
    </row>
    <row r="3" spans="1:34" s="3136" customFormat="1" ht="14.25">
      <c r="A3" s="3148" t="s">
        <v>2962</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2975</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2963</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2973</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2974</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2969</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2960</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2964</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2580</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2581</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970</v>
      </c>
      <c r="B13" s="2662">
        <v>392</v>
      </c>
      <c r="C13" s="2662">
        <v>302</v>
      </c>
      <c r="D13" s="2662">
        <f t="shared" si="33"/>
        <v>302</v>
      </c>
      <c r="E13" s="2662">
        <v>553</v>
      </c>
      <c r="F13" s="2663">
        <v>266</v>
      </c>
      <c r="G13" s="3538">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969</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33"/>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959</v>
      </c>
      <c r="B15" s="2670">
        <f t="shared" si="54"/>
        <v>360.06949782209392</v>
      </c>
      <c r="C15" s="2670">
        <f t="shared" si="54"/>
        <v>289.84672674747821</v>
      </c>
      <c r="D15" s="2670">
        <f t="shared" si="55"/>
        <v>289.84672674747821</v>
      </c>
      <c r="E15" s="2670">
        <f t="shared" si="56"/>
        <v>501.06543001181495</v>
      </c>
      <c r="F15" s="2670">
        <f t="shared" si="56"/>
        <v>256.82882500744967</v>
      </c>
      <c r="G15" s="3533"/>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968</v>
      </c>
      <c r="B16" s="2670">
        <f t="shared" si="54"/>
        <v>346.720748986128</v>
      </c>
      <c r="C16" s="2670">
        <f t="shared" si="54"/>
        <v>284.30282172386285</v>
      </c>
      <c r="D16" s="2670">
        <f t="shared" si="55"/>
        <v>284.30282172386285</v>
      </c>
      <c r="E16" s="2670">
        <f t="shared" si="56"/>
        <v>479.58023546306947</v>
      </c>
      <c r="F16" s="2670">
        <f t="shared" si="56"/>
        <v>253.25788877571213</v>
      </c>
      <c r="G16" s="3534"/>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967</v>
      </c>
      <c r="B17" s="2662">
        <v>333</v>
      </c>
      <c r="C17" s="2662">
        <v>277</v>
      </c>
      <c r="D17" s="2662">
        <f t="shared" si="55"/>
        <v>277</v>
      </c>
      <c r="E17" s="2662">
        <v>459</v>
      </c>
      <c r="F17" s="2663">
        <v>249</v>
      </c>
      <c r="G17" s="3532">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966</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33"/>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965</v>
      </c>
      <c r="B19" s="2670">
        <f t="shared" si="58"/>
        <v>322.34053690220776</v>
      </c>
      <c r="C19" s="2670">
        <f t="shared" si="58"/>
        <v>271.46160770422546</v>
      </c>
      <c r="D19" s="2670">
        <f t="shared" si="55"/>
        <v>271.46160770422546</v>
      </c>
      <c r="E19" s="2670">
        <f t="shared" si="59"/>
        <v>442.69434542172456</v>
      </c>
      <c r="F19" s="2670">
        <f t="shared" si="59"/>
        <v>241.34030753190925</v>
      </c>
      <c r="G19" s="3533"/>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964</v>
      </c>
      <c r="B20" s="2670">
        <f t="shared" si="58"/>
        <v>319.87748030386797</v>
      </c>
      <c r="C20" s="2670">
        <f t="shared" si="58"/>
        <v>269.60135833173649</v>
      </c>
      <c r="D20" s="2670">
        <f t="shared" si="55"/>
        <v>269.60135833173649</v>
      </c>
      <c r="E20" s="2670">
        <f t="shared" si="59"/>
        <v>439.18089823583784</v>
      </c>
      <c r="F20" s="2670">
        <f t="shared" si="59"/>
        <v>239.23503918706311</v>
      </c>
      <c r="G20" s="3534"/>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963</v>
      </c>
      <c r="B21" s="2684">
        <v>318</v>
      </c>
      <c r="C21" s="2684">
        <v>268</v>
      </c>
      <c r="D21" s="2684">
        <f t="shared" si="55"/>
        <v>268</v>
      </c>
      <c r="E21" s="2684">
        <v>437</v>
      </c>
      <c r="F21" s="2685">
        <v>237</v>
      </c>
      <c r="G21" s="3532">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962</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33"/>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961</v>
      </c>
      <c r="B23" s="2670">
        <f t="shared" si="60"/>
        <v>314.72141172386546</v>
      </c>
      <c r="C23" s="2670">
        <f t="shared" si="60"/>
        <v>263.03901319069001</v>
      </c>
      <c r="D23" s="2670">
        <f t="shared" si="55"/>
        <v>263.03901319069001</v>
      </c>
      <c r="E23" s="2670">
        <f t="shared" si="61"/>
        <v>433.65745506782821</v>
      </c>
      <c r="F23" s="2670">
        <f t="shared" si="61"/>
        <v>233.23005080045735</v>
      </c>
      <c r="G23" s="3533"/>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960</v>
      </c>
      <c r="B24" s="2689">
        <f t="shared" si="60"/>
        <v>307.34512863658733</v>
      </c>
      <c r="C24" s="2689">
        <f t="shared" si="60"/>
        <v>257.80556031626975</v>
      </c>
      <c r="D24" s="2689">
        <f t="shared" si="55"/>
        <v>257.80556031626975</v>
      </c>
      <c r="E24" s="2689">
        <f t="shared" si="61"/>
        <v>422.70928459677179</v>
      </c>
      <c r="F24" s="2689">
        <f t="shared" si="61"/>
        <v>229.73803270336617</v>
      </c>
      <c r="G24" s="3534"/>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2639</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2582</v>
      </c>
      <c r="B25" s="2662">
        <v>299</v>
      </c>
      <c r="C25" s="2662">
        <v>252</v>
      </c>
      <c r="D25" s="2662">
        <f t="shared" si="55"/>
        <v>252</v>
      </c>
      <c r="E25" s="2662">
        <v>409</v>
      </c>
      <c r="F25" s="2663">
        <v>227</v>
      </c>
      <c r="G25" s="3535">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2583</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36"/>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2584</v>
      </c>
      <c r="B27" s="2670">
        <f t="shared" si="64"/>
        <v>288.2649053828776</v>
      </c>
      <c r="C27" s="2670">
        <f t="shared" si="64"/>
        <v>243.64564425013293</v>
      </c>
      <c r="D27" s="2670">
        <f t="shared" si="55"/>
        <v>243.64564425013293</v>
      </c>
      <c r="E27" s="2670">
        <f t="shared" si="65"/>
        <v>393.31080825986544</v>
      </c>
      <c r="F27" s="2670">
        <f t="shared" si="65"/>
        <v>223.07903790551154</v>
      </c>
      <c r="G27" s="3536"/>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2585</v>
      </c>
      <c r="B28" s="2670">
        <f t="shared" si="64"/>
        <v>282.50186729015837</v>
      </c>
      <c r="C28" s="2670">
        <f t="shared" si="64"/>
        <v>238.09796174155468</v>
      </c>
      <c r="D28" s="2670">
        <f t="shared" si="55"/>
        <v>238.09796174155468</v>
      </c>
      <c r="E28" s="2670">
        <f t="shared" si="65"/>
        <v>385.33438646014054</v>
      </c>
      <c r="F28" s="2670">
        <f t="shared" si="65"/>
        <v>221.55034055567739</v>
      </c>
      <c r="G28" s="3537"/>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2586</v>
      </c>
      <c r="B29" s="2700">
        <v>278</v>
      </c>
      <c r="C29" s="2700">
        <v>234</v>
      </c>
      <c r="D29" s="2700">
        <f t="shared" si="55"/>
        <v>234</v>
      </c>
      <c r="E29" s="2700">
        <v>379</v>
      </c>
      <c r="F29" s="2701">
        <v>220</v>
      </c>
      <c r="G29" s="3532">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2587</v>
      </c>
      <c r="B30" s="2670">
        <f>B29/(1+N29)</f>
        <v>275.49301357645425</v>
      </c>
      <c r="C30" s="2670">
        <f>C29/(1+O29)</f>
        <v>232.41954707985698</v>
      </c>
      <c r="D30" s="2670">
        <f t="shared" si="55"/>
        <v>232.41954707985698</v>
      </c>
      <c r="E30" s="2670">
        <f t="shared" ref="E30:F32" si="66">E29/(1+P29)</f>
        <v>375.32184591008121</v>
      </c>
      <c r="F30" s="2670">
        <f t="shared" si="66"/>
        <v>218.03766105054513</v>
      </c>
      <c r="G30" s="3533"/>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2588</v>
      </c>
      <c r="B31" s="2670">
        <f>B30/(1+N30)</f>
        <v>275.24529281292263</v>
      </c>
      <c r="C31" s="2670">
        <f>C30/(1+O30)</f>
        <v>231.74747938962707</v>
      </c>
      <c r="D31" s="2670">
        <f t="shared" si="55"/>
        <v>231.74747938962707</v>
      </c>
      <c r="E31" s="2670">
        <f t="shared" si="66"/>
        <v>375.35938184826603</v>
      </c>
      <c r="F31" s="2670">
        <f t="shared" si="66"/>
        <v>216.78033510692495</v>
      </c>
      <c r="G31" s="3533"/>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2589</v>
      </c>
      <c r="B32" s="2670">
        <f>B31/(1+N31)</f>
        <v>275.19025476197027</v>
      </c>
      <c r="C32" s="2702">
        <v>232</v>
      </c>
      <c r="D32" s="2702">
        <f t="shared" si="55"/>
        <v>232</v>
      </c>
      <c r="E32" s="2670">
        <f t="shared" si="66"/>
        <v>375.65990977608692</v>
      </c>
      <c r="F32" s="2670">
        <f t="shared" si="66"/>
        <v>214.12518283971252</v>
      </c>
      <c r="G32" s="3534"/>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2590</v>
      </c>
      <c r="B33" s="2662">
        <v>275</v>
      </c>
      <c r="C33" s="2662">
        <v>232</v>
      </c>
      <c r="D33" s="2662">
        <f t="shared" si="55"/>
        <v>232</v>
      </c>
      <c r="E33" s="2662">
        <v>376</v>
      </c>
      <c r="F33" s="2663">
        <v>213</v>
      </c>
      <c r="G33" s="3532">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2591</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33">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2592</v>
      </c>
      <c r="B35" s="2670">
        <f t="shared" si="67"/>
        <v>275.19335084830601</v>
      </c>
      <c r="C35" s="2670">
        <f t="shared" si="67"/>
        <v>230.18088050139744</v>
      </c>
      <c r="D35" s="2670">
        <f t="shared" si="55"/>
        <v>230.18088050139744</v>
      </c>
      <c r="E35" s="2670">
        <f t="shared" si="68"/>
        <v>377.58482925212331</v>
      </c>
      <c r="F35" s="2670">
        <f t="shared" si="68"/>
        <v>210.90687997847917</v>
      </c>
      <c r="G35" s="3533">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2593</v>
      </c>
      <c r="B36" s="2670">
        <f t="shared" si="67"/>
        <v>276.29854502841971</v>
      </c>
      <c r="C36" s="2670">
        <f t="shared" si="67"/>
        <v>229.79023709833027</v>
      </c>
      <c r="D36" s="2670">
        <f t="shared" si="55"/>
        <v>229.79023709833027</v>
      </c>
      <c r="E36" s="2670">
        <f t="shared" si="68"/>
        <v>379.78759731655936</v>
      </c>
      <c r="F36" s="2670">
        <f t="shared" si="68"/>
        <v>211.32953905659235</v>
      </c>
      <c r="G36" s="3534">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2594</v>
      </c>
      <c r="B37" s="2662">
        <v>269</v>
      </c>
      <c r="C37" s="2662">
        <v>221</v>
      </c>
      <c r="D37" s="2662">
        <f t="shared" si="55"/>
        <v>221</v>
      </c>
      <c r="E37" s="2662">
        <v>373</v>
      </c>
      <c r="F37" s="2663">
        <v>196</v>
      </c>
      <c r="G37" s="3532">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2595</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33">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2596</v>
      </c>
      <c r="B39" s="2670">
        <f t="shared" si="69"/>
        <v>242.95398227588385</v>
      </c>
      <c r="C39" s="2670">
        <f t="shared" si="69"/>
        <v>199.59137053614126</v>
      </c>
      <c r="D39" s="2670">
        <f t="shared" si="55"/>
        <v>199.59137053614126</v>
      </c>
      <c r="E39" s="2670">
        <f t="shared" si="70"/>
        <v>335.92189522342125</v>
      </c>
      <c r="F39" s="2670">
        <f t="shared" si="70"/>
        <v>183.10139991109489</v>
      </c>
      <c r="G39" s="3533">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2597</v>
      </c>
      <c r="B40" s="2670">
        <f t="shared" si="69"/>
        <v>232.06990378821649</v>
      </c>
      <c r="C40" s="2670">
        <f t="shared" si="69"/>
        <v>192.74878854286936</v>
      </c>
      <c r="D40" s="2670">
        <f t="shared" si="55"/>
        <v>192.74878854286936</v>
      </c>
      <c r="E40" s="2670">
        <f t="shared" si="70"/>
        <v>319.71247284992984</v>
      </c>
      <c r="F40" s="2670">
        <f t="shared" si="70"/>
        <v>175.67053622862409</v>
      </c>
      <c r="G40" s="3534">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2598</v>
      </c>
      <c r="B41" s="2662">
        <v>220</v>
      </c>
      <c r="C41" s="2662">
        <v>187</v>
      </c>
      <c r="D41" s="2662">
        <f t="shared" si="55"/>
        <v>187</v>
      </c>
      <c r="E41" s="2662">
        <v>301</v>
      </c>
      <c r="F41" s="2663">
        <v>168</v>
      </c>
      <c r="G41" s="3532">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2599</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33">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2600</v>
      </c>
      <c r="B43" s="2670">
        <f t="shared" si="71"/>
        <v>210.630522469011</v>
      </c>
      <c r="C43" s="2670">
        <f t="shared" si="71"/>
        <v>181.69567812247232</v>
      </c>
      <c r="D43" s="2670">
        <f t="shared" si="55"/>
        <v>181.69567812247232</v>
      </c>
      <c r="E43" s="2670">
        <f t="shared" si="72"/>
        <v>286.13517466736738</v>
      </c>
      <c r="F43" s="2670">
        <f t="shared" si="72"/>
        <v>165.47535084591149</v>
      </c>
      <c r="G43" s="3533">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2601</v>
      </c>
      <c r="B44" s="2670">
        <f t="shared" si="71"/>
        <v>208.83454537875372</v>
      </c>
      <c r="C44" s="2670">
        <f t="shared" si="71"/>
        <v>183.77230517090351</v>
      </c>
      <c r="D44" s="2670">
        <f t="shared" si="55"/>
        <v>183.77230517090351</v>
      </c>
      <c r="E44" s="2670">
        <f t="shared" si="72"/>
        <v>281.10342338870947</v>
      </c>
      <c r="F44" s="2670">
        <f t="shared" si="72"/>
        <v>168.97309388942256</v>
      </c>
      <c r="G44" s="3534">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2602</v>
      </c>
      <c r="B45" s="2700">
        <v>214</v>
      </c>
      <c r="C45" s="2700">
        <v>188</v>
      </c>
      <c r="D45" s="2700">
        <f t="shared" si="55"/>
        <v>188</v>
      </c>
      <c r="E45" s="2700">
        <v>289</v>
      </c>
      <c r="F45" s="2701">
        <v>166</v>
      </c>
      <c r="G45" s="3532">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2603</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33">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2604</v>
      </c>
      <c r="B47" s="2670">
        <f t="shared" si="73"/>
        <v>206.31694671589116</v>
      </c>
      <c r="C47" s="2670">
        <f t="shared" si="73"/>
        <v>183.61041121036101</v>
      </c>
      <c r="D47" s="2670">
        <f t="shared" si="55"/>
        <v>183.61041121036101</v>
      </c>
      <c r="E47" s="2670">
        <f t="shared" si="74"/>
        <v>276.66850301795557</v>
      </c>
      <c r="F47" s="2670">
        <f t="shared" si="74"/>
        <v>165.1360938278614</v>
      </c>
      <c r="G47" s="3533">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2605</v>
      </c>
      <c r="B48" s="2703">
        <f t="shared" si="73"/>
        <v>196.62341248059772</v>
      </c>
      <c r="C48" s="2703">
        <f t="shared" si="73"/>
        <v>170.99125648199012</v>
      </c>
      <c r="D48" s="2703">
        <f t="shared" si="55"/>
        <v>170.99125648199012</v>
      </c>
      <c r="E48" s="2703">
        <f t="shared" si="74"/>
        <v>266.07857570490052</v>
      </c>
      <c r="F48" s="2703">
        <f t="shared" si="74"/>
        <v>154.53499328828505</v>
      </c>
      <c r="G48" s="3534">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2606</v>
      </c>
      <c r="B49" s="2662">
        <v>188</v>
      </c>
      <c r="C49" s="2662">
        <v>165</v>
      </c>
      <c r="D49" s="2662">
        <f t="shared" si="55"/>
        <v>165</v>
      </c>
      <c r="E49" s="2662">
        <v>254</v>
      </c>
      <c r="F49" s="2663">
        <v>148</v>
      </c>
      <c r="G49" s="3532">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2607</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33">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2608</v>
      </c>
      <c r="B51" s="2670">
        <f t="shared" si="77"/>
        <v>168.82017748715555</v>
      </c>
      <c r="C51" s="2670">
        <f t="shared" si="77"/>
        <v>148.06267029972753</v>
      </c>
      <c r="D51" s="2670">
        <f t="shared" si="55"/>
        <v>148.06267029972753</v>
      </c>
      <c r="E51" s="2670">
        <f t="shared" si="78"/>
        <v>216.46288379323747</v>
      </c>
      <c r="F51" s="2670">
        <f t="shared" si="78"/>
        <v>134.23529411764704</v>
      </c>
      <c r="G51" s="3533">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2609</v>
      </c>
      <c r="B52" s="2670">
        <f t="shared" si="77"/>
        <v>163.84913591779542</v>
      </c>
      <c r="C52" s="2670">
        <f t="shared" si="77"/>
        <v>145.0283378746594</v>
      </c>
      <c r="D52" s="2670">
        <f t="shared" si="55"/>
        <v>145.0283378746594</v>
      </c>
      <c r="E52" s="2670">
        <f t="shared" si="78"/>
        <v>204.95180722891567</v>
      </c>
      <c r="F52" s="2670">
        <f t="shared" si="78"/>
        <v>125.95920303605313</v>
      </c>
      <c r="G52" s="3534">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2610</v>
      </c>
      <c r="B53" s="2684">
        <v>159</v>
      </c>
      <c r="C53" s="2684">
        <v>141</v>
      </c>
      <c r="D53" s="2684">
        <f t="shared" si="55"/>
        <v>141</v>
      </c>
      <c r="E53" s="2684">
        <v>195</v>
      </c>
      <c r="F53" s="2685">
        <v>122</v>
      </c>
      <c r="G53" s="3532">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2611</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33">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2612</v>
      </c>
      <c r="B55" s="2670">
        <f t="shared" si="81"/>
        <v>146.57412060301507</v>
      </c>
      <c r="C55" s="2670">
        <f t="shared" si="81"/>
        <v>136.46831955922866</v>
      </c>
      <c r="D55" s="2670">
        <f t="shared" si="55"/>
        <v>136.46831955922866</v>
      </c>
      <c r="E55" s="2670">
        <f t="shared" si="82"/>
        <v>166.73864894795128</v>
      </c>
      <c r="F55" s="2670">
        <f t="shared" si="82"/>
        <v>115.05882352941177</v>
      </c>
      <c r="G55" s="3533">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2613</v>
      </c>
      <c r="B56" s="2670">
        <f t="shared" si="81"/>
        <v>144.04145728643215</v>
      </c>
      <c r="C56" s="2670">
        <f t="shared" si="81"/>
        <v>136.12396694214877</v>
      </c>
      <c r="D56" s="2670">
        <f t="shared" si="55"/>
        <v>136.12396694214877</v>
      </c>
      <c r="E56" s="2670">
        <f t="shared" si="82"/>
        <v>158.32225913621264</v>
      </c>
      <c r="F56" s="2670">
        <f t="shared" si="82"/>
        <v>114.04278074866311</v>
      </c>
      <c r="G56" s="3534">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2614</v>
      </c>
      <c r="B57" s="2684">
        <v>138</v>
      </c>
      <c r="C57" s="2684">
        <v>131</v>
      </c>
      <c r="D57" s="2684">
        <f t="shared" si="55"/>
        <v>131</v>
      </c>
      <c r="E57" s="2684">
        <v>155</v>
      </c>
      <c r="F57" s="2685">
        <v>114</v>
      </c>
      <c r="G57" s="3532">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2615</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33">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2616</v>
      </c>
      <c r="B59" s="2670">
        <f t="shared" si="85"/>
        <v>124.29032258064517</v>
      </c>
      <c r="C59" s="2670">
        <f t="shared" si="85"/>
        <v>123.8968609865471</v>
      </c>
      <c r="D59" s="2670">
        <f t="shared" si="55"/>
        <v>123.8968609865471</v>
      </c>
      <c r="E59" s="2670">
        <f t="shared" si="86"/>
        <v>138.00507614213197</v>
      </c>
      <c r="F59" s="2670">
        <f t="shared" si="86"/>
        <v>107.96106557377048</v>
      </c>
      <c r="G59" s="3533">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2617</v>
      </c>
      <c r="B60" s="2670">
        <f t="shared" si="85"/>
        <v>122.57204301075269</v>
      </c>
      <c r="C60" s="2670">
        <f t="shared" si="85"/>
        <v>123.4932735426009</v>
      </c>
      <c r="D60" s="2670">
        <f t="shared" si="55"/>
        <v>123.4932735426009</v>
      </c>
      <c r="E60" s="2670">
        <f t="shared" si="86"/>
        <v>129.82233502538071</v>
      </c>
      <c r="F60" s="2670">
        <f t="shared" si="86"/>
        <v>107.39446721311475</v>
      </c>
      <c r="G60" s="3534">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2618</v>
      </c>
      <c r="B61" s="2700">
        <v>121</v>
      </c>
      <c r="C61" s="2700">
        <v>122</v>
      </c>
      <c r="D61" s="2700">
        <f t="shared" si="55"/>
        <v>122</v>
      </c>
      <c r="E61" s="2700">
        <v>124</v>
      </c>
      <c r="F61" s="2701">
        <v>107</v>
      </c>
      <c r="G61" s="3532">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2619</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33">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2620</v>
      </c>
      <c r="B63" s="2670">
        <f t="shared" si="89"/>
        <v>116.99099099099099</v>
      </c>
      <c r="C63" s="2670">
        <f t="shared" si="89"/>
        <v>118.84848484848486</v>
      </c>
      <c r="D63" s="2670">
        <f t="shared" si="55"/>
        <v>118.84848484848486</v>
      </c>
      <c r="E63" s="2670">
        <f t="shared" si="90"/>
        <v>117.60960960960961</v>
      </c>
      <c r="F63" s="2670">
        <f t="shared" si="90"/>
        <v>104</v>
      </c>
      <c r="G63" s="3533">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2621</v>
      </c>
      <c r="B64" s="2703">
        <f t="shared" si="89"/>
        <v>112.48648648648648</v>
      </c>
      <c r="C64" s="2703">
        <f t="shared" si="89"/>
        <v>115.21212121212122</v>
      </c>
      <c r="D64" s="2703">
        <f t="shared" si="55"/>
        <v>115.21212121212122</v>
      </c>
      <c r="E64" s="2703">
        <f t="shared" si="90"/>
        <v>110.4024024024024</v>
      </c>
      <c r="F64" s="2703">
        <f t="shared" si="90"/>
        <v>104</v>
      </c>
      <c r="G64" s="3534">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2622</v>
      </c>
      <c r="B65" s="2721">
        <v>111</v>
      </c>
      <c r="C65" s="2721">
        <v>114</v>
      </c>
      <c r="D65" s="2721">
        <f t="shared" si="55"/>
        <v>114</v>
      </c>
      <c r="E65" s="2721">
        <v>108</v>
      </c>
      <c r="F65" s="2722">
        <v>104</v>
      </c>
      <c r="G65" s="3532">
        <v>2003</v>
      </c>
      <c r="H65" s="2711">
        <v>4</v>
      </c>
      <c r="I65" s="2723"/>
      <c r="J65" s="2723"/>
      <c r="K65" s="2723"/>
      <c r="L65" s="2723"/>
      <c r="N65" s="2724"/>
      <c r="O65" s="2723"/>
      <c r="P65" s="2723"/>
      <c r="Q65" s="2723"/>
      <c r="S65" s="2724"/>
      <c r="T65" s="2723"/>
      <c r="U65" s="2723"/>
      <c r="V65" s="2723"/>
      <c r="X65" s="2715"/>
      <c r="Y65" s="2715"/>
      <c r="Z65" s="2715"/>
    </row>
    <row r="66" spans="1:26">
      <c r="A66" s="2656" t="s">
        <v>2623</v>
      </c>
      <c r="B66" s="2725">
        <f t="shared" ref="B66:C68" si="91">B67+(B$65-B$69)/4</f>
        <v>109.75</v>
      </c>
      <c r="C66" s="2725">
        <f t="shared" si="91"/>
        <v>112.25</v>
      </c>
      <c r="D66" s="2725">
        <f t="shared" si="55"/>
        <v>112.25</v>
      </c>
      <c r="E66" s="2725">
        <f t="shared" ref="E66:F68" si="92">E67+(E$65-E$69)/4</f>
        <v>107.25</v>
      </c>
      <c r="F66" s="2725">
        <f t="shared" si="92"/>
        <v>103.5</v>
      </c>
      <c r="G66" s="3533">
        <v>2003</v>
      </c>
      <c r="H66" s="2681">
        <v>3</v>
      </c>
      <c r="I66" s="2723"/>
      <c r="J66" s="2723"/>
      <c r="K66" s="2723"/>
      <c r="L66" s="2723"/>
      <c r="X66" s="2715"/>
      <c r="Y66" s="2715"/>
      <c r="Z66" s="2715"/>
    </row>
    <row r="67" spans="1:26">
      <c r="A67" s="2656" t="s">
        <v>2624</v>
      </c>
      <c r="B67" s="2725">
        <f t="shared" si="91"/>
        <v>108.5</v>
      </c>
      <c r="C67" s="2725">
        <f t="shared" si="91"/>
        <v>110.5</v>
      </c>
      <c r="D67" s="2725">
        <f t="shared" si="55"/>
        <v>110.5</v>
      </c>
      <c r="E67" s="2725">
        <f t="shared" si="92"/>
        <v>106.5</v>
      </c>
      <c r="F67" s="2725">
        <f t="shared" si="92"/>
        <v>103</v>
      </c>
      <c r="G67" s="3533">
        <v>2003</v>
      </c>
      <c r="H67" s="2661">
        <v>2</v>
      </c>
      <c r="I67" s="2723"/>
      <c r="J67" s="2723"/>
      <c r="K67" s="2723"/>
      <c r="L67" s="2723"/>
      <c r="X67" s="2715"/>
      <c r="Y67" s="2715"/>
      <c r="Z67" s="2715"/>
    </row>
    <row r="68" spans="1:26" ht="13.5" thickBot="1">
      <c r="A68" s="2656" t="s">
        <v>2625</v>
      </c>
      <c r="B68" s="2725">
        <f t="shared" si="91"/>
        <v>107.25</v>
      </c>
      <c r="C68" s="2725">
        <f t="shared" si="91"/>
        <v>108.75</v>
      </c>
      <c r="D68" s="2725">
        <f t="shared" si="55"/>
        <v>108.75</v>
      </c>
      <c r="E68" s="2725">
        <f t="shared" si="92"/>
        <v>105.75</v>
      </c>
      <c r="F68" s="2725">
        <f t="shared" si="92"/>
        <v>102.5</v>
      </c>
      <c r="G68" s="3534">
        <v>2003</v>
      </c>
      <c r="H68" s="2726">
        <v>1</v>
      </c>
      <c r="I68" s="2723"/>
      <c r="J68" s="2723"/>
      <c r="K68" s="2723"/>
      <c r="L68" s="2723"/>
      <c r="S68" s="2665"/>
      <c r="T68" s="2666"/>
      <c r="U68" s="2666"/>
      <c r="X68" s="2715"/>
      <c r="Y68" s="2715"/>
      <c r="Z68" s="2715"/>
    </row>
    <row r="69" spans="1:26" ht="13.5" thickBot="1">
      <c r="A69" s="2656" t="s">
        <v>2626</v>
      </c>
      <c r="B69" s="2727">
        <v>106</v>
      </c>
      <c r="C69" s="2727">
        <v>107</v>
      </c>
      <c r="D69" s="2727">
        <f t="shared" si="55"/>
        <v>107</v>
      </c>
      <c r="E69" s="2727">
        <v>105</v>
      </c>
      <c r="F69" s="2728">
        <v>102</v>
      </c>
      <c r="G69" s="3532">
        <v>2002</v>
      </c>
      <c r="H69" s="2676">
        <v>4</v>
      </c>
      <c r="I69" s="2723"/>
      <c r="J69" s="2723"/>
      <c r="K69" s="2723"/>
      <c r="L69" s="2723"/>
      <c r="N69" s="2724"/>
      <c r="O69" s="2723"/>
      <c r="P69" s="2723"/>
      <c r="Q69" s="2723"/>
      <c r="S69" s="2724"/>
      <c r="T69" s="2723"/>
      <c r="U69" s="2723"/>
      <c r="V69" s="2723"/>
      <c r="X69" s="2715"/>
      <c r="Y69" s="2715"/>
      <c r="Z69" s="2715"/>
    </row>
    <row r="70" spans="1:26">
      <c r="A70" s="2656" t="s">
        <v>2627</v>
      </c>
      <c r="B70" s="2725">
        <f t="shared" ref="B70:C72" si="93">B71+(B$69-B$73)/4</f>
        <v>105</v>
      </c>
      <c r="C70" s="2725">
        <f t="shared" si="93"/>
        <v>106</v>
      </c>
      <c r="D70" s="2725">
        <f t="shared" si="55"/>
        <v>106</v>
      </c>
      <c r="E70" s="2725">
        <f t="shared" ref="E70:F72" si="94">E71+(E$69-E$73)/4</f>
        <v>104.5</v>
      </c>
      <c r="F70" s="2725">
        <f t="shared" si="94"/>
        <v>101.5</v>
      </c>
      <c r="G70" s="3533">
        <v>2002</v>
      </c>
      <c r="H70" s="2681">
        <v>3</v>
      </c>
      <c r="I70" s="2723"/>
      <c r="J70" s="2723"/>
      <c r="K70" s="2723"/>
      <c r="L70" s="2723"/>
      <c r="X70" s="2715"/>
      <c r="Y70" s="2715"/>
      <c r="Z70" s="2715"/>
    </row>
    <row r="71" spans="1:26">
      <c r="A71" s="2656" t="s">
        <v>2628</v>
      </c>
      <c r="B71" s="2725">
        <f t="shared" si="93"/>
        <v>104</v>
      </c>
      <c r="C71" s="2725">
        <f t="shared" si="93"/>
        <v>105</v>
      </c>
      <c r="D71" s="2725">
        <f t="shared" si="55"/>
        <v>105</v>
      </c>
      <c r="E71" s="2725">
        <f t="shared" si="94"/>
        <v>104</v>
      </c>
      <c r="F71" s="2725">
        <f t="shared" si="94"/>
        <v>101</v>
      </c>
      <c r="G71" s="3533">
        <v>2002</v>
      </c>
      <c r="H71" s="2661">
        <v>2</v>
      </c>
      <c r="I71" s="2723"/>
      <c r="J71" s="2723"/>
      <c r="K71" s="2723"/>
      <c r="L71" s="2723"/>
      <c r="X71" s="2715"/>
      <c r="Y71" s="2715"/>
      <c r="Z71" s="2715"/>
    </row>
    <row r="72" spans="1:26" s="2692" customFormat="1" ht="13.5" thickBot="1">
      <c r="A72" s="2688" t="s">
        <v>2629</v>
      </c>
      <c r="B72" s="2729">
        <f t="shared" si="93"/>
        <v>103</v>
      </c>
      <c r="C72" s="2729">
        <f t="shared" si="93"/>
        <v>104</v>
      </c>
      <c r="D72" s="2729">
        <f t="shared" si="55"/>
        <v>104</v>
      </c>
      <c r="E72" s="2729">
        <f t="shared" si="94"/>
        <v>103.5</v>
      </c>
      <c r="F72" s="2729">
        <f t="shared" si="94"/>
        <v>100.5</v>
      </c>
      <c r="G72" s="3534">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2630</v>
      </c>
      <c r="G75" s="2739"/>
      <c r="N75" s="2739"/>
      <c r="S75" s="2739"/>
    </row>
    <row r="76" spans="1:26" s="2738" customFormat="1">
      <c r="A76" s="2738" t="s">
        <v>2631</v>
      </c>
      <c r="G76" s="2739"/>
      <c r="N76" s="2739"/>
      <c r="S76" s="2739"/>
    </row>
    <row r="77" spans="1:26" s="2738" customFormat="1">
      <c r="A77" s="2738" t="s">
        <v>2632</v>
      </c>
      <c r="G77" s="2739"/>
      <c r="I77" s="2740"/>
      <c r="J77" s="2740"/>
      <c r="K77" s="2740"/>
      <c r="L77" s="2740"/>
      <c r="N77" s="2741"/>
      <c r="O77" s="2740"/>
      <c r="P77" s="2740"/>
      <c r="Q77" s="2740"/>
      <c r="S77" s="2741"/>
      <c r="T77" s="2740"/>
      <c r="U77" s="2740"/>
      <c r="V77" s="2740"/>
    </row>
    <row r="78" spans="1:26" s="2738" customFormat="1">
      <c r="A78" s="2738" t="s">
        <v>2633</v>
      </c>
      <c r="G78" s="2739"/>
      <c r="N78" s="2739"/>
      <c r="S78" s="2739"/>
    </row>
    <row r="85" spans="7:22" ht="13.5" thickBot="1"/>
    <row r="86" spans="7:22">
      <c r="G86" s="2664"/>
      <c r="S86" s="2742" t="s">
        <v>2634</v>
      </c>
      <c r="T86" s="2743" t="s">
        <v>2635</v>
      </c>
      <c r="U86" s="2743" t="s">
        <v>2636</v>
      </c>
      <c r="V86" s="2743" t="s">
        <v>2637</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9.125" style="1337" customWidth="1"/>
    <col min="6" max="6" width="12.25" style="1337" customWidth="1"/>
    <col min="7" max="7" width="18.25" style="1337" customWidth="1"/>
    <col min="8" max="8" width="12.25" style="1337" customWidth="1"/>
    <col min="9" max="9" width="1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3264</v>
      </c>
      <c r="E1" s="2627"/>
      <c r="F1" s="2808" t="s">
        <v>3327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58124</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12874</v>
      </c>
      <c r="C3" s="852" t="s">
        <v>722</v>
      </c>
      <c r="D3" s="851">
        <f>SUMIF('数据-汇总表'!$C19:$C33,D1,'数据-汇总表'!$E19:$E33)</f>
        <v>45148</v>
      </c>
      <c r="E3" s="2128"/>
      <c r="F3" s="2202"/>
      <c r="G3" s="2128"/>
      <c r="H3" s="2128"/>
      <c r="I3" s="2128" t="s">
        <v>3355</v>
      </c>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63" t="s">
        <v>522</v>
      </c>
      <c r="D4" s="3464"/>
      <c r="E4" s="3489" t="s">
        <v>523</v>
      </c>
      <c r="F4" s="3490"/>
      <c r="G4" s="3463" t="s">
        <v>524</v>
      </c>
      <c r="H4" s="3464"/>
      <c r="I4" s="3463" t="s">
        <v>525</v>
      </c>
      <c r="J4" s="3464"/>
      <c r="K4" s="853" t="s">
        <v>526</v>
      </c>
      <c r="L4" s="2134"/>
      <c r="M4" s="2135"/>
      <c r="N4" s="2135"/>
      <c r="O4" s="2135"/>
      <c r="P4" s="3465" t="s">
        <v>527</v>
      </c>
      <c r="Q4" s="3466"/>
      <c r="R4" s="3451" t="s">
        <v>523</v>
      </c>
      <c r="S4" s="3452"/>
      <c r="T4" s="3451" t="s">
        <v>524</v>
      </c>
      <c r="U4" s="3452"/>
      <c r="V4" s="3471" t="s">
        <v>525</v>
      </c>
      <c r="W4" s="3471"/>
      <c r="X4" s="1568"/>
      <c r="Y4" s="3451" t="s">
        <v>527</v>
      </c>
      <c r="Z4" s="3452"/>
      <c r="AA4" s="3446" t="s">
        <v>523</v>
      </c>
      <c r="AB4" s="3446" t="s">
        <v>524</v>
      </c>
      <c r="AC4" s="3446" t="s">
        <v>525</v>
      </c>
    </row>
    <row r="5" spans="1:29" ht="15">
      <c r="A5" s="515"/>
      <c r="B5" s="516"/>
      <c r="C5" s="3474" t="s">
        <v>3319</v>
      </c>
      <c r="D5" s="3475"/>
      <c r="E5" s="3539" t="s">
        <v>3364</v>
      </c>
      <c r="F5" s="3540"/>
      <c r="G5" s="3541" t="s">
        <v>3366</v>
      </c>
      <c r="H5" s="3475"/>
      <c r="I5" s="3541" t="s">
        <v>3367</v>
      </c>
      <c r="J5" s="3475"/>
      <c r="K5" s="854"/>
      <c r="L5" s="2134"/>
      <c r="M5" s="2135"/>
      <c r="N5" s="2135"/>
      <c r="O5" s="2135"/>
      <c r="P5" s="3467"/>
      <c r="Q5" s="3468"/>
      <c r="R5" s="3453"/>
      <c r="S5" s="3454"/>
      <c r="T5" s="3453"/>
      <c r="U5" s="3454"/>
      <c r="V5" s="3471"/>
      <c r="W5" s="3471"/>
      <c r="X5" s="1568"/>
      <c r="Y5" s="3453"/>
      <c r="Z5" s="3454"/>
      <c r="AA5" s="3447"/>
      <c r="AB5" s="3447"/>
      <c r="AC5" s="3447"/>
    </row>
    <row r="6" spans="1:29" ht="15.75" thickBot="1">
      <c r="A6" s="517"/>
      <c r="B6" s="518"/>
      <c r="C6" s="3472" t="s">
        <v>3320</v>
      </c>
      <c r="D6" s="3473"/>
      <c r="E6" s="3542" t="s">
        <v>3365</v>
      </c>
      <c r="F6" s="3543"/>
      <c r="G6" s="3495"/>
      <c r="H6" s="3496"/>
      <c r="I6" s="3544" t="s">
        <v>3368</v>
      </c>
      <c r="J6" s="3473"/>
      <c r="K6" s="854" t="s">
        <v>528</v>
      </c>
      <c r="L6" s="2134"/>
      <c r="M6" s="2135"/>
      <c r="N6" s="2135"/>
      <c r="O6" s="2135"/>
      <c r="P6" s="3469"/>
      <c r="Q6" s="3470"/>
      <c r="R6" s="3453"/>
      <c r="S6" s="3454"/>
      <c r="T6" s="3455"/>
      <c r="U6" s="3456"/>
      <c r="V6" s="3471"/>
      <c r="W6" s="3471"/>
      <c r="X6" s="1568"/>
      <c r="Y6" s="3455"/>
      <c r="Z6" s="3456"/>
      <c r="AA6" s="3448"/>
      <c r="AB6" s="3448"/>
      <c r="AC6" s="3448"/>
    </row>
    <row r="7" spans="1:29" s="1220" customFormat="1" ht="15.75" thickBot="1">
      <c r="A7" s="2913"/>
      <c r="B7" s="2920" t="s">
        <v>529</v>
      </c>
      <c r="C7" s="519">
        <f>'数据-取费表'!B2</f>
        <v>43426</v>
      </c>
      <c r="D7" s="520">
        <v>100</v>
      </c>
      <c r="E7" s="521">
        <f>C7</f>
        <v>43426</v>
      </c>
      <c r="F7" s="522">
        <f>SUMIF(58:58,YEAR(E7)&amp;"-"&amp;MONTH(E7),59:59)</f>
        <v>100</v>
      </c>
      <c r="G7" s="523">
        <f>C7</f>
        <v>43426</v>
      </c>
      <c r="H7" s="520">
        <f>SUMIF(58:58,YEAR(G7)&amp;"-"&amp;MONTH(G7),59:59)</f>
        <v>100</v>
      </c>
      <c r="I7" s="523">
        <f>C7</f>
        <v>43426</v>
      </c>
      <c r="J7" s="520">
        <f>SUMIF(58:58,YEAR(I7)&amp;"-"&amp;MONTH(I7),59:59)</f>
        <v>100</v>
      </c>
      <c r="K7" s="855"/>
      <c r="L7" s="2136"/>
      <c r="M7" s="2137"/>
      <c r="N7" s="2137"/>
      <c r="O7" s="2137"/>
      <c r="P7" s="3449" t="s">
        <v>530</v>
      </c>
      <c r="Q7" s="3458"/>
      <c r="R7" s="1569" t="s">
        <v>13</v>
      </c>
      <c r="S7" s="1570">
        <f t="shared" ref="S7:S15" si="0">F7</f>
        <v>100</v>
      </c>
      <c r="T7" s="1569" t="s">
        <v>13</v>
      </c>
      <c r="U7" s="1570">
        <f t="shared" ref="U7:U15" si="1">H7</f>
        <v>100</v>
      </c>
      <c r="V7" s="1569" t="s">
        <v>13</v>
      </c>
      <c r="W7" s="1570">
        <f t="shared" ref="W7:W15" si="2">J7</f>
        <v>100</v>
      </c>
      <c r="X7" s="1571"/>
      <c r="Y7" s="3449" t="s">
        <v>530</v>
      </c>
      <c r="Z7" s="3450"/>
      <c r="AA7" s="1572">
        <f>D7/F7</f>
        <v>1</v>
      </c>
      <c r="AB7" s="1572">
        <f>D7/H7</f>
        <v>1</v>
      </c>
      <c r="AC7" s="1572">
        <f>D7/J7</f>
        <v>1</v>
      </c>
    </row>
    <row r="8" spans="1:29" s="1220" customFormat="1" ht="15.7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449" t="s">
        <v>533</v>
      </c>
      <c r="Q8" s="3450"/>
      <c r="R8" s="1569" t="s">
        <v>13</v>
      </c>
      <c r="S8" s="1570">
        <f t="shared" si="0"/>
        <v>100</v>
      </c>
      <c r="T8" s="1569" t="s">
        <v>13</v>
      </c>
      <c r="U8" s="1570">
        <f t="shared" si="1"/>
        <v>100</v>
      </c>
      <c r="V8" s="1569" t="s">
        <v>13</v>
      </c>
      <c r="W8" s="1570">
        <f t="shared" si="2"/>
        <v>100</v>
      </c>
      <c r="X8" s="1571"/>
      <c r="Y8" s="3449" t="s">
        <v>533</v>
      </c>
      <c r="Z8" s="3450"/>
      <c r="AA8" s="1572">
        <f t="shared" ref="AA8:AA46" si="3">D8/F8</f>
        <v>1</v>
      </c>
      <c r="AB8" s="1572">
        <f t="shared" ref="AB8:AB46" si="4">D8/H8</f>
        <v>1</v>
      </c>
      <c r="AC8" s="1572">
        <f t="shared" ref="AC8:AC46" si="5">D8/J8</f>
        <v>1</v>
      </c>
    </row>
    <row r="9" spans="1:29" s="1220" customFormat="1" ht="15">
      <c r="A9" s="2915"/>
      <c r="B9" s="2922" t="s">
        <v>2755</v>
      </c>
      <c r="C9" s="3209" t="s">
        <v>3318</v>
      </c>
      <c r="D9" s="254">
        <v>100</v>
      </c>
      <c r="E9" s="858" t="s">
        <v>922</v>
      </c>
      <c r="F9" s="859">
        <f>SUMIF(63:63,E9,64:64)-SUMIF(63:63,C9,64:64)+100</f>
        <v>100</v>
      </c>
      <c r="G9" s="858" t="s">
        <v>922</v>
      </c>
      <c r="H9" s="254">
        <f>SUMIF(63:63,G9,64:64)-SUMIF(63:63,C9,64:64)+100</f>
        <v>100</v>
      </c>
      <c r="I9" s="858" t="s">
        <v>922</v>
      </c>
      <c r="J9" s="254">
        <f>SUMIF(63:63,I9,64:64)-SUMIF(63:63,C9,64:64)+100</f>
        <v>100</v>
      </c>
      <c r="K9" s="855"/>
      <c r="L9" s="2136"/>
      <c r="M9" s="2137"/>
      <c r="N9" s="2137"/>
      <c r="O9" s="2138"/>
      <c r="P9" s="3457" t="s">
        <v>535</v>
      </c>
      <c r="Q9" s="1151" t="str">
        <f t="shared" ref="Q9:Q15" si="6">B9</f>
        <v>用途</v>
      </c>
      <c r="R9" s="1569" t="s">
        <v>8</v>
      </c>
      <c r="S9" s="1570">
        <f t="shared" si="0"/>
        <v>100</v>
      </c>
      <c r="T9" s="1569" t="s">
        <v>8</v>
      </c>
      <c r="U9" s="1570">
        <f t="shared" si="1"/>
        <v>100</v>
      </c>
      <c r="V9" s="1569" t="s">
        <v>8</v>
      </c>
      <c r="W9" s="1570">
        <f t="shared" si="2"/>
        <v>100</v>
      </c>
      <c r="X9" s="1571"/>
      <c r="Y9" s="3414" t="s">
        <v>536</v>
      </c>
      <c r="Z9" s="1150" t="str">
        <f t="shared" ref="Z9:Z15" si="7">Q9</f>
        <v>用途</v>
      </c>
      <c r="AA9" s="1572">
        <f t="shared" si="3"/>
        <v>1</v>
      </c>
      <c r="AB9" s="1572">
        <f t="shared" si="4"/>
        <v>1</v>
      </c>
      <c r="AC9" s="1572">
        <f t="shared" si="5"/>
        <v>1</v>
      </c>
    </row>
    <row r="10" spans="1:29" s="1338" customFormat="1" ht="27">
      <c r="A10" s="2916"/>
      <c r="B10" s="3211" t="s">
        <v>3328</v>
      </c>
      <c r="C10" s="861" t="s">
        <v>3321</v>
      </c>
      <c r="D10" s="255">
        <v>100</v>
      </c>
      <c r="E10" s="862" t="s">
        <v>3322</v>
      </c>
      <c r="F10" s="863">
        <f>SUMIF(65:65,E10,66:66)-SUMIF(65:65,C10,66:66)+100</f>
        <v>98</v>
      </c>
      <c r="G10" s="862" t="s">
        <v>3322</v>
      </c>
      <c r="H10" s="255">
        <f>SUMIF(65:65,G10,66:66)-SUMIF(65:65,C10,66:66)+100</f>
        <v>98</v>
      </c>
      <c r="I10" s="862" t="s">
        <v>3322</v>
      </c>
      <c r="J10" s="255">
        <f>SUMIF(65:65,I10,66:66)-SUMIF(65:65,C10,66:66)+100</f>
        <v>98</v>
      </c>
      <c r="K10" s="864">
        <v>2</v>
      </c>
      <c r="L10" s="2139"/>
      <c r="M10" s="2179"/>
      <c r="N10" s="2179"/>
      <c r="O10" s="2140"/>
      <c r="P10" s="3457"/>
      <c r="Q10" s="1151" t="str">
        <f t="shared" si="6"/>
        <v>土地使用年限（年）</v>
      </c>
      <c r="R10" s="1569" t="s">
        <v>8</v>
      </c>
      <c r="S10" s="1570">
        <f t="shared" si="0"/>
        <v>98</v>
      </c>
      <c r="T10" s="1569" t="s">
        <v>8</v>
      </c>
      <c r="U10" s="1570">
        <f t="shared" si="1"/>
        <v>98</v>
      </c>
      <c r="V10" s="1569" t="s">
        <v>8</v>
      </c>
      <c r="W10" s="1570">
        <f t="shared" si="2"/>
        <v>98</v>
      </c>
      <c r="X10" s="1571"/>
      <c r="Y10" s="3414"/>
      <c r="Z10" s="1150" t="str">
        <f t="shared" si="7"/>
        <v>土地使用年限（年）</v>
      </c>
      <c r="AA10" s="1572">
        <f t="shared" si="3"/>
        <v>1.0204081632653061</v>
      </c>
      <c r="AB10" s="1572">
        <f t="shared" si="4"/>
        <v>1.0204081632653061</v>
      </c>
      <c r="AC10" s="1572">
        <f t="shared" si="5"/>
        <v>1.0204081632653061</v>
      </c>
    </row>
    <row r="11" spans="1:29" ht="15.75" thickBot="1">
      <c r="A11" s="2917"/>
      <c r="B11" s="2921" t="s">
        <v>2757</v>
      </c>
      <c r="C11" s="533">
        <f>'数据-汇总表'!I7</f>
        <v>1.6</v>
      </c>
      <c r="D11" s="255">
        <v>100</v>
      </c>
      <c r="E11" s="534">
        <v>2</v>
      </c>
      <c r="F11" s="863">
        <f>LOOKUP(E11,68:68,69:69)-LOOKUP(C11,68:68,69:69)+100</f>
        <v>97</v>
      </c>
      <c r="G11" s="533">
        <v>1.72</v>
      </c>
      <c r="H11" s="255">
        <f>LOOKUP(G11,68:68,69:69)-LOOKUP(C11,68:68,69:69)+100</f>
        <v>100</v>
      </c>
      <c r="I11" s="533">
        <v>2.5</v>
      </c>
      <c r="J11" s="255">
        <f>LOOKUP(I11,68:68,69:69)-LOOKUP(C11,68:68,69:69)+100</f>
        <v>97</v>
      </c>
      <c r="K11" s="3256">
        <v>3</v>
      </c>
      <c r="L11" s="2141"/>
      <c r="M11" s="2135"/>
      <c r="N11" s="2135"/>
      <c r="O11" s="2142"/>
      <c r="P11" s="3457"/>
      <c r="Q11" s="1151" t="str">
        <f t="shared" si="6"/>
        <v>容积率</v>
      </c>
      <c r="R11" s="1569" t="s">
        <v>11</v>
      </c>
      <c r="S11" s="1570">
        <f t="shared" si="0"/>
        <v>97</v>
      </c>
      <c r="T11" s="1569" t="s">
        <v>11</v>
      </c>
      <c r="U11" s="1570">
        <f t="shared" si="1"/>
        <v>100</v>
      </c>
      <c r="V11" s="1569" t="s">
        <v>11</v>
      </c>
      <c r="W11" s="1570">
        <f t="shared" si="2"/>
        <v>97</v>
      </c>
      <c r="X11" s="1571"/>
      <c r="Y11" s="3414"/>
      <c r="Z11" s="1150" t="str">
        <f t="shared" si="7"/>
        <v>容积率</v>
      </c>
      <c r="AA11" s="1572">
        <f t="shared" si="3"/>
        <v>1.0309278350515463</v>
      </c>
      <c r="AB11" s="1572">
        <f t="shared" si="4"/>
        <v>1</v>
      </c>
      <c r="AC11" s="1572">
        <f t="shared" si="5"/>
        <v>1.0309278350515463</v>
      </c>
    </row>
    <row r="12" spans="1:29" s="1220" customFormat="1" ht="15" hidden="1">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57"/>
      <c r="Q12" s="1151">
        <f t="shared" si="6"/>
        <v>111</v>
      </c>
      <c r="R12" s="1569" t="s">
        <v>11</v>
      </c>
      <c r="S12" s="1570">
        <f t="shared" si="0"/>
        <v>100</v>
      </c>
      <c r="T12" s="1569" t="s">
        <v>11</v>
      </c>
      <c r="U12" s="1570">
        <f t="shared" si="1"/>
        <v>100</v>
      </c>
      <c r="V12" s="1569" t="s">
        <v>11</v>
      </c>
      <c r="W12" s="1570">
        <f t="shared" si="2"/>
        <v>100</v>
      </c>
      <c r="X12" s="1571"/>
      <c r="Y12" s="3414"/>
      <c r="Z12" s="1150">
        <f t="shared" si="7"/>
        <v>111</v>
      </c>
      <c r="AA12" s="1572">
        <f>D12/F12</f>
        <v>1</v>
      </c>
      <c r="AB12" s="1572">
        <f>D12/H12</f>
        <v>1</v>
      </c>
      <c r="AC12" s="1572">
        <f>D12/J12</f>
        <v>1</v>
      </c>
    </row>
    <row r="13" spans="1:29" ht="15" hidden="1">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57"/>
      <c r="Q13" s="1151">
        <f t="shared" si="6"/>
        <v>111</v>
      </c>
      <c r="R13" s="1569" t="s">
        <v>11</v>
      </c>
      <c r="S13" s="1570">
        <f t="shared" si="0"/>
        <v>100</v>
      </c>
      <c r="T13" s="1569" t="s">
        <v>11</v>
      </c>
      <c r="U13" s="1570">
        <f t="shared" si="1"/>
        <v>100</v>
      </c>
      <c r="V13" s="1569" t="s">
        <v>11</v>
      </c>
      <c r="W13" s="1570">
        <f t="shared" si="2"/>
        <v>100</v>
      </c>
      <c r="X13" s="1571"/>
      <c r="Y13" s="3414"/>
      <c r="Z13" s="1150">
        <f t="shared" si="7"/>
        <v>111</v>
      </c>
      <c r="AA13" s="1572">
        <f t="shared" si="3"/>
        <v>1</v>
      </c>
      <c r="AB13" s="1572">
        <f t="shared" si="4"/>
        <v>1</v>
      </c>
      <c r="AC13" s="1572">
        <f t="shared" si="5"/>
        <v>1</v>
      </c>
    </row>
    <row r="14" spans="1:29" ht="15.75" hidden="1"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57"/>
      <c r="Q14" s="1151">
        <f t="shared" si="6"/>
        <v>111</v>
      </c>
      <c r="R14" s="1569" t="s">
        <v>11</v>
      </c>
      <c r="S14" s="1570">
        <f t="shared" si="0"/>
        <v>100</v>
      </c>
      <c r="T14" s="1569" t="s">
        <v>11</v>
      </c>
      <c r="U14" s="1570">
        <f t="shared" si="1"/>
        <v>100</v>
      </c>
      <c r="V14" s="1569" t="s">
        <v>11</v>
      </c>
      <c r="W14" s="1570">
        <f t="shared" si="2"/>
        <v>100</v>
      </c>
      <c r="X14" s="1571"/>
      <c r="Y14" s="3414"/>
      <c r="Z14" s="1150">
        <f t="shared" si="7"/>
        <v>111</v>
      </c>
      <c r="AA14" s="1572">
        <f t="shared" si="3"/>
        <v>1</v>
      </c>
      <c r="AB14" s="1572">
        <f t="shared" si="4"/>
        <v>1</v>
      </c>
      <c r="AC14" s="1572">
        <f t="shared" si="5"/>
        <v>1</v>
      </c>
    </row>
    <row r="15" spans="1:29" ht="99.75">
      <c r="A15" s="2911"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f>'比较法-住宅、综合'!K17</f>
        <v>3</v>
      </c>
      <c r="L15" s="2143"/>
      <c r="M15" s="2135"/>
      <c r="N15" s="2135"/>
      <c r="O15" s="2142"/>
      <c r="P15" s="3459" t="s">
        <v>540</v>
      </c>
      <c r="Q15" s="1573" t="str">
        <f t="shared" si="6"/>
        <v>居住社区成熟度</v>
      </c>
      <c r="R15" s="1574" t="s">
        <v>11</v>
      </c>
      <c r="S15" s="1575">
        <f t="shared" si="0"/>
        <v>100</v>
      </c>
      <c r="T15" s="1574" t="s">
        <v>11</v>
      </c>
      <c r="U15" s="1575">
        <f t="shared" si="1"/>
        <v>100</v>
      </c>
      <c r="V15" s="1574" t="s">
        <v>11</v>
      </c>
      <c r="W15" s="1575">
        <f t="shared" si="2"/>
        <v>100</v>
      </c>
      <c r="X15" s="1568"/>
      <c r="Y15" s="3459" t="s">
        <v>540</v>
      </c>
      <c r="Z15" s="1576" t="str">
        <f t="shared" si="7"/>
        <v>居住社区成熟度</v>
      </c>
      <c r="AA15" s="1577">
        <f t="shared" si="3"/>
        <v>1</v>
      </c>
      <c r="AB15" s="1577">
        <f t="shared" si="4"/>
        <v>1</v>
      </c>
      <c r="AC15" s="1577">
        <f t="shared" si="5"/>
        <v>1</v>
      </c>
    </row>
    <row r="16" spans="1:29" ht="15">
      <c r="A16" s="532"/>
      <c r="B16" s="869"/>
      <c r="C16" s="576" t="s">
        <v>3262</v>
      </c>
      <c r="D16" s="555"/>
      <c r="E16" s="576" t="s">
        <v>3262</v>
      </c>
      <c r="F16" s="557"/>
      <c r="G16" s="576" t="s">
        <v>3262</v>
      </c>
      <c r="H16" s="559"/>
      <c r="I16" s="576" t="s">
        <v>3262</v>
      </c>
      <c r="J16" s="555"/>
      <c r="K16" s="870"/>
      <c r="L16" s="2143"/>
      <c r="M16" s="2135"/>
      <c r="N16" s="2135"/>
      <c r="O16" s="2142"/>
      <c r="P16" s="3460"/>
      <c r="Q16" s="1573"/>
      <c r="R16" s="1574"/>
      <c r="S16" s="1575"/>
      <c r="T16" s="1574"/>
      <c r="U16" s="1575"/>
      <c r="V16" s="1574"/>
      <c r="W16" s="1575"/>
      <c r="X16" s="1568"/>
      <c r="Y16" s="346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f>'比较法-住宅、综合'!K23</f>
        <v>3</v>
      </c>
      <c r="L17" s="2143"/>
      <c r="M17" s="2135"/>
      <c r="N17" s="2135"/>
      <c r="O17" s="2142"/>
      <c r="P17" s="3460"/>
      <c r="Q17" s="1573" t="str">
        <f>B17</f>
        <v>交通便捷度</v>
      </c>
      <c r="R17" s="1574" t="s">
        <v>11</v>
      </c>
      <c r="S17" s="1575">
        <f>F17</f>
        <v>100</v>
      </c>
      <c r="T17" s="1574" t="s">
        <v>11</v>
      </c>
      <c r="U17" s="1575">
        <f>H17</f>
        <v>100</v>
      </c>
      <c r="V17" s="1574" t="s">
        <v>11</v>
      </c>
      <c r="W17" s="1575">
        <f>J17</f>
        <v>100</v>
      </c>
      <c r="X17" s="1568"/>
      <c r="Y17" s="3460"/>
      <c r="Z17" s="1576" t="str">
        <f>Q17</f>
        <v>交通便捷度</v>
      </c>
      <c r="AA17" s="1577">
        <f t="shared" si="3"/>
        <v>1</v>
      </c>
      <c r="AB17" s="1577">
        <f t="shared" si="4"/>
        <v>1</v>
      </c>
      <c r="AC17" s="1577">
        <f t="shared" si="5"/>
        <v>1</v>
      </c>
    </row>
    <row r="18" spans="1:29" ht="15">
      <c r="A18" s="532"/>
      <c r="B18" s="595"/>
      <c r="C18" s="873" t="s">
        <v>3263</v>
      </c>
      <c r="D18" s="559"/>
      <c r="E18" s="873" t="s">
        <v>3263</v>
      </c>
      <c r="F18" s="563"/>
      <c r="G18" s="873" t="s">
        <v>3263</v>
      </c>
      <c r="H18" s="555"/>
      <c r="I18" s="873" t="s">
        <v>3263</v>
      </c>
      <c r="J18" s="555"/>
      <c r="K18" s="870"/>
      <c r="L18" s="2143"/>
      <c r="M18" s="2135"/>
      <c r="N18" s="2135"/>
      <c r="O18" s="2142"/>
      <c r="P18" s="3460"/>
      <c r="Q18" s="1573"/>
      <c r="R18" s="1574"/>
      <c r="S18" s="1575"/>
      <c r="T18" s="1574"/>
      <c r="U18" s="1575"/>
      <c r="V18" s="1574"/>
      <c r="W18" s="1575"/>
      <c r="X18" s="1568"/>
      <c r="Y18" s="3460"/>
      <c r="Z18" s="1576"/>
      <c r="AA18" s="1577">
        <v>1</v>
      </c>
      <c r="AB18" s="1577">
        <v>1</v>
      </c>
      <c r="AC18" s="1577">
        <v>1</v>
      </c>
    </row>
    <row r="19" spans="1:29" ht="42.75">
      <c r="A19" s="532"/>
      <c r="B19" s="2601"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f>'比较法-住宅、综合'!K29</f>
        <v>5</v>
      </c>
      <c r="L19" s="2143"/>
      <c r="M19" s="2135"/>
      <c r="N19" s="2135"/>
      <c r="O19" s="2142"/>
      <c r="P19" s="3460"/>
      <c r="Q19" s="1573" t="str">
        <f>B19</f>
        <v>公共配套设施</v>
      </c>
      <c r="R19" s="1574" t="s">
        <v>11</v>
      </c>
      <c r="S19" s="1575">
        <f>F19</f>
        <v>100</v>
      </c>
      <c r="T19" s="1574" t="s">
        <v>11</v>
      </c>
      <c r="U19" s="1575">
        <f>H19</f>
        <v>100</v>
      </c>
      <c r="V19" s="1574" t="s">
        <v>11</v>
      </c>
      <c r="W19" s="1575">
        <f>J19</f>
        <v>100</v>
      </c>
      <c r="X19" s="1568"/>
      <c r="Y19" s="3460"/>
      <c r="Z19" s="1576" t="str">
        <f>Q19</f>
        <v>公共配套设施</v>
      </c>
      <c r="AA19" s="1577">
        <f t="shared" si="3"/>
        <v>1</v>
      </c>
      <c r="AB19" s="1577">
        <f t="shared" si="4"/>
        <v>1</v>
      </c>
      <c r="AC19" s="1577">
        <f t="shared" si="5"/>
        <v>1</v>
      </c>
    </row>
    <row r="20" spans="1:29" ht="15">
      <c r="A20" s="532"/>
      <c r="B20" s="595"/>
      <c r="C20" s="576" t="s">
        <v>3263</v>
      </c>
      <c r="D20" s="555"/>
      <c r="E20" s="576" t="s">
        <v>3263</v>
      </c>
      <c r="F20" s="557"/>
      <c r="G20" s="576" t="s">
        <v>3263</v>
      </c>
      <c r="H20" s="555"/>
      <c r="I20" s="576" t="s">
        <v>3263</v>
      </c>
      <c r="J20" s="555"/>
      <c r="K20" s="870"/>
      <c r="L20" s="2143"/>
      <c r="M20" s="2135"/>
      <c r="N20" s="2135"/>
      <c r="O20" s="2142"/>
      <c r="P20" s="3460"/>
      <c r="Q20" s="1573"/>
      <c r="R20" s="1574"/>
      <c r="S20" s="1575"/>
      <c r="T20" s="1574"/>
      <c r="U20" s="1575"/>
      <c r="V20" s="1574"/>
      <c r="W20" s="1575"/>
      <c r="X20" s="1568"/>
      <c r="Y20" s="3460"/>
      <c r="Z20" s="1576"/>
      <c r="AA20" s="1577">
        <v>1</v>
      </c>
      <c r="AB20" s="1577">
        <v>1</v>
      </c>
      <c r="AC20" s="1577">
        <v>1</v>
      </c>
    </row>
    <row r="21" spans="1:29" ht="28.5">
      <c r="A21" s="532"/>
      <c r="B21" s="2594"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f>'比较法-住宅、综合'!K31</f>
        <v>5</v>
      </c>
      <c r="L21" s="2143"/>
      <c r="M21" s="2135"/>
      <c r="N21" s="2135"/>
      <c r="O21" s="2142"/>
      <c r="P21" s="3460"/>
      <c r="Q21" s="2580" t="str">
        <f>B21</f>
        <v>基础设施水平</v>
      </c>
      <c r="R21" s="1574" t="s">
        <v>11</v>
      </c>
      <c r="S21" s="1575">
        <f>F21</f>
        <v>100</v>
      </c>
      <c r="T21" s="1574" t="s">
        <v>11</v>
      </c>
      <c r="U21" s="1575">
        <f>H21</f>
        <v>100</v>
      </c>
      <c r="V21" s="1574" t="s">
        <v>11</v>
      </c>
      <c r="W21" s="1575">
        <f>J21</f>
        <v>100</v>
      </c>
      <c r="X21" s="2582"/>
      <c r="Y21" s="3460"/>
      <c r="Z21" s="2581" t="str">
        <f>Q21</f>
        <v>基础设施水平</v>
      </c>
      <c r="AA21" s="1577">
        <f t="shared" ref="AA21" si="8">D21/F21</f>
        <v>1</v>
      </c>
      <c r="AB21" s="1577">
        <f t="shared" ref="AB21" si="9">D21/H21</f>
        <v>1</v>
      </c>
      <c r="AC21" s="1577">
        <f t="shared" ref="AC21" si="10">D21/J21</f>
        <v>1</v>
      </c>
    </row>
    <row r="22" spans="1:29" ht="15">
      <c r="A22" s="532"/>
      <c r="B22" s="922"/>
      <c r="C22" s="873" t="s">
        <v>3283</v>
      </c>
      <c r="D22" s="555"/>
      <c r="E22" s="873" t="s">
        <v>3283</v>
      </c>
      <c r="F22" s="557"/>
      <c r="G22" s="873" t="s">
        <v>3283</v>
      </c>
      <c r="H22" s="555"/>
      <c r="I22" s="873" t="s">
        <v>3283</v>
      </c>
      <c r="J22" s="555"/>
      <c r="K22" s="2600"/>
      <c r="L22" s="2143"/>
      <c r="M22" s="2135"/>
      <c r="N22" s="2135"/>
      <c r="O22" s="2142"/>
      <c r="P22" s="3460"/>
      <c r="Q22" s="2580"/>
      <c r="R22" s="1574"/>
      <c r="S22" s="1575"/>
      <c r="T22" s="1574"/>
      <c r="U22" s="1575"/>
      <c r="V22" s="1574"/>
      <c r="W22" s="1575"/>
      <c r="X22" s="2582"/>
      <c r="Y22" s="3460"/>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f>'比较法-住宅、综合'!K27</f>
        <v>3</v>
      </c>
      <c r="L23" s="2143"/>
      <c r="M23" s="2135"/>
      <c r="N23" s="2135"/>
      <c r="O23" s="2142"/>
      <c r="P23" s="3460"/>
      <c r="Q23" s="1573" t="str">
        <f>B23</f>
        <v>自然及人文环境</v>
      </c>
      <c r="R23" s="1574" t="s">
        <v>11</v>
      </c>
      <c r="S23" s="1575">
        <f>F23</f>
        <v>100</v>
      </c>
      <c r="T23" s="1574" t="s">
        <v>11</v>
      </c>
      <c r="U23" s="1575">
        <f>H23</f>
        <v>100</v>
      </c>
      <c r="V23" s="1574" t="s">
        <v>11</v>
      </c>
      <c r="W23" s="1575">
        <f>J23</f>
        <v>100</v>
      </c>
      <c r="X23" s="1568"/>
      <c r="Y23" s="3460"/>
      <c r="Z23" s="1576" t="str">
        <f>Q23</f>
        <v>自然及人文环境</v>
      </c>
      <c r="AA23" s="1577">
        <f t="shared" si="3"/>
        <v>1</v>
      </c>
      <c r="AB23" s="1577">
        <f t="shared" si="4"/>
        <v>1</v>
      </c>
      <c r="AC23" s="1577">
        <f t="shared" si="5"/>
        <v>1</v>
      </c>
    </row>
    <row r="24" spans="1:29" ht="15">
      <c r="A24" s="532"/>
      <c r="B24" s="595"/>
      <c r="C24" s="576" t="s">
        <v>3263</v>
      </c>
      <c r="D24" s="555"/>
      <c r="E24" s="576" t="s">
        <v>3263</v>
      </c>
      <c r="F24" s="557"/>
      <c r="G24" s="576" t="s">
        <v>3263</v>
      </c>
      <c r="H24" s="555"/>
      <c r="I24" s="576" t="s">
        <v>3263</v>
      </c>
      <c r="J24" s="555"/>
      <c r="K24" s="870"/>
      <c r="L24" s="2143"/>
      <c r="M24" s="2135"/>
      <c r="N24" s="2135"/>
      <c r="O24" s="2142"/>
      <c r="P24" s="3460"/>
      <c r="Q24" s="1573"/>
      <c r="R24" s="1574"/>
      <c r="S24" s="1575"/>
      <c r="T24" s="1574"/>
      <c r="U24" s="1575"/>
      <c r="V24" s="1574"/>
      <c r="W24" s="1575"/>
      <c r="X24" s="1568"/>
      <c r="Y24" s="3460"/>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60"/>
      <c r="Q25" s="1573" t="str">
        <f t="shared" ref="Q25:Q46" si="11">B25</f>
        <v>楼层-1</v>
      </c>
      <c r="R25" s="1574" t="s">
        <v>11</v>
      </c>
      <c r="S25" s="1575">
        <f>F25</f>
        <v>100</v>
      </c>
      <c r="T25" s="1574" t="s">
        <v>11</v>
      </c>
      <c r="U25" s="1575">
        <f>H25</f>
        <v>100</v>
      </c>
      <c r="V25" s="1574" t="s">
        <v>11</v>
      </c>
      <c r="W25" s="1575">
        <f>J25</f>
        <v>100</v>
      </c>
      <c r="X25" s="1568"/>
      <c r="Y25" s="3460"/>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60"/>
      <c r="Q26" s="1573" t="str">
        <f t="shared" si="11"/>
        <v>朝向</v>
      </c>
      <c r="R26" s="1574" t="s">
        <v>11</v>
      </c>
      <c r="S26" s="1575">
        <f>F26</f>
        <v>100</v>
      </c>
      <c r="T26" s="1574" t="s">
        <v>11</v>
      </c>
      <c r="U26" s="1575">
        <f>H26</f>
        <v>100</v>
      </c>
      <c r="V26" s="1574" t="s">
        <v>11</v>
      </c>
      <c r="W26" s="1575">
        <f>J26</f>
        <v>100</v>
      </c>
      <c r="X26" s="1568"/>
      <c r="Y26" s="3460"/>
      <c r="Z26" s="1576" t="str">
        <f>Q26</f>
        <v>朝向</v>
      </c>
      <c r="AA26" s="1577">
        <f t="shared" si="3"/>
        <v>1</v>
      </c>
      <c r="AB26" s="1577">
        <f t="shared" si="4"/>
        <v>1</v>
      </c>
      <c r="AC26" s="1577">
        <f t="shared" si="5"/>
        <v>1</v>
      </c>
    </row>
    <row r="27" spans="1:29" s="1220" customFormat="1" ht="15.75" thickBot="1">
      <c r="A27" s="536"/>
      <c r="B27" s="3253" t="s">
        <v>3369</v>
      </c>
      <c r="C27" s="3210" t="s">
        <v>3326</v>
      </c>
      <c r="D27" s="875">
        <v>100</v>
      </c>
      <c r="E27" s="3210" t="s">
        <v>3326</v>
      </c>
      <c r="F27" s="876">
        <f>SUMIF(90:90,E27,91:91)-SUMIF(90:90,C27,91:91)+100</f>
        <v>100</v>
      </c>
      <c r="G27" s="3210" t="s">
        <v>3326</v>
      </c>
      <c r="H27" s="875">
        <f>SUMIF(90:90,G27,91:91)-SUMIF(90:90,C27,91:91)+100</f>
        <v>100</v>
      </c>
      <c r="I27" s="3210" t="s">
        <v>3326</v>
      </c>
      <c r="J27" s="875">
        <f>SUMIF(90:90,I27,91:91)-SUMIF(90:90,C27,91:91)+100</f>
        <v>100</v>
      </c>
      <c r="K27" s="865"/>
      <c r="L27" s="2136"/>
      <c r="M27" s="2137"/>
      <c r="N27" s="2137"/>
      <c r="O27" s="2138"/>
      <c r="P27" s="3460"/>
      <c r="Q27" s="1151" t="str">
        <f t="shared" si="11"/>
        <v>道路级别</v>
      </c>
      <c r="R27" s="1569" t="s">
        <v>11</v>
      </c>
      <c r="S27" s="1570">
        <f>F27</f>
        <v>100</v>
      </c>
      <c r="T27" s="1569" t="s">
        <v>11</v>
      </c>
      <c r="U27" s="1570">
        <f>H27</f>
        <v>100</v>
      </c>
      <c r="V27" s="1569" t="s">
        <v>11</v>
      </c>
      <c r="W27" s="1570">
        <f>J27</f>
        <v>100</v>
      </c>
      <c r="X27" s="1571"/>
      <c r="Y27" s="346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6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60"/>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60"/>
      <c r="Q29" s="1573">
        <f t="shared" si="11"/>
        <v>111</v>
      </c>
      <c r="R29" s="1574" t="s">
        <v>11</v>
      </c>
      <c r="S29" s="1575">
        <f t="shared" si="12"/>
        <v>100</v>
      </c>
      <c r="T29" s="1574" t="s">
        <v>11</v>
      </c>
      <c r="U29" s="1575">
        <f t="shared" si="13"/>
        <v>100</v>
      </c>
      <c r="V29" s="1574" t="s">
        <v>11</v>
      </c>
      <c r="W29" s="1575">
        <f t="shared" si="14"/>
        <v>100</v>
      </c>
      <c r="X29" s="1568"/>
      <c r="Y29" s="346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60"/>
      <c r="Q30" s="1573">
        <f t="shared" si="11"/>
        <v>111</v>
      </c>
      <c r="R30" s="1574" t="s">
        <v>11</v>
      </c>
      <c r="S30" s="1575">
        <f t="shared" si="12"/>
        <v>100</v>
      </c>
      <c r="T30" s="1574" t="s">
        <v>11</v>
      </c>
      <c r="U30" s="1575">
        <f t="shared" si="13"/>
        <v>100</v>
      </c>
      <c r="V30" s="1574" t="s">
        <v>11</v>
      </c>
      <c r="W30" s="1575">
        <f t="shared" si="14"/>
        <v>100</v>
      </c>
      <c r="X30" s="1568"/>
      <c r="Y30" s="3460"/>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60"/>
      <c r="Q31" s="1573">
        <f t="shared" si="11"/>
        <v>111</v>
      </c>
      <c r="R31" s="1574" t="s">
        <v>11</v>
      </c>
      <c r="S31" s="1575">
        <f t="shared" si="12"/>
        <v>100</v>
      </c>
      <c r="T31" s="1574" t="s">
        <v>11</v>
      </c>
      <c r="U31" s="1575">
        <f t="shared" si="13"/>
        <v>100</v>
      </c>
      <c r="V31" s="1574" t="s">
        <v>11</v>
      </c>
      <c r="W31" s="1575">
        <f t="shared" si="14"/>
        <v>100</v>
      </c>
      <c r="X31" s="1568"/>
      <c r="Y31" s="3460"/>
      <c r="Z31" s="1576">
        <f t="shared" si="15"/>
        <v>111</v>
      </c>
      <c r="AA31" s="1577">
        <f t="shared" si="3"/>
        <v>1</v>
      </c>
      <c r="AB31" s="1577">
        <f t="shared" si="4"/>
        <v>1</v>
      </c>
      <c r="AC31" s="1577">
        <f t="shared" si="5"/>
        <v>1</v>
      </c>
    </row>
    <row r="32" spans="1:29" ht="15">
      <c r="A32" s="2908" t="s">
        <v>2754</v>
      </c>
      <c r="B32" s="172" t="s">
        <v>724</v>
      </c>
      <c r="C32" s="878" t="s">
        <v>3299</v>
      </c>
      <c r="D32" s="597">
        <v>100</v>
      </c>
      <c r="E32" s="879" t="s">
        <v>3303</v>
      </c>
      <c r="F32" s="575">
        <f>SUMIF(100:100,E32,101:101)-SUMIF(100:100,C32,101:101)+100</f>
        <v>90</v>
      </c>
      <c r="G32" s="878" t="s">
        <v>3301</v>
      </c>
      <c r="H32" s="597">
        <f>SUMIF(100:100,G32,101:101)-SUMIF(100:100,C32,101:101)+100</f>
        <v>95</v>
      </c>
      <c r="I32" s="879" t="s">
        <v>3303</v>
      </c>
      <c r="J32" s="540">
        <f>SUMIF(100:100,I32,101:101)-SUMIF(100:100,C32,101:101)+100</f>
        <v>90</v>
      </c>
      <c r="K32" s="864">
        <v>5</v>
      </c>
      <c r="L32" s="2143"/>
      <c r="M32" s="2135"/>
      <c r="N32" s="2135"/>
      <c r="O32" s="2142"/>
      <c r="P32" s="3461" t="s">
        <v>550</v>
      </c>
      <c r="Q32" s="1573" t="str">
        <f t="shared" si="11"/>
        <v>建筑类型</v>
      </c>
      <c r="R32" s="1574" t="s">
        <v>11</v>
      </c>
      <c r="S32" s="1575">
        <f t="shared" si="12"/>
        <v>90</v>
      </c>
      <c r="T32" s="1574" t="s">
        <v>11</v>
      </c>
      <c r="U32" s="1575">
        <f t="shared" si="13"/>
        <v>95</v>
      </c>
      <c r="V32" s="1574" t="s">
        <v>11</v>
      </c>
      <c r="W32" s="1575">
        <f t="shared" si="14"/>
        <v>90</v>
      </c>
      <c r="X32" s="1568"/>
      <c r="Y32" s="3462" t="s">
        <v>550</v>
      </c>
      <c r="Z32" s="1576" t="str">
        <f t="shared" si="15"/>
        <v>建筑类型</v>
      </c>
      <c r="AA32" s="1577">
        <f t="shared" si="3"/>
        <v>1.1111111111111112</v>
      </c>
      <c r="AB32" s="1577">
        <f t="shared" si="4"/>
        <v>1.0526315789473684</v>
      </c>
      <c r="AC32" s="1577">
        <f t="shared" si="5"/>
        <v>1.1111111111111112</v>
      </c>
    </row>
    <row r="33" spans="1:29" s="1339" customFormat="1" ht="15">
      <c r="A33" s="603"/>
      <c r="B33" s="527" t="s">
        <v>725</v>
      </c>
      <c r="C33" s="880">
        <f>'数据-基础表'!B3</f>
        <v>56435</v>
      </c>
      <c r="D33" s="255">
        <v>100</v>
      </c>
      <c r="E33" s="534">
        <v>164258.01</v>
      </c>
      <c r="F33" s="863">
        <f>LOOKUP(E33,103:103,104:104)-LOOKUP(C33,103:103,104:104)+100</f>
        <v>100</v>
      </c>
      <c r="G33" s="533">
        <v>160000</v>
      </c>
      <c r="H33" s="255">
        <f>LOOKUP(G33,103:103,104:104)-LOOKUP(C33,103:103,104:104)+100</f>
        <v>100</v>
      </c>
      <c r="I33" s="534">
        <v>310000</v>
      </c>
      <c r="J33" s="255">
        <f>LOOKUP(I33,103:103,104:104)-LOOKUP(C33,103:103,104:104)+100</f>
        <v>100</v>
      </c>
      <c r="K33" s="865"/>
      <c r="L33" s="2141"/>
      <c r="M33" s="2172"/>
      <c r="N33" s="2172"/>
      <c r="O33" s="2144"/>
      <c r="P33" s="3462"/>
      <c r="Q33" s="1606" t="str">
        <f t="shared" si="11"/>
        <v>项目建筑规模</v>
      </c>
      <c r="R33" s="1578" t="s">
        <v>11</v>
      </c>
      <c r="S33" s="1579">
        <f t="shared" si="12"/>
        <v>100</v>
      </c>
      <c r="T33" s="1578" t="s">
        <v>11</v>
      </c>
      <c r="U33" s="1579">
        <f t="shared" si="13"/>
        <v>100</v>
      </c>
      <c r="V33" s="1578" t="s">
        <v>11</v>
      </c>
      <c r="W33" s="1579">
        <f t="shared" si="14"/>
        <v>100</v>
      </c>
      <c r="X33" s="1580"/>
      <c r="Y33" s="3462"/>
      <c r="Z33" s="1581" t="str">
        <f t="shared" si="15"/>
        <v>项目建筑规模</v>
      </c>
      <c r="AA33" s="1577">
        <f t="shared" si="3"/>
        <v>1</v>
      </c>
      <c r="AB33" s="1577">
        <f t="shared" si="4"/>
        <v>1</v>
      </c>
      <c r="AC33" s="1577">
        <f t="shared" si="5"/>
        <v>1</v>
      </c>
    </row>
    <row r="34" spans="1:29" ht="15">
      <c r="A34" s="594"/>
      <c r="B34" s="527" t="s">
        <v>726</v>
      </c>
      <c r="C34" s="881" t="s">
        <v>3316</v>
      </c>
      <c r="D34" s="540">
        <v>100</v>
      </c>
      <c r="E34" s="881" t="s">
        <v>3316</v>
      </c>
      <c r="F34" s="575">
        <f>SUMIF(105:105,E34,106:106)-SUMIF(105:105,C34,106:106)+100</f>
        <v>100</v>
      </c>
      <c r="G34" s="881" t="s">
        <v>3316</v>
      </c>
      <c r="H34" s="540">
        <f>SUMIF(105:105,G34,106:106)-SUMIF(105:105,C34,106:106)+100</f>
        <v>100</v>
      </c>
      <c r="I34" s="881" t="s">
        <v>3316</v>
      </c>
      <c r="J34" s="540">
        <f>SUMIF(105:105,I34,106:106)-SUMIF(105:105,C34,106:106)+100</f>
        <v>100</v>
      </c>
      <c r="K34" s="864">
        <v>2</v>
      </c>
      <c r="L34" s="2143"/>
      <c r="M34" s="2135"/>
      <c r="N34" s="2135"/>
      <c r="O34" s="2142"/>
      <c r="P34" s="3462"/>
      <c r="Q34" s="1573" t="str">
        <f t="shared" si="11"/>
        <v>建筑结构</v>
      </c>
      <c r="R34" s="1574" t="s">
        <v>11</v>
      </c>
      <c r="S34" s="1575">
        <f t="shared" si="12"/>
        <v>100</v>
      </c>
      <c r="T34" s="1574" t="s">
        <v>11</v>
      </c>
      <c r="U34" s="1575">
        <f t="shared" si="13"/>
        <v>100</v>
      </c>
      <c r="V34" s="1574" t="s">
        <v>11</v>
      </c>
      <c r="W34" s="1575">
        <f t="shared" si="14"/>
        <v>100</v>
      </c>
      <c r="X34" s="1568"/>
      <c r="Y34" s="3462"/>
      <c r="Z34" s="1576" t="str">
        <f t="shared" si="15"/>
        <v>建筑结构</v>
      </c>
      <c r="AA34" s="1577">
        <f t="shared" si="3"/>
        <v>1</v>
      </c>
      <c r="AB34" s="1577">
        <f t="shared" si="4"/>
        <v>1</v>
      </c>
      <c r="AC34" s="1577">
        <f t="shared" si="5"/>
        <v>1</v>
      </c>
    </row>
    <row r="35" spans="1:29" ht="15">
      <c r="A35" s="594"/>
      <c r="B35" s="527" t="s">
        <v>727</v>
      </c>
      <c r="C35" s="599" t="s">
        <v>3262</v>
      </c>
      <c r="D35" s="540">
        <v>100</v>
      </c>
      <c r="E35" s="599" t="s">
        <v>3262</v>
      </c>
      <c r="F35" s="575">
        <f>SUMIF(107:107,E35,108:108)-SUMIF(107:107,C35,108:108)+100</f>
        <v>100</v>
      </c>
      <c r="G35" s="599" t="s">
        <v>3262</v>
      </c>
      <c r="H35" s="540">
        <f>SUMIF(107:107,G35,108:108)-SUMIF(107:107,C35,108:108)+100</f>
        <v>100</v>
      </c>
      <c r="I35" s="599" t="s">
        <v>3262</v>
      </c>
      <c r="J35" s="540">
        <f>SUMIF(107:107,I35,108:108)-SUMIF(107:107,C35,108:108)+100</f>
        <v>100</v>
      </c>
      <c r="K35" s="864">
        <v>2</v>
      </c>
      <c r="L35" s="2143"/>
      <c r="M35" s="2135"/>
      <c r="N35" s="2135"/>
      <c r="O35" s="2142"/>
      <c r="P35" s="3462"/>
      <c r="Q35" s="1573" t="str">
        <f t="shared" si="11"/>
        <v>建筑品质</v>
      </c>
      <c r="R35" s="1574" t="s">
        <v>11</v>
      </c>
      <c r="S35" s="1575">
        <f t="shared" si="12"/>
        <v>100</v>
      </c>
      <c r="T35" s="1574" t="s">
        <v>11</v>
      </c>
      <c r="U35" s="1575">
        <f t="shared" si="13"/>
        <v>100</v>
      </c>
      <c r="V35" s="1574" t="s">
        <v>11</v>
      </c>
      <c r="W35" s="1575">
        <f t="shared" si="14"/>
        <v>100</v>
      </c>
      <c r="X35" s="1568"/>
      <c r="Y35" s="3462"/>
      <c r="Z35" s="1576" t="str">
        <f t="shared" si="15"/>
        <v>建筑品质</v>
      </c>
      <c r="AA35" s="1577">
        <f t="shared" si="3"/>
        <v>1</v>
      </c>
      <c r="AB35" s="1577">
        <f t="shared" si="4"/>
        <v>1</v>
      </c>
      <c r="AC35" s="1577">
        <f t="shared" si="5"/>
        <v>1</v>
      </c>
    </row>
    <row r="36" spans="1:29" ht="15">
      <c r="A36" s="594"/>
      <c r="B36" s="527" t="s">
        <v>728</v>
      </c>
      <c r="C36" s="599" t="s">
        <v>3306</v>
      </c>
      <c r="D36" s="540">
        <v>100</v>
      </c>
      <c r="E36" s="599" t="s">
        <v>3306</v>
      </c>
      <c r="F36" s="575">
        <f>SUMIF(109:109,E36,110:110)-SUMIF(109:109,C36,110:110)+100</f>
        <v>100</v>
      </c>
      <c r="G36" s="599" t="s">
        <v>3306</v>
      </c>
      <c r="H36" s="540">
        <f>SUMIF(109:109,G36,110:110)-SUMIF(109:109,C36,110:110)+100</f>
        <v>100</v>
      </c>
      <c r="I36" s="599" t="s">
        <v>3306</v>
      </c>
      <c r="J36" s="540">
        <f>SUMIF(109:109,I36,110:110)-SUMIF(109:109,C36,110:110)+100</f>
        <v>100</v>
      </c>
      <c r="K36" s="864">
        <v>2</v>
      </c>
      <c r="L36" s="2143"/>
      <c r="M36" s="2135"/>
      <c r="N36" s="2135"/>
      <c r="O36" s="2142"/>
      <c r="P36" s="3462"/>
      <c r="Q36" s="1573" t="str">
        <f t="shared" si="11"/>
        <v>公共部分装修</v>
      </c>
      <c r="R36" s="1574" t="s">
        <v>11</v>
      </c>
      <c r="S36" s="1575">
        <f t="shared" si="12"/>
        <v>100</v>
      </c>
      <c r="T36" s="1574" t="s">
        <v>11</v>
      </c>
      <c r="U36" s="1575">
        <f t="shared" si="13"/>
        <v>100</v>
      </c>
      <c r="V36" s="1574" t="s">
        <v>11</v>
      </c>
      <c r="W36" s="1575">
        <f t="shared" si="14"/>
        <v>100</v>
      </c>
      <c r="X36" s="1568"/>
      <c r="Y36" s="3462"/>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62"/>
      <c r="Q37" s="1151" t="str">
        <f t="shared" si="11"/>
        <v>成新度</v>
      </c>
      <c r="R37" s="1569" t="s">
        <v>11</v>
      </c>
      <c r="S37" s="1570">
        <f t="shared" si="12"/>
        <v>100</v>
      </c>
      <c r="T37" s="1569" t="s">
        <v>11</v>
      </c>
      <c r="U37" s="1570">
        <f t="shared" si="13"/>
        <v>100</v>
      </c>
      <c r="V37" s="1569" t="s">
        <v>11</v>
      </c>
      <c r="W37" s="1570">
        <f t="shared" si="14"/>
        <v>100</v>
      </c>
      <c r="X37" s="1571"/>
      <c r="Y37" s="3462"/>
      <c r="Z37" s="1150" t="str">
        <f t="shared" si="15"/>
        <v>成新度</v>
      </c>
      <c r="AA37" s="1572">
        <f t="shared" si="3"/>
        <v>1</v>
      </c>
      <c r="AB37" s="1572">
        <f t="shared" si="4"/>
        <v>1</v>
      </c>
      <c r="AC37" s="1572">
        <f t="shared" si="5"/>
        <v>1</v>
      </c>
    </row>
    <row r="38" spans="1:29" ht="15">
      <c r="A38" s="594"/>
      <c r="B38" s="527" t="s">
        <v>730</v>
      </c>
      <c r="C38" s="599" t="s">
        <v>3313</v>
      </c>
      <c r="D38" s="540">
        <v>100</v>
      </c>
      <c r="E38" s="599" t="s">
        <v>3313</v>
      </c>
      <c r="F38" s="575">
        <f>SUMIF(114:114,E38,115:115)-SUMIF(114:114,C38,115:115)+100</f>
        <v>100</v>
      </c>
      <c r="G38" s="599" t="s">
        <v>3313</v>
      </c>
      <c r="H38" s="540">
        <f>SUMIF(114:114,G38,115:115)-SUMIF(114:114,C38,115:115)+100</f>
        <v>100</v>
      </c>
      <c r="I38" s="599" t="s">
        <v>3313</v>
      </c>
      <c r="J38" s="540">
        <f>SUMIF(114:114,I38,115:115)-SUMIF(114:114,C38,115:115)+100</f>
        <v>100</v>
      </c>
      <c r="K38" s="864">
        <v>2</v>
      </c>
      <c r="L38" s="2143"/>
      <c r="M38" s="2135"/>
      <c r="N38" s="2135"/>
      <c r="O38" s="2142"/>
      <c r="P38" s="3462" t="s">
        <v>550</v>
      </c>
      <c r="Q38" s="1573" t="str">
        <f t="shared" si="11"/>
        <v>物业管理</v>
      </c>
      <c r="R38" s="1574" t="s">
        <v>11</v>
      </c>
      <c r="S38" s="1575">
        <f t="shared" si="12"/>
        <v>100</v>
      </c>
      <c r="T38" s="1574" t="s">
        <v>11</v>
      </c>
      <c r="U38" s="1575">
        <f t="shared" si="13"/>
        <v>100</v>
      </c>
      <c r="V38" s="1574" t="s">
        <v>11</v>
      </c>
      <c r="W38" s="1575">
        <f t="shared" si="14"/>
        <v>100</v>
      </c>
      <c r="X38" s="1568"/>
      <c r="Y38" s="3462" t="s">
        <v>550</v>
      </c>
      <c r="Z38" s="1576" t="str">
        <f t="shared" si="15"/>
        <v>物业管理</v>
      </c>
      <c r="AA38" s="1577">
        <f t="shared" si="3"/>
        <v>1</v>
      </c>
      <c r="AB38" s="1577">
        <f t="shared" si="4"/>
        <v>1</v>
      </c>
      <c r="AC38" s="1577">
        <f t="shared" si="5"/>
        <v>1</v>
      </c>
    </row>
    <row r="39" spans="1:29" ht="15">
      <c r="A39" s="594"/>
      <c r="B39" s="1896" t="s">
        <v>2563</v>
      </c>
      <c r="C39" s="599" t="s">
        <v>3283</v>
      </c>
      <c r="D39" s="540">
        <v>100</v>
      </c>
      <c r="E39" s="599" t="s">
        <v>3283</v>
      </c>
      <c r="F39" s="575">
        <f>SUMIF(116:116,E39,117:117)-SUMIF(116:116,C39,117:117)+100</f>
        <v>100</v>
      </c>
      <c r="G39" s="599" t="s">
        <v>3283</v>
      </c>
      <c r="H39" s="540">
        <f>SUMIF(116:116,G39,117:117)-SUMIF(116:116,C39,117:117)+100</f>
        <v>100</v>
      </c>
      <c r="I39" s="599" t="s">
        <v>3283</v>
      </c>
      <c r="J39" s="540">
        <f>SUMIF(116:116,I39,117:117)-SUMIF(116:116,C39,117:117)+100</f>
        <v>100</v>
      </c>
      <c r="K39" s="864">
        <v>2</v>
      </c>
      <c r="L39" s="2143"/>
      <c r="M39" s="2135"/>
      <c r="N39" s="2135"/>
      <c r="O39" s="2142"/>
      <c r="P39" s="3462"/>
      <c r="Q39" s="1573" t="str">
        <f t="shared" si="11"/>
        <v>市政基础设施</v>
      </c>
      <c r="R39" s="1574" t="s">
        <v>11</v>
      </c>
      <c r="S39" s="1575">
        <f t="shared" si="12"/>
        <v>100</v>
      </c>
      <c r="T39" s="1574" t="s">
        <v>11</v>
      </c>
      <c r="U39" s="1575">
        <f t="shared" si="13"/>
        <v>100</v>
      </c>
      <c r="V39" s="1574" t="s">
        <v>11</v>
      </c>
      <c r="W39" s="1575">
        <f t="shared" si="14"/>
        <v>100</v>
      </c>
      <c r="X39" s="1568"/>
      <c r="Y39" s="3462"/>
      <c r="Z39" s="1576" t="str">
        <f t="shared" si="15"/>
        <v>市政基础设施</v>
      </c>
      <c r="AA39" s="1577">
        <f t="shared" si="3"/>
        <v>1</v>
      </c>
      <c r="AB39" s="1577">
        <f t="shared" si="4"/>
        <v>1</v>
      </c>
      <c r="AC39" s="1577">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62"/>
      <c r="Q40" s="1573" t="str">
        <f t="shared" si="11"/>
        <v>房型</v>
      </c>
      <c r="R40" s="1574" t="s">
        <v>11</v>
      </c>
      <c r="S40" s="1575">
        <f t="shared" si="12"/>
        <v>100</v>
      </c>
      <c r="T40" s="1574" t="s">
        <v>11</v>
      </c>
      <c r="U40" s="1575">
        <f t="shared" si="13"/>
        <v>100</v>
      </c>
      <c r="V40" s="1574" t="s">
        <v>11</v>
      </c>
      <c r="W40" s="1575">
        <f t="shared" si="14"/>
        <v>100</v>
      </c>
      <c r="X40" s="1568"/>
      <c r="Y40" s="3462"/>
      <c r="Z40" s="1576" t="str">
        <f t="shared" si="15"/>
        <v>房型</v>
      </c>
      <c r="AA40" s="1577">
        <f t="shared" si="3"/>
        <v>1</v>
      </c>
      <c r="AB40" s="1577">
        <f t="shared" si="4"/>
        <v>1</v>
      </c>
      <c r="AC40" s="1577">
        <f t="shared" si="5"/>
        <v>1</v>
      </c>
    </row>
    <row r="41" spans="1:29" s="1339" customFormat="1" ht="28.5" hidden="1">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62"/>
      <c r="Q41" s="1606" t="str">
        <f t="shared" si="11"/>
        <v>单套/主力户型建筑面积</v>
      </c>
      <c r="R41" s="1578" t="s">
        <v>11</v>
      </c>
      <c r="S41" s="1579">
        <f t="shared" si="12"/>
        <v>100</v>
      </c>
      <c r="T41" s="1578" t="s">
        <v>11</v>
      </c>
      <c r="U41" s="1579">
        <f t="shared" si="13"/>
        <v>100</v>
      </c>
      <c r="V41" s="1578" t="s">
        <v>11</v>
      </c>
      <c r="W41" s="1579">
        <f t="shared" si="14"/>
        <v>100</v>
      </c>
      <c r="X41" s="1580"/>
      <c r="Y41" s="3462"/>
      <c r="Z41" s="1581" t="str">
        <f t="shared" si="15"/>
        <v>单套/主力户型建筑面积</v>
      </c>
      <c r="AA41" s="1577">
        <f t="shared" si="3"/>
        <v>1</v>
      </c>
      <c r="AB41" s="1577">
        <f t="shared" si="4"/>
        <v>1</v>
      </c>
      <c r="AC41" s="1577">
        <f t="shared" si="5"/>
        <v>1</v>
      </c>
    </row>
    <row r="42" spans="1:29" ht="15">
      <c r="A42" s="594"/>
      <c r="B42" s="527" t="s">
        <v>733</v>
      </c>
      <c r="C42" s="599" t="s">
        <v>3310</v>
      </c>
      <c r="D42" s="540">
        <v>100</v>
      </c>
      <c r="E42" s="874" t="s">
        <v>3310</v>
      </c>
      <c r="F42" s="575">
        <f>SUMIF(122:122,E42,123:123)-SUMIF(122:122,C42,123:123)+100</f>
        <v>100</v>
      </c>
      <c r="G42" s="599" t="s">
        <v>3310</v>
      </c>
      <c r="H42" s="540">
        <f>SUMIF(122:122,G42,123:123)-SUMIF(122:122,C42,123:123)+100</f>
        <v>100</v>
      </c>
      <c r="I42" s="874" t="s">
        <v>3310</v>
      </c>
      <c r="J42" s="540">
        <f>SUMIF(122:122,I42,123:123)-SUMIF(122:122,C42,123:123)+100</f>
        <v>100</v>
      </c>
      <c r="K42" s="864">
        <v>3</v>
      </c>
      <c r="L42" s="2143"/>
      <c r="M42" s="2135"/>
      <c r="N42" s="2135"/>
      <c r="O42" s="2142"/>
      <c r="P42" s="3462"/>
      <c r="Q42" s="1573" t="str">
        <f t="shared" si="11"/>
        <v>内部装修</v>
      </c>
      <c r="R42" s="1574" t="s">
        <v>11</v>
      </c>
      <c r="S42" s="1575">
        <f t="shared" si="12"/>
        <v>100</v>
      </c>
      <c r="T42" s="1574" t="s">
        <v>11</v>
      </c>
      <c r="U42" s="1575">
        <f t="shared" si="13"/>
        <v>100</v>
      </c>
      <c r="V42" s="1574" t="s">
        <v>11</v>
      </c>
      <c r="W42" s="1575">
        <f t="shared" si="14"/>
        <v>100</v>
      </c>
      <c r="X42" s="1568"/>
      <c r="Y42" s="3462"/>
      <c r="Z42" s="1576" t="str">
        <f t="shared" si="15"/>
        <v>内部装修</v>
      </c>
      <c r="AA42" s="1577">
        <f t="shared" si="3"/>
        <v>1</v>
      </c>
      <c r="AB42" s="1577">
        <f t="shared" si="4"/>
        <v>1</v>
      </c>
      <c r="AC42" s="1577">
        <f t="shared" si="5"/>
        <v>1</v>
      </c>
    </row>
    <row r="43" spans="1:29" ht="27.75" thickBot="1">
      <c r="A43" s="594"/>
      <c r="B43" s="527" t="s">
        <v>734</v>
      </c>
      <c r="C43" s="599" t="s">
        <v>3262</v>
      </c>
      <c r="D43" s="540">
        <v>100</v>
      </c>
      <c r="E43" s="599" t="s">
        <v>3262</v>
      </c>
      <c r="F43" s="575">
        <f>SUMIF(124:124,E43,125:125)-SUMIF(124:124,C43,125:125)+100</f>
        <v>100</v>
      </c>
      <c r="G43" s="599" t="s">
        <v>3262</v>
      </c>
      <c r="H43" s="540">
        <f>SUMIF(124:124,G43,125:125)-SUMIF(124:124,C43,125:125)+100</f>
        <v>100</v>
      </c>
      <c r="I43" s="599" t="s">
        <v>3262</v>
      </c>
      <c r="J43" s="540">
        <f>SUMIF(124:124,I43,125:125)-SUMIF(124:124,C43,125:125)+100</f>
        <v>100</v>
      </c>
      <c r="K43" s="864">
        <v>2</v>
      </c>
      <c r="L43" s="2143"/>
      <c r="M43" s="2135"/>
      <c r="N43" s="2135"/>
      <c r="O43" s="2142"/>
      <c r="P43" s="3462"/>
      <c r="Q43" s="1573" t="str">
        <f t="shared" si="11"/>
        <v>内部装修维护情况</v>
      </c>
      <c r="R43" s="1574" t="s">
        <v>11</v>
      </c>
      <c r="S43" s="1575">
        <f t="shared" si="12"/>
        <v>100</v>
      </c>
      <c r="T43" s="1574" t="s">
        <v>11</v>
      </c>
      <c r="U43" s="1575">
        <f t="shared" si="13"/>
        <v>100</v>
      </c>
      <c r="V43" s="1574" t="s">
        <v>11</v>
      </c>
      <c r="W43" s="1575">
        <f t="shared" si="14"/>
        <v>100</v>
      </c>
      <c r="X43" s="1568"/>
      <c r="Y43" s="346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62"/>
      <c r="Q44" s="1151">
        <f t="shared" si="11"/>
        <v>111</v>
      </c>
      <c r="R44" s="1569" t="s">
        <v>11</v>
      </c>
      <c r="S44" s="1570">
        <f t="shared" si="12"/>
        <v>100</v>
      </c>
      <c r="T44" s="1569" t="s">
        <v>11</v>
      </c>
      <c r="U44" s="1570">
        <f t="shared" si="13"/>
        <v>100</v>
      </c>
      <c r="V44" s="1569" t="s">
        <v>11</v>
      </c>
      <c r="W44" s="1570">
        <f t="shared" si="14"/>
        <v>100</v>
      </c>
      <c r="X44" s="1571"/>
      <c r="Y44" s="346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62"/>
      <c r="Q45" s="1573">
        <f t="shared" si="11"/>
        <v>111</v>
      </c>
      <c r="R45" s="1574" t="s">
        <v>11</v>
      </c>
      <c r="S45" s="1575">
        <f t="shared" si="12"/>
        <v>100</v>
      </c>
      <c r="T45" s="1574" t="s">
        <v>11</v>
      </c>
      <c r="U45" s="1575">
        <f t="shared" si="13"/>
        <v>100</v>
      </c>
      <c r="V45" s="1574" t="s">
        <v>11</v>
      </c>
      <c r="W45" s="1575">
        <f t="shared" si="14"/>
        <v>100</v>
      </c>
      <c r="X45" s="1568"/>
      <c r="Y45" s="3462"/>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47"/>
      <c r="Q46" s="1573">
        <f t="shared" si="11"/>
        <v>111</v>
      </c>
      <c r="R46" s="1574" t="s">
        <v>10</v>
      </c>
      <c r="S46" s="1575">
        <f t="shared" si="12"/>
        <v>100</v>
      </c>
      <c r="T46" s="1574" t="s">
        <v>10</v>
      </c>
      <c r="U46" s="1575">
        <f t="shared" si="13"/>
        <v>100</v>
      </c>
      <c r="V46" s="1574" t="s">
        <v>10</v>
      </c>
      <c r="W46" s="1575">
        <f t="shared" si="14"/>
        <v>100</v>
      </c>
      <c r="X46" s="1568"/>
      <c r="Y46" s="3547"/>
      <c r="Z46" s="1576">
        <f t="shared" si="15"/>
        <v>111</v>
      </c>
      <c r="AA46" s="1577">
        <f t="shared" si="3"/>
        <v>1</v>
      </c>
      <c r="AB46" s="1577">
        <f t="shared" si="4"/>
        <v>1</v>
      </c>
      <c r="AC46" s="1577">
        <f t="shared" si="5"/>
        <v>1</v>
      </c>
    </row>
    <row r="47" spans="1:29" ht="15">
      <c r="A47" s="607" t="s">
        <v>735</v>
      </c>
      <c r="B47" s="887"/>
      <c r="C47" s="2628" t="s">
        <v>9</v>
      </c>
      <c r="D47" s="2629"/>
      <c r="E47" s="2630">
        <v>11200</v>
      </c>
      <c r="F47" s="2631"/>
      <c r="G47" s="2632">
        <v>11800</v>
      </c>
      <c r="H47" s="2633"/>
      <c r="I47" s="2630">
        <v>11000</v>
      </c>
      <c r="J47" s="2633"/>
      <c r="K47" s="1607"/>
      <c r="L47" s="2145"/>
      <c r="M47" s="2146"/>
      <c r="N47" s="2135"/>
      <c r="O47" s="2146"/>
      <c r="P47" s="3457" t="str">
        <f>A47</f>
        <v>成交单价（元/平方米）</v>
      </c>
      <c r="Q47" s="3457"/>
      <c r="R47" s="3546">
        <f>E47</f>
        <v>11200</v>
      </c>
      <c r="S47" s="3546"/>
      <c r="T47" s="3546">
        <f>G47</f>
        <v>11800</v>
      </c>
      <c r="U47" s="3546"/>
      <c r="V47" s="3546">
        <f>I47</f>
        <v>11000</v>
      </c>
      <c r="W47" s="3546"/>
      <c r="X47" s="1560"/>
      <c r="Y47" s="1582"/>
      <c r="Z47" s="1560"/>
      <c r="AA47" s="1560"/>
      <c r="AB47" s="1560"/>
      <c r="AC47" s="1560"/>
    </row>
    <row r="48" spans="1:29" ht="15.75" thickBot="1">
      <c r="A48" s="615" t="s">
        <v>2759</v>
      </c>
      <c r="B48" s="888"/>
      <c r="C48" s="2634">
        <f>R49</f>
        <v>12874</v>
      </c>
      <c r="D48" s="2635"/>
      <c r="E48" s="2636">
        <f>R48</f>
        <v>13091</v>
      </c>
      <c r="F48" s="2636"/>
      <c r="G48" s="2634">
        <f>T48</f>
        <v>12675</v>
      </c>
      <c r="H48" s="2635"/>
      <c r="I48" s="2636">
        <f>V48</f>
        <v>12857</v>
      </c>
      <c r="J48" s="2635"/>
      <c r="K48" s="1608"/>
      <c r="L48" s="2145"/>
      <c r="M48" s="2146"/>
      <c r="N48" s="2146"/>
      <c r="O48" s="2146"/>
      <c r="P48" s="3457" t="str">
        <f>A48</f>
        <v>比较价格（元/平方米）</v>
      </c>
      <c r="Q48" s="3457"/>
      <c r="R48" s="3546">
        <f>IF(F1="售价",ROUND(PRODUCT(R47,AA7:AA46),0),ROUND(PRODUCT(R47,AA7:AA46),1))</f>
        <v>13091</v>
      </c>
      <c r="S48" s="3546"/>
      <c r="T48" s="3546">
        <f>IF(F1="售价",ROUND(PRODUCT(T47,AB7:AB46),0),ROUND(PRODUCT(T47,AB7:AB46),1))</f>
        <v>12675</v>
      </c>
      <c r="U48" s="3546"/>
      <c r="V48" s="3546">
        <f>IF(F1="售价",ROUND(PRODUCT(V47,AC7:AC46),0),ROUND(PRODUCT(V47,AC7:AC46),1))</f>
        <v>12857</v>
      </c>
      <c r="W48" s="3546"/>
      <c r="X48" s="1560"/>
      <c r="Y48" s="1560"/>
      <c r="Z48" s="1560"/>
      <c r="AA48" s="1560"/>
      <c r="AB48" s="1560"/>
      <c r="AC48" s="1560"/>
    </row>
    <row r="49" spans="1:29" ht="15.75" thickBot="1">
      <c r="A49" s="621" t="s">
        <v>2926</v>
      </c>
      <c r="B49" s="622"/>
      <c r="C49" s="2637">
        <f>R49</f>
        <v>12874</v>
      </c>
      <c r="D49" s="2637"/>
      <c r="E49" s="2637"/>
      <c r="F49" s="2637"/>
      <c r="G49" s="2637"/>
      <c r="H49" s="2637"/>
      <c r="I49" s="2637"/>
      <c r="J49" s="2637"/>
      <c r="K49" s="1609"/>
      <c r="L49" s="2145"/>
      <c r="M49" s="2146"/>
      <c r="N49" s="2146"/>
      <c r="O49" s="2146"/>
      <c r="P49" s="3478" t="str">
        <f>A49</f>
        <v>估价对象XX用房的比较价格（楼面单价，元/平方米）</v>
      </c>
      <c r="Q49" s="3479"/>
      <c r="R49" s="3545">
        <f>IF(F1="售价",ROUND(AVERAGE(R48:V48),0),ROUND(AVERAGE(R48:V48),1))</f>
        <v>12874</v>
      </c>
      <c r="S49" s="3545"/>
      <c r="T49" s="3545"/>
      <c r="U49" s="3545"/>
      <c r="V49" s="3545"/>
      <c r="W49" s="354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0.16883928571428575</v>
      </c>
      <c r="F52" s="627" t="str">
        <f>IF(OR(E52&gt;=0.3,E52&lt;=-0.3),"超过30%","")</f>
        <v/>
      </c>
      <c r="G52" s="626">
        <f>IF(G47&lt;G48,G48/G47-1,G47/G48-1)</f>
        <v>7.4152542372881269E-2</v>
      </c>
      <c r="H52" s="627" t="str">
        <f>IF(OR(G52&gt;=0.3,G52&lt;=-0.3),"超过30%","")</f>
        <v/>
      </c>
      <c r="I52" s="626">
        <f>IF(I47&lt;I48,I48/I47-1,I47/I48-1)</f>
        <v>0.16881818181818176</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3.2820512820512793E-2</v>
      </c>
      <c r="F53" s="627" t="str">
        <f>IF(OR(E53&gt;=0.2,E53&lt;=-0.2),"超过20%","")</f>
        <v/>
      </c>
      <c r="G53" s="626">
        <f>IF(G48&lt;I48,I48/G48-1,G48/I48-1)</f>
        <v>1.4358974358974264E-2</v>
      </c>
      <c r="H53" s="627" t="str">
        <f>IF(OR(G53&gt;=0.2,G53&lt;=-0.2),"超过20%","")</f>
        <v/>
      </c>
      <c r="I53" s="626">
        <f>IF(I48&lt;E48,E48/I48-1,I48/E48-1)</f>
        <v>1.8200202224469164E-2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5.3571428571428603E-2</v>
      </c>
      <c r="F54" s="627" t="str">
        <f>IF(OR(E54&gt;=0.3,E54&lt;=-0.3),"超过30%","")</f>
        <v/>
      </c>
      <c r="G54" s="626">
        <f>IF(G47&lt;I47,I47/G47-1,G47/I47-1)</f>
        <v>7.2727272727272751E-2</v>
      </c>
      <c r="H54" s="627" t="str">
        <f>IF(OR(G54&gt;=0.3,G54&lt;=-0.3),"超过30%","")</f>
        <v/>
      </c>
      <c r="I54" s="626">
        <f>IF(I47&lt;E47,E47/I47-1,I47/E47-1)</f>
        <v>1.8181818181818077E-2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3208" t="s">
        <v>3318</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C68+1</f>
        <v>1</v>
      </c>
      <c r="E68" s="541">
        <f t="shared" ref="E68:I68" si="19">D68+1</f>
        <v>2</v>
      </c>
      <c r="F68" s="541">
        <f t="shared" si="19"/>
        <v>3</v>
      </c>
      <c r="G68" s="541">
        <f t="shared" si="19"/>
        <v>4</v>
      </c>
      <c r="H68" s="541">
        <f t="shared" si="19"/>
        <v>5</v>
      </c>
      <c r="I68" s="541">
        <f t="shared" si="19"/>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2557</v>
      </c>
      <c r="C82" s="2599" t="s">
        <v>2558</v>
      </c>
      <c r="D82" s="2599" t="s">
        <v>2559</v>
      </c>
      <c r="E82" s="2599" t="s">
        <v>2560</v>
      </c>
      <c r="F82" s="2599" t="s">
        <v>2561</v>
      </c>
      <c r="G82" s="2599" t="s">
        <v>2562</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95</v>
      </c>
      <c r="E83" s="679">
        <f>D83-$K21</f>
        <v>90</v>
      </c>
      <c r="F83" s="679">
        <f>E83-$K21</f>
        <v>85</v>
      </c>
      <c r="G83" s="679">
        <f>F83-$K21</f>
        <v>80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746</v>
      </c>
      <c r="C100" s="3201" t="s">
        <v>3298</v>
      </c>
      <c r="D100" s="3201" t="s">
        <v>3300</v>
      </c>
      <c r="E100" s="3201" t="s">
        <v>3302</v>
      </c>
      <c r="F100" s="3201" t="s">
        <v>3304</v>
      </c>
      <c r="G100" s="3201" t="s">
        <v>3305</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0(含)-</v>
      </c>
      <c r="D102" s="708" t="str">
        <f t="shared" ref="D102:L102" si="24">D103&amp;"(含)"&amp;"-"&amp;E103</f>
        <v>(含)-</v>
      </c>
      <c r="E102" s="708" t="str">
        <f t="shared" si="24"/>
        <v>(含)-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3200" t="s">
        <v>3317</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3199" t="s">
        <v>3315</v>
      </c>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3200" t="s">
        <v>3307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3200" t="s">
        <v>3314</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3200" t="s">
        <v>3312</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3200" t="s">
        <v>3307</v>
      </c>
      <c r="D122" s="3200" t="s">
        <v>3308</v>
      </c>
      <c r="E122" s="3200" t="s">
        <v>3309</v>
      </c>
      <c r="F122" s="3199" t="s">
        <v>3311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3265</v>
      </c>
      <c r="D1" s="3127" t="s">
        <v>3324</v>
      </c>
      <c r="E1" s="2388" t="s">
        <v>2374</v>
      </c>
      <c r="F1" s="2389">
        <f ca="1">J53</f>
        <v>31.869999999999997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19983</v>
      </c>
      <c r="C2" s="2058"/>
      <c r="D2" s="2056"/>
      <c r="E2" s="2057"/>
      <c r="F2" s="2057"/>
      <c r="G2" s="1591"/>
      <c r="H2" s="2058"/>
      <c r="I2" s="2058"/>
      <c r="J2" s="2058"/>
      <c r="K2" s="2059"/>
      <c r="L2" s="2058"/>
      <c r="M2" s="2058"/>
    </row>
    <row r="3" spans="1:33" ht="18" customHeight="1" thickBot="1">
      <c r="A3" s="833" t="s">
        <v>1727</v>
      </c>
      <c r="B3" s="834">
        <f ca="1">IF(ISERROR(B2*10000/F43),0,ROUND(B2*10000/F43,0))</f>
        <v>17704</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1401</v>
      </c>
      <c r="D5" s="2497" t="s">
        <v>2460</v>
      </c>
      <c r="E5" s="2491"/>
      <c r="F5" s="2492"/>
      <c r="G5" s="1593"/>
      <c r="H5" s="781">
        <v>1</v>
      </c>
      <c r="I5" s="782" t="s">
        <v>2457</v>
      </c>
      <c r="J5" s="55">
        <f ca="1">J6+J10+J12</f>
        <v>0</v>
      </c>
      <c r="K5" s="2497" t="s">
        <v>2460</v>
      </c>
      <c r="L5" s="2491"/>
      <c r="M5" s="2492"/>
    </row>
    <row r="6" spans="1:33" ht="18" customHeight="1">
      <c r="A6" s="1831" t="s">
        <v>1824</v>
      </c>
      <c r="B6" s="3523" t="s">
        <v>2462</v>
      </c>
      <c r="C6" s="783">
        <f ca="1">ROUND(F6*F8*F7*(1-F9)/10000,0)</f>
        <v>1401</v>
      </c>
      <c r="D6" s="2498" t="s">
        <v>2461</v>
      </c>
      <c r="E6" s="784" t="s">
        <v>1738</v>
      </c>
      <c r="F6" s="785">
        <f ca="1">INDIRECT("'数据-取费表'!u"&amp;$G$1)</f>
        <v>4</v>
      </c>
      <c r="G6" s="1593"/>
      <c r="H6" s="2505" t="s">
        <v>2467</v>
      </c>
      <c r="I6" s="3523" t="s">
        <v>2462</v>
      </c>
      <c r="J6" s="783">
        <f ca="1">ROUND(M6*M8*M7*(1-M9)/10000,0)</f>
        <v>0</v>
      </c>
      <c r="K6" s="341" t="s">
        <v>1737</v>
      </c>
      <c r="L6" s="784" t="s">
        <v>1738</v>
      </c>
      <c r="M6" s="785">
        <f ca="1">INDIRECT("'数据-取费表'!z"&amp;$G$1)</f>
        <v>0</v>
      </c>
    </row>
    <row r="7" spans="1:33" ht="18" customHeight="1">
      <c r="A7" s="2501"/>
      <c r="B7" s="3524"/>
      <c r="C7" s="788"/>
      <c r="D7" s="789"/>
      <c r="E7" s="784" t="s">
        <v>1739</v>
      </c>
      <c r="F7" s="785">
        <f ca="1">IF(INDIRECT("'数据-取费表'!ah"&amp;$G$1)="",INDIRECT("'数据-取费表'!k"&amp;$G$1),INDIRECT("'数据-取费表'!ah"&amp;$G$1))</f>
        <v>11287</v>
      </c>
      <c r="G7" s="1593"/>
      <c r="H7" s="2490"/>
      <c r="I7" s="3524"/>
      <c r="J7" s="788"/>
      <c r="K7" s="789"/>
      <c r="L7" s="784" t="s">
        <v>1739</v>
      </c>
      <c r="M7" s="785">
        <f ca="1">F7</f>
        <v>11287</v>
      </c>
    </row>
    <row r="8" spans="1:33" ht="18" customHeight="1">
      <c r="A8" s="2494"/>
      <c r="B8" s="3525"/>
      <c r="C8" s="788"/>
      <c r="D8" s="789"/>
      <c r="E8" s="784" t="s">
        <v>1740</v>
      </c>
      <c r="F8" s="785">
        <f ca="1">INDIRECT("'数据-取费表'!ai"&amp;$G$1)</f>
        <v>365</v>
      </c>
      <c r="G8" s="1593"/>
      <c r="H8" s="2490"/>
      <c r="I8" s="3525"/>
      <c r="J8" s="788"/>
      <c r="K8" s="789"/>
      <c r="L8" s="784" t="s">
        <v>1740</v>
      </c>
      <c r="M8" s="785">
        <f ca="1">INDIRECT("'数据-取费表'!ai"&amp;$G$1)</f>
        <v>365</v>
      </c>
    </row>
    <row r="9" spans="1:33" ht="18" customHeight="1">
      <c r="A9" s="786"/>
      <c r="B9" s="3526"/>
      <c r="C9" s="788"/>
      <c r="D9" s="789"/>
      <c r="E9" s="784" t="s">
        <v>1741</v>
      </c>
      <c r="F9" s="794">
        <f ca="1">INDIRECT("'数据-取费表'!w"&amp;$G$1)</f>
        <v>0.15</v>
      </c>
      <c r="G9" s="1593"/>
      <c r="H9" s="2506"/>
      <c r="I9" s="3525"/>
      <c r="J9" s="788"/>
      <c r="K9" s="789"/>
      <c r="L9" s="795" t="s">
        <v>1741</v>
      </c>
      <c r="M9" s="796">
        <f ca="1">INDIRECT("'数据-取费表'!ab"&amp;$G$1)</f>
        <v>0</v>
      </c>
    </row>
    <row r="10" spans="1:33" ht="18" customHeight="1">
      <c r="A10" s="1831" t="s">
        <v>2465</v>
      </c>
      <c r="B10" s="2495" t="s">
        <v>2458</v>
      </c>
      <c r="C10" s="799">
        <f ca="1">ROUND(IF(F10="押一",C6/12*F11,IF(F10="押二",C6/12*2*F11,IF(F10="押三",C6/12*3*F11,C11*F11))),0)</f>
        <v>0</v>
      </c>
      <c r="D10" s="2502" t="s">
        <v>2967</v>
      </c>
      <c r="E10" s="2499" t="s">
        <v>2463</v>
      </c>
      <c r="F10" s="2622"/>
      <c r="G10" s="1593"/>
      <c r="H10" s="2562" t="s">
        <v>2468</v>
      </c>
      <c r="I10" s="2567" t="s">
        <v>2458</v>
      </c>
      <c r="J10" s="783">
        <f ca="1">ROUND(IF(M10="押一",J6/12*M11,IF(M10="押二",J6/12*2*M11,IF(M10="押三",J6/12*3*M11,J11*M11))),0)</f>
        <v>0</v>
      </c>
      <c r="K10" s="2502" t="s">
        <v>2967</v>
      </c>
      <c r="L10" s="2499" t="s">
        <v>2463</v>
      </c>
      <c r="M10" s="2622"/>
    </row>
    <row r="11" spans="1:33" ht="18" customHeight="1">
      <c r="A11" s="790"/>
      <c r="B11" s="2496" t="s">
        <v>2572</v>
      </c>
      <c r="C11" s="2500"/>
      <c r="D11" s="789"/>
      <c r="E11" s="2499" t="s">
        <v>2464</v>
      </c>
      <c r="F11" s="796">
        <f ca="1">'数据-取费表'!B39</f>
        <v>1.4999999999999999E-2</v>
      </c>
      <c r="G11" s="1593"/>
      <c r="H11" s="2563"/>
      <c r="I11" s="2496" t="s">
        <v>2572</v>
      </c>
      <c r="J11" s="2500"/>
      <c r="K11" s="2564"/>
      <c r="L11" s="2499" t="s">
        <v>2464</v>
      </c>
      <c r="M11" s="2493">
        <f ca="1">'数据-取费表'!B39</f>
        <v>1.4999999999999999E-2</v>
      </c>
    </row>
    <row r="12" spans="1:33" ht="18" customHeight="1" thickBot="1">
      <c r="A12" s="2538" t="s">
        <v>2466</v>
      </c>
      <c r="B12" s="2539" t="s">
        <v>2459</v>
      </c>
      <c r="C12" s="2540"/>
      <c r="D12" s="2541"/>
      <c r="E12" s="2542"/>
      <c r="F12" s="2543"/>
      <c r="G12" s="1593"/>
      <c r="H12" s="2552" t="s">
        <v>2469</v>
      </c>
      <c r="I12" s="2565" t="s">
        <v>2459</v>
      </c>
      <c r="J12" s="2566"/>
      <c r="K12" s="2541"/>
      <c r="L12" s="2542"/>
      <c r="M12" s="2555"/>
    </row>
    <row r="13" spans="1:33" ht="18" customHeight="1" thickTop="1">
      <c r="A13" s="1830">
        <v>2</v>
      </c>
      <c r="B13" s="1828" t="s">
        <v>1742</v>
      </c>
      <c r="C13" s="792">
        <f ca="1">ROUND(C29*F13,0)</f>
        <v>5981</v>
      </c>
      <c r="D13" s="1835" t="s">
        <v>2298</v>
      </c>
      <c r="E13" s="1835" t="s">
        <v>1744</v>
      </c>
      <c r="F13" s="2537">
        <f ca="1">INDIRECT("'数据-取费表'!y"&amp;$G$1)</f>
        <v>1</v>
      </c>
      <c r="G13" s="1593"/>
      <c r="H13" s="1830">
        <v>2</v>
      </c>
      <c r="I13" s="1828" t="s">
        <v>1742</v>
      </c>
      <c r="J13" s="1820">
        <f ca="1">ROUND(J14*J15,0)</f>
        <v>0</v>
      </c>
      <c r="K13" s="1822" t="s">
        <v>1743</v>
      </c>
      <c r="L13" s="2553"/>
      <c r="M13" s="2554"/>
    </row>
    <row r="14" spans="1:33" ht="18" customHeight="1">
      <c r="A14" s="1649" t="s">
        <v>1884</v>
      </c>
      <c r="B14" s="784" t="s">
        <v>645</v>
      </c>
      <c r="C14" s="804">
        <f ca="1">INDIRECT("'数据-取费表'!m"&amp;$G$1)+INDIRECT("'数据-取费表'!t"&amp;$G$1)</f>
        <v>3386</v>
      </c>
      <c r="D14" s="1980" t="s">
        <v>1745</v>
      </c>
      <c r="E14" s="1981"/>
      <c r="F14" s="805"/>
      <c r="G14" s="1593"/>
      <c r="H14" s="1650" t="s">
        <v>1830</v>
      </c>
      <c r="I14" s="2232" t="s">
        <v>2825</v>
      </c>
      <c r="J14" s="53">
        <f ca="1">C29</f>
        <v>5981</v>
      </c>
      <c r="K14" s="26"/>
      <c r="L14" s="801"/>
      <c r="M14" s="802"/>
    </row>
    <row r="15" spans="1:33" s="2065" customFormat="1" ht="18" customHeight="1" thickBot="1">
      <c r="A15" s="1649" t="s">
        <v>1885</v>
      </c>
      <c r="B15" s="784" t="s">
        <v>647</v>
      </c>
      <c r="C15" s="53">
        <f ca="1">ROUND(C14*F15,0)</f>
        <v>169</v>
      </c>
      <c r="D15" s="806" t="s">
        <v>1746</v>
      </c>
      <c r="E15" s="806" t="s">
        <v>1747</v>
      </c>
      <c r="F15" s="807">
        <f>'数据-取费表'!B33</f>
        <v>0.05</v>
      </c>
      <c r="G15" s="1594"/>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603</v>
      </c>
      <c r="K16" s="1822" t="s">
        <v>1750</v>
      </c>
      <c r="L16" s="2487"/>
      <c r="M16" s="2492"/>
    </row>
    <row r="17" spans="1:33" s="2065" customFormat="1" ht="18" customHeight="1">
      <c r="A17" s="1649" t="s">
        <v>1887</v>
      </c>
      <c r="B17" s="784" t="s">
        <v>653</v>
      </c>
      <c r="C17" s="53">
        <f ca="1">ROUND(F17*(F43+INDIRECT("'数据-取费表'!S"&amp;$G$1))/10000,0)</f>
        <v>226</v>
      </c>
      <c r="D17" s="784" t="s">
        <v>1751</v>
      </c>
      <c r="E17" s="784" t="s">
        <v>1752</v>
      </c>
      <c r="F17" s="56">
        <f>'数据-取费表'!B35</f>
        <v>200</v>
      </c>
      <c r="G17" s="1594"/>
      <c r="H17" s="1650" t="s">
        <v>1830</v>
      </c>
      <c r="I17" s="784" t="s">
        <v>656</v>
      </c>
      <c r="J17" s="53">
        <f ca="1">ROUND(IF(项目基本情况!B11="自然人",J5*M17,J18+J19+J20),0)</f>
        <v>513</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51</v>
      </c>
      <c r="D18" s="784" t="s">
        <v>1746</v>
      </c>
      <c r="E18" s="784" t="s">
        <v>1747</v>
      </c>
      <c r="F18" s="809">
        <f>'数据-取费表'!B36</f>
        <v>1.4999999999999999E-2</v>
      </c>
      <c r="G18" s="1594"/>
      <c r="H18" s="1649"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3832</v>
      </c>
      <c r="D19" s="261" t="s">
        <v>1757</v>
      </c>
      <c r="E19" s="1983"/>
      <c r="F19" s="56"/>
      <c r="G19" s="1593"/>
      <c r="H19" s="1649" t="s">
        <v>1885</v>
      </c>
      <c r="I19" s="784" t="s">
        <v>1758</v>
      </c>
      <c r="J19" s="53">
        <f ca="1">IF(K19="按租金收入计税",ROUND(J5*M19,1),ROUND(C29*F33*0.7,1))</f>
        <v>502.4</v>
      </c>
      <c r="K19" s="811" t="s">
        <v>665</v>
      </c>
      <c r="L19" s="784" t="s">
        <v>1747</v>
      </c>
      <c r="M19" s="809">
        <f>IF(K19="按租金收入计税",'数据-取费表'!B51,'数据-取费表'!B50)</f>
        <v>1.2E-2</v>
      </c>
    </row>
    <row r="20" spans="1:33" s="2065" customFormat="1" ht="18" customHeight="1">
      <c r="A20" s="1650" t="s">
        <v>1889</v>
      </c>
      <c r="B20" s="784" t="s">
        <v>666</v>
      </c>
      <c r="C20" s="53">
        <f ca="1">ROUND(C19*F20,0)</f>
        <v>115</v>
      </c>
      <c r="D20" s="812" t="s">
        <v>1759</v>
      </c>
      <c r="E20" s="784" t="s">
        <v>1747</v>
      </c>
      <c r="F20" s="809">
        <f>'数据-取费表'!B37</f>
        <v>0.03</v>
      </c>
      <c r="G20" s="1594"/>
      <c r="H20" s="1652" t="s">
        <v>1880</v>
      </c>
      <c r="I20" s="341" t="s">
        <v>1760</v>
      </c>
      <c r="J20" s="54">
        <f ca="1">ROUND(M20*M21/10000,0)</f>
        <v>11</v>
      </c>
      <c r="K20" s="814" t="s">
        <v>1761</v>
      </c>
      <c r="L20" s="784" t="s">
        <v>1762</v>
      </c>
      <c r="M20" s="640">
        <f>'数据-取费表'!B52</f>
        <v>16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2299</v>
      </c>
      <c r="E21" s="784" t="s">
        <v>1765</v>
      </c>
      <c r="F21" s="809">
        <f>'数据-取费表'!B38</f>
        <v>0.03</v>
      </c>
      <c r="G21" s="1594"/>
      <c r="H21" s="2507"/>
      <c r="I21" s="793"/>
      <c r="J21" s="69"/>
      <c r="K21" s="816"/>
      <c r="L21" s="784" t="s">
        <v>1766</v>
      </c>
      <c r="M21" s="785">
        <f ca="1">INDIRECT("'数据-取费表'!r"&amp;$G$1)</f>
        <v>7054.4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73"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90</v>
      </c>
      <c r="K22" s="2485" t="s">
        <v>1769</v>
      </c>
      <c r="L22" s="784" t="s">
        <v>1747</v>
      </c>
      <c r="M22" s="817">
        <f ca="1">INDIRECT("'数据-取费表'!Ak"&amp;$G$1)</f>
        <v>1.4999999999999999E-2</v>
      </c>
    </row>
    <row r="23" spans="1:33" s="2065" customFormat="1" ht="18" customHeight="1">
      <c r="A23" s="1649" t="s">
        <v>1831</v>
      </c>
      <c r="B23" s="784" t="s">
        <v>2534</v>
      </c>
      <c r="C23" s="53">
        <f ca="1">ROUND(IF('数据-取费表'!B22&lt;=1,(C19+C20)*F24*F23/2,(C19+C20)*(POWER((1+F24),F23/2)-1)),0)</f>
        <v>285</v>
      </c>
      <c r="D23" s="2572" t="str">
        <f>IF(F23&lt;=1,"(建造成本+管理费用)×利率×(建设周期÷2)","(建造成本+管理费用)×((1+利率)^(建设周期÷2)-1)")</f>
        <v>(建造成本+管理费用)×((1+利率)^(建设周期÷2)-1)</v>
      </c>
      <c r="E23" s="784" t="s">
        <v>1770</v>
      </c>
      <c r="F23" s="640">
        <f>'数据-取费表'!B20</f>
        <v>3</v>
      </c>
      <c r="G23" s="1594"/>
      <c r="H23" s="1650" t="s">
        <v>1890</v>
      </c>
      <c r="I23" s="784" t="s">
        <v>679</v>
      </c>
      <c r="J23" s="53">
        <f ca="1">ROUND(J13*M23,0)</f>
        <v>0</v>
      </c>
      <c r="K23" s="2485" t="s">
        <v>1771</v>
      </c>
      <c r="L23" s="784" t="s">
        <v>1747</v>
      </c>
      <c r="M23" s="818">
        <f ca="1">INDIRECT("'数据-取费表'!Al"&amp;$G$1)</f>
        <v>2.5000000000000001E-3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2.2000000000000001E-3</v>
      </c>
      <c r="D24" s="2572" t="str">
        <f>IF(F23&lt;=1,"销售费用×利率×(建设周期÷2)","销售费用×((1+利率)^(建设周期÷2)-1)")</f>
        <v>销售费用×((1+利率)^(建设周期÷2)-1)</v>
      </c>
      <c r="E24" s="784" t="s">
        <v>1773</v>
      </c>
      <c r="F24" s="819">
        <f ca="1">'数据-取费表'!B40</f>
        <v>4.7500000000000001E-2</v>
      </c>
      <c r="G24" s="1594"/>
      <c r="H24" s="2552" t="s">
        <v>1891</v>
      </c>
      <c r="I24" s="2547" t="s">
        <v>666</v>
      </c>
      <c r="J24" s="2545">
        <f ca="1">ROUND(J5*M24,0)</f>
        <v>0</v>
      </c>
      <c r="K24" s="2546" t="s">
        <v>1774</v>
      </c>
      <c r="L24" s="2547" t="s">
        <v>1747</v>
      </c>
      <c r="M24" s="2543">
        <f ca="1">INDIRECT("'数据-取费表'!Am"&amp;$G$1)</f>
        <v>0.03</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3011" t="s">
        <v>2821</v>
      </c>
      <c r="J25" s="792">
        <f ca="1">J5-J16</f>
        <v>-603</v>
      </c>
      <c r="K25" s="2549" t="s">
        <v>1777</v>
      </c>
      <c r="L25" s="2550"/>
      <c r="M25" s="2551"/>
    </row>
    <row r="26" spans="1:33" ht="18" customHeight="1">
      <c r="A26" s="1649" t="s">
        <v>1831</v>
      </c>
      <c r="B26" s="784" t="s">
        <v>2438</v>
      </c>
      <c r="C26" s="53">
        <f ca="1">ROUND((C19+C20)*F26,0)</f>
        <v>1184</v>
      </c>
      <c r="D26" s="812" t="s">
        <v>1778</v>
      </c>
      <c r="E26" s="795" t="s">
        <v>1779</v>
      </c>
      <c r="F26" s="794">
        <f ca="1">INDIRECT("'数据-取费表'!q"&amp;$G$1)</f>
        <v>0.3</v>
      </c>
      <c r="G26" s="1593"/>
      <c r="H26" s="2503" t="s">
        <v>1780</v>
      </c>
      <c r="I26" s="2233" t="s">
        <v>2826</v>
      </c>
      <c r="J26" s="783">
        <f ca="1">IF(J5&lt;&gt;0,ROUND(J25*(1-((1+M28)/(1+M26))^M27)/(M26-M28),0),0)</f>
        <v>0</v>
      </c>
      <c r="K26" s="814" t="s">
        <v>1781</v>
      </c>
      <c r="L26" s="784" t="s">
        <v>2419</v>
      </c>
      <c r="M26" s="794">
        <f ca="1">INDIRECT("'数据-取费表'!I"&amp;$G$1)</f>
        <v>0.06</v>
      </c>
    </row>
    <row r="27" spans="1:33" ht="18" customHeight="1">
      <c r="A27" s="1649" t="s">
        <v>1832</v>
      </c>
      <c r="B27" s="784" t="s">
        <v>686</v>
      </c>
      <c r="C27" s="53">
        <f ca="1">ROUND(F21*F26,4)</f>
        <v>8.9999999999999993E-3</v>
      </c>
      <c r="D27" s="812" t="s">
        <v>1782</v>
      </c>
      <c r="E27" s="806"/>
      <c r="F27" s="807"/>
      <c r="G27" s="1593"/>
      <c r="H27" s="2504"/>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5.33E-2</v>
      </c>
      <c r="D28" s="812" t="s">
        <v>2300</v>
      </c>
      <c r="E28" s="784" t="s">
        <v>1785</v>
      </c>
      <c r="F28" s="809">
        <f>'数据-取费表'!B41</f>
        <v>5.6000000000000001E-2</v>
      </c>
      <c r="G28" s="1594"/>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5981</v>
      </c>
      <c r="D29" s="2546"/>
      <c r="E29" s="2547"/>
      <c r="F29" s="2548"/>
      <c r="G29" s="1594"/>
      <c r="H29" s="823" t="s">
        <v>1787</v>
      </c>
      <c r="I29" s="824" t="s">
        <v>1788</v>
      </c>
      <c r="J29" s="825">
        <f ca="1">ROUND(J26/(1+F40)^F41,0)</f>
        <v>0</v>
      </c>
      <c r="K29" s="826" t="s">
        <v>1789</v>
      </c>
      <c r="L29" s="827"/>
      <c r="M29" s="828">
        <f ca="1">INDIRECT("'数据-取费表'!k"&amp;$G$1)</f>
        <v>11287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401</v>
      </c>
      <c r="D30" s="1822" t="s">
        <v>1791</v>
      </c>
      <c r="E30" s="2487"/>
      <c r="F30" s="2492"/>
      <c r="G30" s="2063"/>
      <c r="H30" s="2066"/>
      <c r="I30" s="2067"/>
      <c r="J30" s="2068"/>
      <c r="K30" s="2069"/>
      <c r="L30" s="2070"/>
      <c r="M30" s="2071"/>
    </row>
    <row r="31" spans="1:33" ht="18" customHeight="1">
      <c r="A31" s="1650" t="s">
        <v>1830</v>
      </c>
      <c r="B31" s="784" t="s">
        <v>656</v>
      </c>
      <c r="C31" s="53">
        <f ca="1">ROUND(IF(项目基本情况!B11="自然人",C5*F31,C32+C33+C34),1)</f>
        <v>254.1</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74.7</v>
      </c>
      <c r="D32" s="1978" t="s">
        <v>1795</v>
      </c>
      <c r="E32" s="784" t="s">
        <v>1796</v>
      </c>
      <c r="F32" s="809">
        <f>'数据-取费表'!B41</f>
        <v>5.6000000000000001E-2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168.1</v>
      </c>
      <c r="D33" s="811" t="s">
        <v>3325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11.3</v>
      </c>
      <c r="D34" s="814" t="s">
        <v>1799</v>
      </c>
      <c r="E34" s="784" t="s">
        <v>1800</v>
      </c>
      <c r="F34" s="640">
        <f>'数据-取费表'!B52</f>
        <v>16</v>
      </c>
      <c r="G34" s="2063"/>
      <c r="H34" s="2066"/>
      <c r="I34" s="835" t="s">
        <v>1813</v>
      </c>
      <c r="J34" s="836"/>
      <c r="K34" s="2081"/>
      <c r="L34" s="2080"/>
      <c r="M34" s="2080"/>
    </row>
    <row r="35" spans="1:18" ht="18" customHeight="1">
      <c r="A35" s="815"/>
      <c r="B35" s="793"/>
      <c r="C35" s="69"/>
      <c r="D35" s="816"/>
      <c r="E35" s="784" t="s">
        <v>1801</v>
      </c>
      <c r="F35" s="785">
        <f ca="1">INDIRECT("'数据-取费表'!r"&amp;$G$1)</f>
        <v>7054.4</v>
      </c>
      <c r="G35" s="2063"/>
      <c r="H35" s="2066"/>
      <c r="I35" s="837" t="s">
        <v>1814</v>
      </c>
      <c r="J35" s="838">
        <f ca="1">ROUND(C13*J36,0)</f>
        <v>508</v>
      </c>
      <c r="K35" s="2079"/>
      <c r="L35" s="2078"/>
      <c r="M35" s="2078"/>
    </row>
    <row r="36" spans="1:18" ht="18" customHeight="1">
      <c r="A36" s="1650" t="s">
        <v>1889</v>
      </c>
      <c r="B36" s="784" t="s">
        <v>1802</v>
      </c>
      <c r="C36" s="53">
        <f ca="1">ROUND(C29*F36,1)</f>
        <v>89.7</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15</v>
      </c>
      <c r="D37" s="1978" t="s">
        <v>1804</v>
      </c>
      <c r="E37" s="784" t="s">
        <v>1796</v>
      </c>
      <c r="F37" s="818">
        <f ca="1">INDIRECT("'数据-取费表'!Al"&amp;$G$1)</f>
        <v>2.5000000000000001E-3</v>
      </c>
      <c r="G37" s="2063"/>
      <c r="H37" s="2078"/>
      <c r="I37" s="841" t="s">
        <v>1816</v>
      </c>
      <c r="J37" s="842"/>
      <c r="K37" s="2083"/>
      <c r="L37" s="2078"/>
      <c r="M37" s="2078"/>
    </row>
    <row r="38" spans="1:18" ht="18" customHeight="1" thickBot="1">
      <c r="A38" s="2552" t="s">
        <v>1891</v>
      </c>
      <c r="B38" s="2547" t="s">
        <v>666</v>
      </c>
      <c r="C38" s="2545">
        <f ca="1">ROUND(C5*F38,1)</f>
        <v>42</v>
      </c>
      <c r="D38" s="2546" t="s">
        <v>1805</v>
      </c>
      <c r="E38" s="2547" t="s">
        <v>1796</v>
      </c>
      <c r="F38" s="2543">
        <f ca="1">INDIRECT("'数据-取费表'!Am"&amp;$G$1)</f>
        <v>0.03</v>
      </c>
      <c r="G38" s="2063"/>
      <c r="H38" s="2078"/>
      <c r="I38" s="843" t="s">
        <v>1817</v>
      </c>
      <c r="J38" s="844"/>
      <c r="K38" s="2084"/>
      <c r="L38" s="2078"/>
      <c r="M38" s="2078"/>
    </row>
    <row r="39" spans="1:18" ht="24.6" customHeight="1" thickTop="1">
      <c r="A39" s="1830" t="s">
        <v>1894</v>
      </c>
      <c r="B39" s="3011" t="s">
        <v>2821</v>
      </c>
      <c r="C39" s="792">
        <f ca="1">C5-C30</f>
        <v>1000</v>
      </c>
      <c r="D39" s="2549" t="s">
        <v>1806</v>
      </c>
      <c r="E39" s="2550"/>
      <c r="F39" s="2551"/>
      <c r="G39" s="2063"/>
      <c r="H39" s="2078"/>
      <c r="I39" s="837" t="s">
        <v>1818</v>
      </c>
      <c r="J39" s="845">
        <f ca="1">ROUND(J35/C39,3)</f>
        <v>0.50800000000000001</v>
      </c>
      <c r="K39" s="2084"/>
      <c r="L39" s="2078"/>
      <c r="M39" s="2078"/>
    </row>
    <row r="40" spans="1:18" ht="18" customHeight="1">
      <c r="A40" s="781" t="s">
        <v>1895</v>
      </c>
      <c r="B40" s="2233" t="s">
        <v>2302</v>
      </c>
      <c r="C40" s="783">
        <f ca="1">ROUND(C39*(1-((1+F42)/(1+F40))^F41)/(F40-F42),0)</f>
        <v>19983</v>
      </c>
      <c r="D40" s="814" t="s">
        <v>1807</v>
      </c>
      <c r="E40" s="784" t="s">
        <v>2419</v>
      </c>
      <c r="F40" s="794">
        <f ca="1">INDIRECT("'数据-取费表'!I"&amp;$G$1)</f>
        <v>0.06</v>
      </c>
      <c r="G40" s="2063"/>
      <c r="H40" s="2063"/>
      <c r="I40" s="837" t="s">
        <v>1819</v>
      </c>
      <c r="J40" s="845">
        <f ca="1">1-J39</f>
        <v>0.49199999999999999</v>
      </c>
      <c r="K40" s="2084"/>
      <c r="L40" s="2063"/>
      <c r="M40" s="2063"/>
    </row>
    <row r="41" spans="1:18" ht="18" customHeight="1">
      <c r="A41" s="786"/>
      <c r="B41" s="787"/>
      <c r="C41" s="788"/>
      <c r="D41" s="821" t="s">
        <v>1808</v>
      </c>
      <c r="E41" s="784" t="s">
        <v>2957</v>
      </c>
      <c r="F41" s="822">
        <f ca="1">IF(INDIRECT("'数据-取费表'!af"&amp;$G$1)=0,INDIRECT("'数据-取费表'!ae"&amp;$G$1),INDIRECT("'数据-取费表'!af"&amp;$G$1))</f>
        <v>31.869999999999997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0.29899999999999999</v>
      </c>
      <c r="K42" s="2083"/>
      <c r="L42" s="1989"/>
      <c r="M42" s="1989"/>
    </row>
    <row r="43" spans="1:18" ht="18" customHeight="1" thickBot="1">
      <c r="A43" s="823" t="s">
        <v>1787</v>
      </c>
      <c r="B43" s="824" t="s">
        <v>1810</v>
      </c>
      <c r="C43" s="825">
        <f ca="1">ROUND(C40*10000/F43,0)</f>
        <v>17704</v>
      </c>
      <c r="D43" s="826" t="s">
        <v>1811</v>
      </c>
      <c r="E43" s="827" t="s">
        <v>1812</v>
      </c>
      <c r="F43" s="828">
        <f ca="1">INDIRECT("'数据-取费表'!k"&amp;$G$1)</f>
        <v>11287</v>
      </c>
      <c r="G43" s="2063"/>
      <c r="H43" s="1989"/>
      <c r="I43" s="847" t="s">
        <v>1822</v>
      </c>
      <c r="J43" s="848">
        <f ca="1">1-J42</f>
        <v>0.70100000000000007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-21614</v>
      </c>
      <c r="D46" s="2086"/>
      <c r="E46" s="2086"/>
      <c r="F46" s="2086"/>
      <c r="I46" s="2379" t="s">
        <v>2343</v>
      </c>
      <c r="J46" s="2380"/>
      <c r="K46" s="2381"/>
      <c r="L46" s="3162">
        <f>IF(OR(M47="住宅",D1="土地（套用方法）"),0,IF(L48&gt;J51,L60,J60))</f>
        <v>0</v>
      </c>
      <c r="O46" s="2395" t="s">
        <v>2410</v>
      </c>
      <c r="P46" s="1593"/>
      <c r="Q46" s="1605"/>
      <c r="R46" s="1593"/>
    </row>
    <row r="47" spans="1:18" s="2060" customFormat="1" ht="18" customHeight="1" thickBot="1">
      <c r="A47" s="2373">
        <v>1</v>
      </c>
      <c r="B47" s="2374" t="s">
        <v>635</v>
      </c>
      <c r="C47" s="2575">
        <f ca="1">C48+C52+C54</f>
        <v>0</v>
      </c>
      <c r="D47" s="2086"/>
      <c r="E47" s="2086"/>
      <c r="F47" s="2086"/>
      <c r="I47" s="3152" t="s">
        <v>2344</v>
      </c>
      <c r="J47" s="2382" t="s">
        <v>3316</v>
      </c>
      <c r="K47" s="3159" t="s">
        <v>2349</v>
      </c>
      <c r="L47" s="3163">
        <f ca="1">INDIRECT("'数据-取费表'!d"&amp;$G$1)</f>
        <v>40</v>
      </c>
      <c r="M47" s="1605" t="str">
        <f>IF(ISNUMBER(FIND("住宅",C1)),"住宅","非住宅")</f>
        <v>非住宅</v>
      </c>
      <c r="O47" s="2396" t="s">
        <v>2375</v>
      </c>
      <c r="P47" s="2397" t="s">
        <v>2376</v>
      </c>
      <c r="Q47" s="2398" t="s">
        <v>2377</v>
      </c>
      <c r="R47" s="2397" t="s">
        <v>2378</v>
      </c>
    </row>
    <row r="48" spans="1:18" s="2060" customFormat="1" ht="18" customHeight="1" thickBot="1">
      <c r="A48" s="2643" t="s">
        <v>2536</v>
      </c>
      <c r="B48" s="2644" t="s">
        <v>2537</v>
      </c>
      <c r="C48" s="2375">
        <f ca="1">ROUND(F48*F50*F49*(1-F51)/10000,0)</f>
        <v>0</v>
      </c>
      <c r="D48" s="2376" t="s">
        <v>636</v>
      </c>
      <c r="E48" s="2377" t="s">
        <v>2297</v>
      </c>
      <c r="F48" s="2378"/>
      <c r="G48" s="2091"/>
      <c r="I48" s="3128" t="s">
        <v>2345</v>
      </c>
      <c r="J48" s="2383" t="s">
        <v>2350</v>
      </c>
      <c r="K48" s="3160" t="s">
        <v>2351</v>
      </c>
      <c r="L48" s="1909">
        <f ca="1">INDIRECT("'数据-取费表'!f"&amp;$G$1)</f>
        <v>34.869999999999997</v>
      </c>
      <c r="O48" s="2399" t="s">
        <v>2379</v>
      </c>
      <c r="P48" s="2400" t="s">
        <v>2405</v>
      </c>
      <c r="Q48" s="2401">
        <f ca="1">C40+J29</f>
        <v>19983</v>
      </c>
      <c r="R48" s="2400" t="s">
        <v>2380</v>
      </c>
    </row>
    <row r="49" spans="1:18" s="2060" customFormat="1" ht="18" customHeight="1" thickBot="1">
      <c r="A49" s="786"/>
      <c r="B49" s="787"/>
      <c r="C49" s="788"/>
      <c r="D49" s="789"/>
      <c r="E49" s="784" t="s">
        <v>1739</v>
      </c>
      <c r="F49" s="785">
        <f ca="1">F7</f>
        <v>11287</v>
      </c>
      <c r="G49" s="2091"/>
      <c r="H49" s="2094"/>
      <c r="I49" s="3128" t="s">
        <v>2346</v>
      </c>
      <c r="J49" s="2384"/>
      <c r="K49" s="3161" t="s">
        <v>2352</v>
      </c>
      <c r="L49" s="2385"/>
      <c r="O49" s="2399" t="s">
        <v>2381</v>
      </c>
      <c r="P49" s="2400" t="s">
        <v>2406</v>
      </c>
      <c r="Q49" s="2401">
        <f ca="1">J60</f>
        <v>2506</v>
      </c>
      <c r="R49" s="2400" t="s">
        <v>2382</v>
      </c>
    </row>
    <row r="50" spans="1:18" s="2060" customFormat="1" ht="18" customHeight="1" thickBot="1">
      <c r="A50" s="786"/>
      <c r="B50" s="787"/>
      <c r="C50" s="788"/>
      <c r="D50" s="789"/>
      <c r="E50" s="784" t="s">
        <v>1740</v>
      </c>
      <c r="F50" s="785">
        <f ca="1">F8</f>
        <v>365</v>
      </c>
      <c r="G50" s="2096"/>
      <c r="H50" s="2094"/>
      <c r="I50" s="3128" t="s">
        <v>2347</v>
      </c>
      <c r="J50" s="3156">
        <f>SUMPRODUCT((I63:I65=J47)*(J62:L62=J48)*(J63:L65))</f>
        <v>60</v>
      </c>
      <c r="K50" s="3161" t="s">
        <v>2353</v>
      </c>
      <c r="L50" s="2385"/>
      <c r="O50" s="2402" t="s">
        <v>2383</v>
      </c>
      <c r="P50" s="2400" t="s">
        <v>2407</v>
      </c>
      <c r="Q50" s="2401">
        <f ca="1">C29</f>
        <v>5981</v>
      </c>
      <c r="R50" s="2400" t="s">
        <v>2380</v>
      </c>
    </row>
    <row r="51" spans="1:18" s="2060" customFormat="1" ht="18" customHeight="1" thickBot="1">
      <c r="A51" s="786"/>
      <c r="B51" s="787"/>
      <c r="C51" s="788"/>
      <c r="D51" s="789"/>
      <c r="E51" s="784" t="s">
        <v>640</v>
      </c>
      <c r="F51" s="2372"/>
      <c r="H51" s="2094"/>
      <c r="I51" s="3153" t="s">
        <v>2348</v>
      </c>
      <c r="J51" s="3157">
        <f>IF(J49="",J50,J49+J50-YEAR('数据-取费表'!B2))</f>
        <v>60</v>
      </c>
      <c r="K51" s="3128" t="s">
        <v>2354</v>
      </c>
      <c r="L51" s="3164">
        <f ca="1">ROUND(-PV(INDIRECT("'数据-取费表'!h"&amp;$G$1),L48,(C39-C13*J36),0),0)</f>
        <v>7557</v>
      </c>
      <c r="O51" s="2402" t="s">
        <v>2384</v>
      </c>
      <c r="P51" s="2400" t="s">
        <v>2385</v>
      </c>
      <c r="Q51" s="2403">
        <f ca="1">J58</f>
        <v>0.41899999999999998</v>
      </c>
      <c r="R51" s="2404"/>
    </row>
    <row r="52" spans="1:18" s="2060" customFormat="1" ht="18" customHeight="1" thickBot="1">
      <c r="A52" s="781" t="s">
        <v>2535</v>
      </c>
      <c r="B52" s="2495" t="s">
        <v>2458</v>
      </c>
      <c r="C52" s="799">
        <f ca="1">ROUND(IF(F52="押一",C48/12*F11,IF(F52="押二",C48/12*2*F11,IF(F52="押三",C48/12*3*F11,C53*F11))),0)</f>
        <v>0</v>
      </c>
      <c r="D52" s="2502" t="s">
        <v>2968</v>
      </c>
      <c r="E52" s="2499" t="s">
        <v>2463</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2572</v>
      </c>
      <c r="C53" s="2500"/>
      <c r="D53" s="2502"/>
      <c r="E53" s="2499"/>
      <c r="F53" s="800"/>
      <c r="I53" s="3155" t="s">
        <v>2972</v>
      </c>
      <c r="J53" s="3158">
        <f ca="1">IF(M47="住宅",IF(D1="——",MAX(J51,L48),MAX(J51,L48-'数据-取费表'!B20)),IF(D1="——",MIN(J51,L48),MIN(J51,L48-'数据-取费表'!B20)))</f>
        <v>31.869999999999997</v>
      </c>
      <c r="K53" s="3548" t="s">
        <v>2959</v>
      </c>
      <c r="L53" s="3549"/>
      <c r="O53" s="2402" t="s">
        <v>2388</v>
      </c>
      <c r="P53" s="2400" t="s">
        <v>2389</v>
      </c>
      <c r="Q53" s="2401">
        <f ca="1">J53</f>
        <v>31.869999999999997</v>
      </c>
      <c r="R53" s="2400" t="s">
        <v>2390</v>
      </c>
    </row>
    <row r="54" spans="1:18" s="2060" customFormat="1" ht="18" customHeight="1" thickBot="1">
      <c r="A54" s="2538" t="s">
        <v>2466</v>
      </c>
      <c r="B54" s="2539" t="s">
        <v>2459</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22489</v>
      </c>
      <c r="R54" s="2404" t="s">
        <v>2392</v>
      </c>
    </row>
    <row r="55" spans="1:18" s="2060" customFormat="1" ht="18" customHeight="1" thickTop="1" thickBot="1">
      <c r="A55" s="797">
        <v>2</v>
      </c>
      <c r="B55" s="798" t="s">
        <v>644</v>
      </c>
      <c r="C55" s="799">
        <f ca="1">C13</f>
        <v>5981</v>
      </c>
      <c r="D55" s="795"/>
      <c r="E55" s="795"/>
      <c r="F55" s="800"/>
      <c r="I55" s="3167" t="s">
        <v>2355</v>
      </c>
      <c r="J55" s="3103">
        <f ca="1">ROUND(IF(J47="钢混",J57/J50,1-(1-2%)*(J50-J57)/J50),3)</f>
        <v>0.41899999999999998</v>
      </c>
      <c r="K55" s="3168" t="s">
        <v>2356</v>
      </c>
      <c r="L55" s="2387"/>
      <c r="O55" s="2405" t="s">
        <v>2411</v>
      </c>
      <c r="P55" s="1593"/>
      <c r="Q55" s="1605"/>
      <c r="R55" s="1593"/>
    </row>
    <row r="56" spans="1:18" s="2060" customFormat="1" ht="42.75" customHeight="1" thickBot="1">
      <c r="A56" s="1651"/>
      <c r="B56" s="2232" t="s">
        <v>2303</v>
      </c>
      <c r="C56" s="53">
        <f ca="1">C29</f>
        <v>5981</v>
      </c>
      <c r="D56" s="2640"/>
      <c r="E56" s="784"/>
      <c r="F56" s="809"/>
      <c r="I56" s="3169" t="s">
        <v>2357</v>
      </c>
      <c r="J56" s="3179"/>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116</v>
      </c>
      <c r="D57" s="26" t="s">
        <v>1750</v>
      </c>
      <c r="E57" s="2641"/>
      <c r="F57" s="56"/>
      <c r="I57" s="3170" t="s">
        <v>2358</v>
      </c>
      <c r="J57" s="3171">
        <f ca="1">IF(OR(M47="住宅",J51&lt;L48,J56="是"),"——",J51-L48)</f>
        <v>25.130000000000003</v>
      </c>
      <c r="K57" s="3128" t="s">
        <v>2363</v>
      </c>
      <c r="L57" s="1909" t="str">
        <f ca="1">IF(L48&lt;J51,"——",IF(L55="比较法",L49,IF(L55="基准地价",L50,L51)))</f>
        <v>——</v>
      </c>
      <c r="O57" s="2399" t="s">
        <v>2379</v>
      </c>
      <c r="P57" s="2400" t="s">
        <v>2409</v>
      </c>
      <c r="Q57" s="2401">
        <f ca="1">C40+J29</f>
        <v>19983</v>
      </c>
      <c r="R57" s="2400" t="s">
        <v>2380</v>
      </c>
    </row>
    <row r="58" spans="1:18" s="2060" customFormat="1" ht="28.5" customHeight="1" thickBot="1">
      <c r="A58" s="1650" t="s">
        <v>1824</v>
      </c>
      <c r="B58" s="784" t="s">
        <v>656</v>
      </c>
      <c r="C58" s="53">
        <f ca="1">ROUND(IF(项目基本情况!B11="自然人",C47*F58,C59+C60+C61),1)</f>
        <v>11.3</v>
      </c>
      <c r="D58" s="2639" t="s">
        <v>657</v>
      </c>
      <c r="E58" s="2640" t="s">
        <v>690</v>
      </c>
      <c r="F58" s="810" t="str">
        <f ca="1">IF(项目基本情况!B11="企业","",IF(INDIRECT("'数据-取费表'!c"&amp;$G$1)="住宅",5%,IF(F48*F49*F50/12/(1+'数据-取费表'!C42)&gt;20000,12%,7%)))</f>
        <v/>
      </c>
      <c r="I58" s="3170" t="s">
        <v>2359</v>
      </c>
      <c r="J58" s="3104">
        <f ca="1">IF(J55&lt;0.4,0.4,J55)</f>
        <v>0.41899999999999998</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9" t="s">
        <v>1831</v>
      </c>
      <c r="B59" s="784" t="s">
        <v>660</v>
      </c>
      <c r="C59" s="53">
        <f ca="1">ROUND(C47*F59/1.05,1)</f>
        <v>0</v>
      </c>
      <c r="D59" s="2640" t="s">
        <v>1756</v>
      </c>
      <c r="E59" s="784" t="s">
        <v>1747</v>
      </c>
      <c r="F59" s="809">
        <f t="shared" ref="F59:F65" si="0">F32</f>
        <v>5.6000000000000001E-2</v>
      </c>
      <c r="I59" s="3170" t="s">
        <v>2360</v>
      </c>
      <c r="J59" s="3171">
        <f ca="1">IF(OR(M47="住宅",J51&lt;L48,J56="是"),"——",ROUND(C29*J58,0))</f>
        <v>2506</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9"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2361</v>
      </c>
      <c r="J60" s="3173">
        <f ca="1">IF(OR(M47="住宅",J51&lt;L48,J56="是"),"0",ROUND(J59/(1+J52)^J53,0))</f>
        <v>2506</v>
      </c>
      <c r="K60" s="3174" t="s">
        <v>2366</v>
      </c>
      <c r="L60" s="3173">
        <f ca="1">IF(OR(M47="住宅",L48&lt;J51),0,ROUND(L57*(L58/L59-1),0))</f>
        <v>0</v>
      </c>
      <c r="O60" s="2402" t="s">
        <v>2384</v>
      </c>
      <c r="P60" s="2400" t="s">
        <v>2393</v>
      </c>
      <c r="Q60" s="2403">
        <f>L52</f>
        <v>0</v>
      </c>
      <c r="R60" s="2404"/>
    </row>
    <row r="61" spans="1:18" s="2060" customFormat="1" ht="18" customHeight="1" thickBot="1">
      <c r="A61" s="1652" t="s">
        <v>1833</v>
      </c>
      <c r="B61" s="341" t="s">
        <v>668</v>
      </c>
      <c r="C61" s="54">
        <f ca="1">ROUND(F61*F62/10000,1)</f>
        <v>11.3</v>
      </c>
      <c r="D61" s="814" t="s">
        <v>669</v>
      </c>
      <c r="E61" s="784" t="s">
        <v>670</v>
      </c>
      <c r="F61" s="640">
        <f t="shared" si="0"/>
        <v>16</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7054.4</v>
      </c>
      <c r="I62" s="3175" t="s">
        <v>2367</v>
      </c>
      <c r="J62" s="3176" t="s">
        <v>2368</v>
      </c>
      <c r="K62" s="3176" t="s">
        <v>2369</v>
      </c>
      <c r="L62" s="3176" t="s">
        <v>2350</v>
      </c>
      <c r="M62" s="3177" t="s">
        <v>2935</v>
      </c>
      <c r="O62" s="2402" t="s">
        <v>2388</v>
      </c>
      <c r="P62" s="2400" t="str">
        <f>K59</f>
        <v>建设期及建筑物耐用年限下的土地年期修正系数Kn</v>
      </c>
      <c r="Q62" s="2401" t="e">
        <f ca="1">L59</f>
        <v>#DIV/0!</v>
      </c>
      <c r="R62" s="2404" t="s">
        <v>2397</v>
      </c>
    </row>
    <row r="63" spans="1:18" s="2060" customFormat="1" ht="15.75" thickBot="1">
      <c r="A63" s="1650" t="s">
        <v>1889</v>
      </c>
      <c r="B63" s="784" t="s">
        <v>676</v>
      </c>
      <c r="C63" s="53">
        <f ca="1">ROUND(C56*F63,1)</f>
        <v>89.7</v>
      </c>
      <c r="D63" s="2640" t="s">
        <v>1803</v>
      </c>
      <c r="E63" s="784" t="s">
        <v>1747</v>
      </c>
      <c r="F63" s="817">
        <f t="shared" ca="1" si="0"/>
        <v>1.4999999999999999E-2</v>
      </c>
      <c r="I63" s="3175" t="s">
        <v>2370</v>
      </c>
      <c r="J63" s="3176">
        <v>70</v>
      </c>
      <c r="K63" s="3176">
        <v>50</v>
      </c>
      <c r="L63" s="3176">
        <v>80</v>
      </c>
      <c r="M63" s="3178">
        <v>0.02</v>
      </c>
      <c r="O63" s="2399" t="s">
        <v>2391</v>
      </c>
      <c r="P63" s="2400" t="s">
        <v>2408</v>
      </c>
      <c r="Q63" s="2401">
        <f ca="1">Q57+Q58</f>
        <v>19983</v>
      </c>
      <c r="R63" s="2404" t="s">
        <v>2392</v>
      </c>
    </row>
    <row r="64" spans="1:18" s="2060" customFormat="1" ht="16.5" thickBot="1">
      <c r="A64" s="1650" t="s">
        <v>1890</v>
      </c>
      <c r="B64" s="784" t="s">
        <v>679</v>
      </c>
      <c r="C64" s="53">
        <f ca="1">ROUND(C55*F64,1)</f>
        <v>15</v>
      </c>
      <c r="D64" s="2640" t="s">
        <v>680</v>
      </c>
      <c r="E64" s="784" t="s">
        <v>1747</v>
      </c>
      <c r="F64" s="818">
        <f t="shared" ca="1" si="0"/>
        <v>2.5000000000000001E-3</v>
      </c>
      <c r="I64" s="3175" t="s">
        <v>2371</v>
      </c>
      <c r="J64" s="3176">
        <v>50</v>
      </c>
      <c r="K64" s="3176">
        <v>35</v>
      </c>
      <c r="L64" s="3176">
        <v>60</v>
      </c>
      <c r="M64" s="846">
        <v>0</v>
      </c>
      <c r="O64" s="2405" t="s">
        <v>2415</v>
      </c>
      <c r="P64" s="1593"/>
      <c r="Q64" s="1605"/>
      <c r="R64" s="1593"/>
    </row>
    <row r="65" spans="1:18" s="2060" customFormat="1" ht="15.75" thickBot="1">
      <c r="A65" s="1650" t="s">
        <v>1891</v>
      </c>
      <c r="B65" s="784" t="s">
        <v>666</v>
      </c>
      <c r="C65" s="53">
        <f ca="1">ROUND(C47*F65,1)</f>
        <v>0</v>
      </c>
      <c r="D65" s="2640" t="s">
        <v>683</v>
      </c>
      <c r="E65" s="784" t="s">
        <v>1747</v>
      </c>
      <c r="F65" s="794">
        <f t="shared" ca="1" si="0"/>
        <v>0.03</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-116</v>
      </c>
      <c r="D66" s="2639" t="s">
        <v>700</v>
      </c>
      <c r="E66" s="2638"/>
      <c r="F66" s="820"/>
      <c r="K66" s="2087"/>
      <c r="O66" s="2399" t="s">
        <v>2379</v>
      </c>
      <c r="P66" s="2400" t="s">
        <v>2409</v>
      </c>
      <c r="Q66" s="2401">
        <f ca="1">C40+J29</f>
        <v>19983</v>
      </c>
      <c r="R66" s="2400" t="s">
        <v>2380</v>
      </c>
    </row>
    <row r="67" spans="1:18" s="2060" customFormat="1" ht="20.25" thickBot="1">
      <c r="A67" s="781" t="s">
        <v>1780</v>
      </c>
      <c r="B67" s="2233" t="s">
        <v>2302</v>
      </c>
      <c r="C67" s="783">
        <f ca="1">ROUND(C66*(1-((1+F69)/(1+F67))^F68)/(F67-F69),0)</f>
        <v>-1631</v>
      </c>
      <c r="D67" s="814" t="s">
        <v>704</v>
      </c>
      <c r="E67" s="784" t="s">
        <v>705</v>
      </c>
      <c r="F67" s="794">
        <f ca="1">F40</f>
        <v>0.06</v>
      </c>
      <c r="K67" s="2087"/>
      <c r="O67" s="2399" t="s">
        <v>2381</v>
      </c>
      <c r="P67" s="2400" t="s">
        <v>2412</v>
      </c>
      <c r="Q67" s="2401">
        <f ca="1">L60</f>
        <v>0</v>
      </c>
      <c r="R67" s="2404" t="s">
        <v>2414</v>
      </c>
    </row>
    <row r="68" spans="1:18" ht="21.75" thickBot="1">
      <c r="A68" s="786"/>
      <c r="B68" s="787"/>
      <c r="C68" s="788"/>
      <c r="D68" s="821" t="s">
        <v>1808</v>
      </c>
      <c r="E68" s="784" t="s">
        <v>1784</v>
      </c>
      <c r="F68" s="822">
        <f ca="1">F41</f>
        <v>31.869999999999997</v>
      </c>
      <c r="O68" s="2402" t="s">
        <v>2383</v>
      </c>
      <c r="P68" s="2400" t="s">
        <v>2413</v>
      </c>
      <c r="Q68" s="2406">
        <f ca="1">L51</f>
        <v>7557</v>
      </c>
      <c r="R68" s="2407" t="s">
        <v>2416</v>
      </c>
    </row>
    <row r="69" spans="1:18" ht="20.25" thickBot="1">
      <c r="A69" s="790"/>
      <c r="B69" s="791"/>
      <c r="C69" s="792"/>
      <c r="D69" s="816"/>
      <c r="E69" s="784" t="s">
        <v>710</v>
      </c>
      <c r="F69" s="2372"/>
      <c r="O69" s="2402" t="s">
        <v>2384</v>
      </c>
      <c r="P69" s="2408" t="s">
        <v>2398</v>
      </c>
      <c r="Q69" s="2401">
        <f ca="1">ROUND(Q70-Q71*Q72,0)</f>
        <v>492</v>
      </c>
      <c r="R69" s="2404"/>
    </row>
    <row r="70" spans="1:18" ht="15.75" thickBot="1">
      <c r="A70" s="823" t="s">
        <v>1787</v>
      </c>
      <c r="B70" s="824" t="s">
        <v>1810</v>
      </c>
      <c r="C70" s="825">
        <f ca="1">ROUND(C67*10000/F70,0)</f>
        <v>-1445</v>
      </c>
      <c r="D70" s="826" t="s">
        <v>1811</v>
      </c>
      <c r="E70" s="827" t="s">
        <v>1812</v>
      </c>
      <c r="F70" s="828">
        <f ca="1">F43</f>
        <v>11287</v>
      </c>
      <c r="O70" s="2402" t="s">
        <v>2399</v>
      </c>
      <c r="P70" s="2408" t="s">
        <v>2400</v>
      </c>
      <c r="Q70" s="2401">
        <f ca="1">C39</f>
        <v>1000</v>
      </c>
      <c r="R70" s="2400" t="s">
        <v>2380</v>
      </c>
    </row>
    <row r="71" spans="1:18" ht="15.75" thickBot="1">
      <c r="O71" s="2402" t="s">
        <v>2401</v>
      </c>
      <c r="P71" s="2408" t="s">
        <v>2402</v>
      </c>
      <c r="Q71" s="2401">
        <f ca="1">C13</f>
        <v>5981</v>
      </c>
      <c r="R71" s="2400" t="s">
        <v>2380</v>
      </c>
    </row>
    <row r="72" spans="1:18" ht="15.75" thickBot="1">
      <c r="O72" s="2402" t="s">
        <v>2403</v>
      </c>
      <c r="P72" s="2408" t="s">
        <v>2404</v>
      </c>
      <c r="Q72" s="2403">
        <f ca="1">J36</f>
        <v>8.5000000000000006E-2</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19983</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66" t="s">
        <v>2470</v>
      </c>
      <c r="B1" s="3567"/>
      <c r="C1" s="3568"/>
      <c r="D1" s="3569">
        <f>SUM(I10,I15,I20,I21,I23)</f>
        <v>0</v>
      </c>
      <c r="E1" s="3569"/>
      <c r="F1" s="3569"/>
      <c r="G1" s="3569"/>
      <c r="H1" s="3569"/>
      <c r="I1" s="3570"/>
    </row>
    <row r="2" spans="1:9">
      <c r="A2" s="3556" t="s">
        <v>2471</v>
      </c>
      <c r="B2" s="3557" t="s">
        <v>2472</v>
      </c>
      <c r="C2" s="3557"/>
      <c r="D2" s="2508" t="s">
        <v>2473</v>
      </c>
      <c r="E2" s="2508" t="s">
        <v>2474</v>
      </c>
      <c r="F2" s="2508" t="s">
        <v>2475</v>
      </c>
      <c r="G2" s="2508" t="s">
        <v>2476</v>
      </c>
      <c r="H2" s="2508" t="s">
        <v>2477</v>
      </c>
      <c r="I2" s="2509" t="s">
        <v>2478</v>
      </c>
    </row>
    <row r="3" spans="1:9">
      <c r="A3" s="3556"/>
      <c r="B3" s="3557" t="s">
        <v>2479</v>
      </c>
      <c r="C3" s="3557"/>
      <c r="D3" s="2510"/>
      <c r="E3" s="2508"/>
      <c r="F3" s="2511"/>
      <c r="G3" s="2511"/>
      <c r="H3" s="2512"/>
      <c r="I3" s="2513">
        <f>ROUND(D3*E3*F3*G3*H3/10000,0)</f>
        <v>0</v>
      </c>
    </row>
    <row r="4" spans="1:9">
      <c r="A4" s="3556"/>
      <c r="B4" s="3557" t="s">
        <v>2480</v>
      </c>
      <c r="C4" s="3557"/>
      <c r="D4" s="2510"/>
      <c r="E4" s="2508"/>
      <c r="F4" s="2511"/>
      <c r="G4" s="2511"/>
      <c r="H4" s="2512"/>
      <c r="I4" s="2513">
        <f t="shared" ref="I4:I9" si="0">ROUND(D4*E4*F4*G4*H4/10000,0)</f>
        <v>0</v>
      </c>
    </row>
    <row r="5" spans="1:9">
      <c r="A5" s="3556"/>
      <c r="B5" s="3557" t="s">
        <v>2481</v>
      </c>
      <c r="C5" s="3557"/>
      <c r="D5" s="2510"/>
      <c r="E5" s="2508"/>
      <c r="F5" s="2511"/>
      <c r="G5" s="2511"/>
      <c r="H5" s="2512"/>
      <c r="I5" s="2513">
        <f t="shared" si="0"/>
        <v>0</v>
      </c>
    </row>
    <row r="6" spans="1:9">
      <c r="A6" s="3556"/>
      <c r="B6" s="3557" t="s">
        <v>2482</v>
      </c>
      <c r="C6" s="3557"/>
      <c r="D6" s="2510"/>
      <c r="E6" s="2508"/>
      <c r="F6" s="2511"/>
      <c r="G6" s="2511"/>
      <c r="H6" s="2512"/>
      <c r="I6" s="2513">
        <f t="shared" si="0"/>
        <v>0</v>
      </c>
    </row>
    <row r="7" spans="1:9">
      <c r="A7" s="3556"/>
      <c r="B7" s="3557" t="s">
        <v>2483</v>
      </c>
      <c r="C7" s="3557"/>
      <c r="D7" s="2510"/>
      <c r="E7" s="2508"/>
      <c r="F7" s="2511"/>
      <c r="G7" s="2511"/>
      <c r="H7" s="2512"/>
      <c r="I7" s="2513">
        <f t="shared" si="0"/>
        <v>0</v>
      </c>
    </row>
    <row r="8" spans="1:9">
      <c r="A8" s="3556"/>
      <c r="B8" s="3557" t="s">
        <v>2484</v>
      </c>
      <c r="C8" s="3557"/>
      <c r="D8" s="2510"/>
      <c r="E8" s="2508"/>
      <c r="F8" s="2511"/>
      <c r="G8" s="2511"/>
      <c r="H8" s="2512"/>
      <c r="I8" s="2513">
        <f t="shared" si="0"/>
        <v>0</v>
      </c>
    </row>
    <row r="9" spans="1:9">
      <c r="A9" s="3556"/>
      <c r="B9" s="3557" t="s">
        <v>2485</v>
      </c>
      <c r="C9" s="3557"/>
      <c r="D9" s="2510"/>
      <c r="E9" s="2508"/>
      <c r="F9" s="2511"/>
      <c r="G9" s="2511"/>
      <c r="H9" s="2512"/>
      <c r="I9" s="2513">
        <f t="shared" si="0"/>
        <v>0</v>
      </c>
    </row>
    <row r="10" spans="1:9">
      <c r="A10" s="3556"/>
      <c r="B10" s="3558" t="s">
        <v>2486</v>
      </c>
      <c r="C10" s="3558"/>
      <c r="D10" s="2514">
        <v>527</v>
      </c>
      <c r="E10" s="2514" t="e">
        <f>ROUND(D1*10000/D10/H9,0)</f>
        <v>#DIV/0!</v>
      </c>
      <c r="F10" s="2515"/>
      <c r="G10" s="2515"/>
      <c r="H10" s="2516"/>
      <c r="I10" s="2517">
        <f>SUM(I3:I9)</f>
        <v>0</v>
      </c>
    </row>
    <row r="11" spans="1:9" ht="14.25">
      <c r="A11" s="3556" t="s">
        <v>2487</v>
      </c>
      <c r="B11" s="3557" t="s">
        <v>2488</v>
      </c>
      <c r="C11" s="3557"/>
      <c r="D11" s="2510" t="s">
        <v>2489</v>
      </c>
      <c r="E11" s="2510" t="s">
        <v>2490</v>
      </c>
      <c r="F11" s="2511" t="s">
        <v>2491</v>
      </c>
      <c r="G11" s="2511" t="s">
        <v>2492</v>
      </c>
      <c r="H11" s="2518" t="s">
        <v>2493</v>
      </c>
      <c r="I11" s="2509" t="s">
        <v>2494</v>
      </c>
    </row>
    <row r="12" spans="1:9">
      <c r="A12" s="3556"/>
      <c r="B12" s="3557" t="s">
        <v>2495</v>
      </c>
      <c r="C12" s="3557"/>
      <c r="D12" s="2510"/>
      <c r="E12" s="2510"/>
      <c r="F12" s="2511"/>
      <c r="G12" s="2512"/>
      <c r="H12" s="2519"/>
      <c r="I12" s="2509">
        <f>ROUND(D12*E12*F12*G12/10000,0)</f>
        <v>0</v>
      </c>
    </row>
    <row r="13" spans="1:9">
      <c r="A13" s="3556"/>
      <c r="B13" s="3557" t="s">
        <v>2496</v>
      </c>
      <c r="C13" s="3557"/>
      <c r="D13" s="2510"/>
      <c r="E13" s="2510"/>
      <c r="F13" s="2511"/>
      <c r="G13" s="2512"/>
      <c r="H13" s="2519"/>
      <c r="I13" s="2509">
        <f>ROUND(D13*E13*F13*G13/10000,0)</f>
        <v>0</v>
      </c>
    </row>
    <row r="14" spans="1:9">
      <c r="A14" s="3556"/>
      <c r="B14" s="3557" t="s">
        <v>2497</v>
      </c>
      <c r="C14" s="3557"/>
      <c r="D14" s="2510"/>
      <c r="E14" s="2510"/>
      <c r="F14" s="2511"/>
      <c r="G14" s="2512"/>
      <c r="H14" s="2519"/>
      <c r="I14" s="2509">
        <f>ROUND(D14*E14*F14*G14/10000,0)</f>
        <v>0</v>
      </c>
    </row>
    <row r="15" spans="1:9">
      <c r="A15" s="3556"/>
      <c r="B15" s="3558" t="s">
        <v>2486</v>
      </c>
      <c r="C15" s="3558"/>
      <c r="D15" s="2514"/>
      <c r="E15" s="2514">
        <f>SUM(E12:E14)</f>
        <v>0</v>
      </c>
      <c r="F15" s="2515"/>
      <c r="G15" s="2512"/>
      <c r="H15" s="2519"/>
      <c r="I15" s="2520">
        <f>SUM(I12:I14)</f>
        <v>0</v>
      </c>
    </row>
    <row r="16" spans="1:9" ht="24">
      <c r="A16" s="3556" t="s">
        <v>2498</v>
      </c>
      <c r="B16" s="3557" t="s">
        <v>2499</v>
      </c>
      <c r="C16" s="3557"/>
      <c r="D16" s="2510" t="s">
        <v>2500</v>
      </c>
      <c r="E16" s="2521" t="s">
        <v>2501</v>
      </c>
      <c r="F16" s="2511" t="s">
        <v>2502</v>
      </c>
      <c r="G16" s="2512" t="s">
        <v>2492</v>
      </c>
      <c r="H16" s="2518" t="s">
        <v>2493</v>
      </c>
      <c r="I16" s="2509" t="s">
        <v>2494</v>
      </c>
    </row>
    <row r="17" spans="1:9" ht="14.25">
      <c r="A17" s="3556"/>
      <c r="B17" s="3557" t="s">
        <v>2503</v>
      </c>
      <c r="C17" s="3557"/>
      <c r="D17" s="2510"/>
      <c r="E17" s="2510"/>
      <c r="F17" s="2511"/>
      <c r="G17" s="2512"/>
      <c r="H17" s="2522"/>
      <c r="I17" s="2523">
        <f>ROUND(D17*E17*F17*G17/10000,0)</f>
        <v>0</v>
      </c>
    </row>
    <row r="18" spans="1:9" ht="14.25">
      <c r="A18" s="3556"/>
      <c r="B18" s="3557" t="s">
        <v>2504</v>
      </c>
      <c r="C18" s="3557"/>
      <c r="D18" s="2510"/>
      <c r="E18" s="2510"/>
      <c r="F18" s="2511"/>
      <c r="G18" s="2512"/>
      <c r="H18" s="2522"/>
      <c r="I18" s="2523">
        <f>ROUND(D18*E18*F18*G18/10000,0)</f>
        <v>0</v>
      </c>
    </row>
    <row r="19" spans="1:9" ht="14.25">
      <c r="A19" s="3556"/>
      <c r="B19" s="3557" t="s">
        <v>2505</v>
      </c>
      <c r="C19" s="3557"/>
      <c r="D19" s="2510"/>
      <c r="E19" s="2510"/>
      <c r="F19" s="2511"/>
      <c r="G19" s="2512"/>
      <c r="H19" s="2522"/>
      <c r="I19" s="2523">
        <f>ROUND(D19*E19*F19*G19/10000,0)</f>
        <v>0</v>
      </c>
    </row>
    <row r="20" spans="1:9">
      <c r="A20" s="3556"/>
      <c r="B20" s="3558" t="s">
        <v>2486</v>
      </c>
      <c r="C20" s="3558"/>
      <c r="D20" s="2514">
        <f>SUM(D17:D19)</f>
        <v>0</v>
      </c>
      <c r="E20" s="2514"/>
      <c r="F20" s="2515"/>
      <c r="G20" s="2512"/>
      <c r="H20" s="2519"/>
      <c r="I20" s="2520">
        <f>SUM(I17:I19)</f>
        <v>0</v>
      </c>
    </row>
    <row r="21" spans="1:9">
      <c r="A21" s="3556" t="s">
        <v>2506</v>
      </c>
      <c r="B21" s="3559"/>
      <c r="C21" s="3559"/>
      <c r="D21" s="3559"/>
      <c r="E21" s="3559"/>
      <c r="F21" s="3559"/>
      <c r="G21" s="3559"/>
      <c r="H21" s="2524">
        <v>0.1</v>
      </c>
      <c r="I21" s="2517">
        <f>ROUND(I10*H21,0)</f>
        <v>0</v>
      </c>
    </row>
    <row r="22" spans="1:9" ht="14.25">
      <c r="A22" s="3560" t="s">
        <v>2507</v>
      </c>
      <c r="B22" s="3561"/>
      <c r="C22" s="3562"/>
      <c r="D22" s="2525" t="s">
        <v>2508</v>
      </c>
      <c r="E22" s="2525" t="s">
        <v>2509</v>
      </c>
      <c r="F22" s="2526" t="s">
        <v>2510</v>
      </c>
      <c r="G22" s="2526" t="s">
        <v>2511</v>
      </c>
      <c r="H22" s="2518" t="s">
        <v>2512</v>
      </c>
      <c r="I22" s="2509" t="s">
        <v>2513</v>
      </c>
    </row>
    <row r="23" spans="1:9" ht="14.25" thickBot="1">
      <c r="A23" s="3563"/>
      <c r="B23" s="3564"/>
      <c r="C23" s="3565"/>
      <c r="D23" s="2527"/>
      <c r="E23" s="2527"/>
      <c r="F23" s="2527"/>
      <c r="G23" s="2528"/>
      <c r="H23" s="2529"/>
      <c r="I23" s="2530">
        <f>ROUND(E23*D23*F23*(1-G23)/10000,0)</f>
        <v>0</v>
      </c>
    </row>
    <row r="26" spans="1:9">
      <c r="A26" s="2531" t="s">
        <v>2514</v>
      </c>
      <c r="B26" s="2531"/>
      <c r="C26" s="2531"/>
      <c r="D26" s="2531"/>
      <c r="E26" s="3553">
        <f>C27-C30-C31-C32</f>
        <v>0</v>
      </c>
      <c r="F26" s="3553"/>
      <c r="G26" s="3553"/>
      <c r="H26" s="3045" t="s">
        <v>2842</v>
      </c>
    </row>
    <row r="27" spans="1:9">
      <c r="A27" s="2532">
        <v>1</v>
      </c>
      <c r="B27" s="2533" t="s">
        <v>2515</v>
      </c>
      <c r="C27" s="2533"/>
      <c r="D27" s="2533"/>
      <c r="E27" s="3554"/>
      <c r="F27" s="3554"/>
      <c r="G27" s="3554"/>
    </row>
    <row r="28" spans="1:9">
      <c r="A28" s="2534" t="s">
        <v>2516</v>
      </c>
      <c r="B28" s="2533" t="s">
        <v>2517</v>
      </c>
      <c r="C28" s="2533"/>
      <c r="D28" s="2533"/>
      <c r="E28" s="3554"/>
      <c r="F28" s="3554"/>
      <c r="G28" s="3554"/>
    </row>
    <row r="29" spans="1:9">
      <c r="A29" s="2534" t="s">
        <v>2518</v>
      </c>
      <c r="B29" s="2533" t="s">
        <v>2459</v>
      </c>
      <c r="C29" s="2533"/>
      <c r="D29" s="2533"/>
      <c r="E29" s="2533" t="s">
        <v>2519</v>
      </c>
      <c r="F29" s="2533"/>
      <c r="G29" s="2533"/>
    </row>
    <row r="30" spans="1:9">
      <c r="A30" s="2532">
        <v>2</v>
      </c>
      <c r="B30" s="2533" t="s">
        <v>2520</v>
      </c>
      <c r="C30" s="2533">
        <f>C27*D30</f>
        <v>0</v>
      </c>
      <c r="D30" s="2535">
        <v>0.2</v>
      </c>
      <c r="E30" s="2533" t="s">
        <v>2521</v>
      </c>
      <c r="F30" s="2533"/>
      <c r="G30" s="2533"/>
    </row>
    <row r="31" spans="1:9">
      <c r="A31" s="2532">
        <v>3</v>
      </c>
      <c r="B31" s="2533" t="s">
        <v>2522</v>
      </c>
      <c r="C31" s="2533">
        <f>C25*D31</f>
        <v>0</v>
      </c>
      <c r="D31" s="2535">
        <v>0.15</v>
      </c>
      <c r="E31" s="2533" t="s">
        <v>2523</v>
      </c>
      <c r="F31" s="2533"/>
      <c r="G31" s="2533"/>
    </row>
    <row r="32" spans="1:9">
      <c r="A32" s="2532">
        <v>4</v>
      </c>
      <c r="B32" s="2533" t="s">
        <v>2524</v>
      </c>
      <c r="C32" s="2533">
        <f>C27*D32</f>
        <v>0</v>
      </c>
      <c r="D32" s="2535">
        <v>0.05</v>
      </c>
      <c r="E32" s="3555"/>
      <c r="F32" s="3555"/>
      <c r="G32" s="3555"/>
    </row>
    <row r="33" spans="1:7" hidden="1">
      <c r="A33" s="3550" t="s">
        <v>2525</v>
      </c>
      <c r="B33" s="3551"/>
      <c r="C33" s="3551"/>
      <c r="D33" s="3552"/>
      <c r="E33" s="3553"/>
      <c r="F33" s="3553"/>
      <c r="G33" s="3553"/>
    </row>
    <row r="34" spans="1:7" hidden="1">
      <c r="A34" s="2536">
        <v>1</v>
      </c>
      <c r="B34" s="2533" t="s">
        <v>2526</v>
      </c>
      <c r="C34" s="2533"/>
      <c r="D34" s="2533"/>
      <c r="E34" s="3554"/>
      <c r="F34" s="3554"/>
      <c r="G34" s="3554"/>
    </row>
    <row r="35" spans="1:7" hidden="1">
      <c r="A35" s="2536">
        <v>2</v>
      </c>
      <c r="B35" s="2533" t="s">
        <v>2527</v>
      </c>
      <c r="C35" s="2533"/>
      <c r="D35" s="2533"/>
      <c r="E35" s="3554"/>
      <c r="F35" s="3554"/>
      <c r="G35" s="3554"/>
    </row>
    <row r="36" spans="1:7" hidden="1">
      <c r="A36" s="2536">
        <v>3</v>
      </c>
      <c r="B36" s="2533" t="s">
        <v>2528</v>
      </c>
      <c r="C36" s="2533"/>
      <c r="D36" s="2533"/>
      <c r="E36" s="3554"/>
      <c r="F36" s="3554"/>
      <c r="G36" s="3554"/>
    </row>
    <row r="37" spans="1:7" hidden="1">
      <c r="A37" s="2536">
        <v>4</v>
      </c>
      <c r="B37" s="2533" t="s">
        <v>2529</v>
      </c>
      <c r="C37" s="2533"/>
      <c r="D37" s="2533"/>
      <c r="E37" s="3554"/>
      <c r="F37" s="3554"/>
      <c r="G37" s="3554"/>
    </row>
    <row r="38" spans="1:7" hidden="1">
      <c r="A38" s="3550" t="s">
        <v>2530</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56435</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1309</v>
      </c>
      <c r="D12" s="758">
        <f>'数据-汇总表'!E5</f>
        <v>45148</v>
      </c>
      <c r="E12" s="757">
        <f>'数据-取费表'!B27</f>
        <v>290</v>
      </c>
      <c r="F12" s="755"/>
      <c r="G12" s="759"/>
    </row>
    <row r="13" spans="1:25" s="2184" customFormat="1" ht="13.5" customHeight="1">
      <c r="A13" s="2477" t="s">
        <v>2447</v>
      </c>
      <c r="B13" s="756" t="s">
        <v>612</v>
      </c>
      <c r="C13" s="757">
        <f>ROUND(D13*E13/10000,0)</f>
        <v>327</v>
      </c>
      <c r="D13" s="758">
        <f>'数据-汇总表'!E6</f>
        <v>11287</v>
      </c>
      <c r="E13" s="757">
        <f>'数据-取费表'!B28</f>
        <v>290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0.879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756</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63" t="s">
        <v>522</v>
      </c>
      <c r="D4" s="3464"/>
      <c r="E4" s="3489" t="s">
        <v>523</v>
      </c>
      <c r="F4" s="3490"/>
      <c r="G4" s="3463" t="s">
        <v>524</v>
      </c>
      <c r="H4" s="3464"/>
      <c r="I4" s="3463" t="s">
        <v>525</v>
      </c>
      <c r="J4" s="3464"/>
      <c r="K4" s="514" t="s">
        <v>526</v>
      </c>
      <c r="L4" s="2134"/>
      <c r="M4" s="2135"/>
      <c r="N4" s="2135"/>
      <c r="O4" s="2135"/>
      <c r="P4" s="3465" t="s">
        <v>527</v>
      </c>
      <c r="Q4" s="3466"/>
      <c r="R4" s="3451" t="s">
        <v>523</v>
      </c>
      <c r="S4" s="3452"/>
      <c r="T4" s="3451" t="s">
        <v>524</v>
      </c>
      <c r="U4" s="3452"/>
      <c r="V4" s="3471" t="s">
        <v>525</v>
      </c>
      <c r="W4" s="3471"/>
      <c r="X4" s="1568"/>
      <c r="Y4" s="3451" t="s">
        <v>527</v>
      </c>
      <c r="Z4" s="3452"/>
      <c r="AA4" s="3446" t="s">
        <v>523</v>
      </c>
      <c r="AB4" s="3471" t="s">
        <v>524</v>
      </c>
      <c r="AC4" s="3446" t="s">
        <v>525</v>
      </c>
    </row>
    <row r="5" spans="1:29" ht="15">
      <c r="A5" s="515"/>
      <c r="B5" s="516"/>
      <c r="C5" s="3493" t="s">
        <v>2920</v>
      </c>
      <c r="D5" s="3494"/>
      <c r="E5" s="3491" t="s">
        <v>2921</v>
      </c>
      <c r="F5" s="3492"/>
      <c r="G5" s="3493" t="s">
        <v>2922</v>
      </c>
      <c r="H5" s="3494"/>
      <c r="I5" s="3493" t="s">
        <v>2923</v>
      </c>
      <c r="J5" s="3494"/>
      <c r="K5" s="514"/>
      <c r="L5" s="2134"/>
      <c r="M5" s="2135"/>
      <c r="N5" s="2135"/>
      <c r="O5" s="2135"/>
      <c r="P5" s="3467"/>
      <c r="Q5" s="3468"/>
      <c r="R5" s="3453"/>
      <c r="S5" s="3454"/>
      <c r="T5" s="3453"/>
      <c r="U5" s="3454"/>
      <c r="V5" s="3471"/>
      <c r="W5" s="3471"/>
      <c r="X5" s="1568"/>
      <c r="Y5" s="3453"/>
      <c r="Z5" s="3454"/>
      <c r="AA5" s="3447"/>
      <c r="AB5" s="3471"/>
      <c r="AC5" s="3447"/>
    </row>
    <row r="6" spans="1:29" ht="15.75" thickBot="1">
      <c r="A6" s="517"/>
      <c r="B6" s="518"/>
      <c r="C6" s="3495" t="s">
        <v>2924</v>
      </c>
      <c r="D6" s="3496"/>
      <c r="E6" s="3497" t="s">
        <v>2924</v>
      </c>
      <c r="F6" s="3498"/>
      <c r="G6" s="3495" t="s">
        <v>2924</v>
      </c>
      <c r="H6" s="3496"/>
      <c r="I6" s="3495" t="s">
        <v>2924</v>
      </c>
      <c r="J6" s="3496"/>
      <c r="K6" s="514" t="s">
        <v>528</v>
      </c>
      <c r="L6" s="2134"/>
      <c r="M6" s="2135"/>
      <c r="N6" s="2135"/>
      <c r="O6" s="2135"/>
      <c r="P6" s="3469"/>
      <c r="Q6" s="3470"/>
      <c r="R6" s="3453"/>
      <c r="S6" s="3454"/>
      <c r="T6" s="3455"/>
      <c r="U6" s="3456"/>
      <c r="V6" s="3471"/>
      <c r="W6" s="3471"/>
      <c r="X6" s="1568"/>
      <c r="Y6" s="3455"/>
      <c r="Z6" s="3456"/>
      <c r="AA6" s="3448"/>
      <c r="AB6" s="3471"/>
      <c r="AC6" s="3448"/>
    </row>
    <row r="7" spans="1:29" s="1220" customFormat="1" ht="15.75" thickBot="1">
      <c r="A7" s="2913"/>
      <c r="B7" s="2920" t="s">
        <v>529</v>
      </c>
      <c r="C7" s="519">
        <f>'数据-取费表'!B2</f>
        <v>43426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49" t="s">
        <v>530</v>
      </c>
      <c r="Q7" s="3458"/>
      <c r="R7" s="1569" t="s">
        <v>8</v>
      </c>
      <c r="S7" s="1570">
        <f t="shared" ref="S7:S15" si="0">F7</f>
        <v>0</v>
      </c>
      <c r="T7" s="1569" t="s">
        <v>8</v>
      </c>
      <c r="U7" s="1570">
        <f t="shared" ref="U7:U15" si="1">H7</f>
        <v>0</v>
      </c>
      <c r="V7" s="1569" t="s">
        <v>8</v>
      </c>
      <c r="W7" s="1570">
        <f t="shared" ref="W7:W15" si="2">J7</f>
        <v>0</v>
      </c>
      <c r="X7" s="1571"/>
      <c r="Y7" s="3449" t="s">
        <v>530</v>
      </c>
      <c r="Z7" s="3450"/>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49" t="s">
        <v>533</v>
      </c>
      <c r="Q8" s="3450"/>
      <c r="R8" s="1569" t="s">
        <v>8</v>
      </c>
      <c r="S8" s="1570">
        <f t="shared" si="0"/>
        <v>0</v>
      </c>
      <c r="T8" s="1569" t="s">
        <v>8</v>
      </c>
      <c r="U8" s="1570">
        <f t="shared" si="1"/>
        <v>0</v>
      </c>
      <c r="V8" s="1569" t="s">
        <v>8</v>
      </c>
      <c r="W8" s="1570">
        <f t="shared" si="2"/>
        <v>0</v>
      </c>
      <c r="X8" s="1571"/>
      <c r="Y8" s="3449" t="s">
        <v>533</v>
      </c>
      <c r="Z8" s="3450"/>
      <c r="AA8" s="1572" t="e">
        <f t="shared" ref="AA8:AA46" si="3">D8/F8</f>
        <v>#DIV/0!</v>
      </c>
      <c r="AB8" s="1572" t="e">
        <f t="shared" ref="AB8:AB46" si="4">D8/H8</f>
        <v>#DIV/0!</v>
      </c>
      <c r="AC8" s="1572"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57" t="s">
        <v>535</v>
      </c>
      <c r="Q9" s="1151" t="str">
        <f t="shared" ref="Q9:Q15" si="6">B9</f>
        <v>用途</v>
      </c>
      <c r="R9" s="1569" t="s">
        <v>8</v>
      </c>
      <c r="S9" s="1570">
        <f t="shared" si="0"/>
        <v>100</v>
      </c>
      <c r="T9" s="1569" t="s">
        <v>8</v>
      </c>
      <c r="U9" s="1570">
        <f t="shared" si="1"/>
        <v>100</v>
      </c>
      <c r="V9" s="1569" t="s">
        <v>8</v>
      </c>
      <c r="W9" s="1570">
        <f t="shared" si="2"/>
        <v>100</v>
      </c>
      <c r="X9" s="1571"/>
      <c r="Y9" s="3414"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57"/>
      <c r="Q10" s="1151" t="str">
        <f t="shared" si="6"/>
        <v>土地使用年限（年）</v>
      </c>
      <c r="R10" s="1569" t="s">
        <v>8</v>
      </c>
      <c r="S10" s="1570">
        <f t="shared" si="0"/>
        <v>100</v>
      </c>
      <c r="T10" s="1569" t="s">
        <v>8</v>
      </c>
      <c r="U10" s="1570">
        <f t="shared" si="1"/>
        <v>100</v>
      </c>
      <c r="V10" s="1569" t="s">
        <v>8</v>
      </c>
      <c r="W10" s="1570">
        <f t="shared" si="2"/>
        <v>100</v>
      </c>
      <c r="X10" s="1571"/>
      <c r="Y10" s="3414"/>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57"/>
      <c r="Q11" s="1151" t="str">
        <f t="shared" si="6"/>
        <v>容积率</v>
      </c>
      <c r="R11" s="1569" t="s">
        <v>8</v>
      </c>
      <c r="S11" s="1570" t="e">
        <f t="shared" si="0"/>
        <v>#N/A</v>
      </c>
      <c r="T11" s="1569" t="s">
        <v>8</v>
      </c>
      <c r="U11" s="1570" t="e">
        <f t="shared" si="1"/>
        <v>#N/A</v>
      </c>
      <c r="V11" s="1569" t="s">
        <v>8</v>
      </c>
      <c r="W11" s="1570" t="e">
        <f t="shared" si="2"/>
        <v>#N/A</v>
      </c>
      <c r="X11" s="1571"/>
      <c r="Y11" s="341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57"/>
      <c r="Q12" s="1151">
        <f t="shared" si="6"/>
        <v>111</v>
      </c>
      <c r="R12" s="1569" t="s">
        <v>8</v>
      </c>
      <c r="S12" s="1570">
        <f t="shared" si="0"/>
        <v>100</v>
      </c>
      <c r="T12" s="1569" t="s">
        <v>8</v>
      </c>
      <c r="U12" s="1570">
        <f t="shared" si="1"/>
        <v>100</v>
      </c>
      <c r="V12" s="1569" t="s">
        <v>8</v>
      </c>
      <c r="W12" s="1570">
        <f t="shared" si="2"/>
        <v>100</v>
      </c>
      <c r="X12" s="1571"/>
      <c r="Y12" s="3414"/>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57"/>
      <c r="Q13" s="1151">
        <f t="shared" si="6"/>
        <v>111</v>
      </c>
      <c r="R13" s="1569" t="s">
        <v>8</v>
      </c>
      <c r="S13" s="1570">
        <f t="shared" si="0"/>
        <v>100</v>
      </c>
      <c r="T13" s="1569" t="s">
        <v>8</v>
      </c>
      <c r="U13" s="1570">
        <f t="shared" si="1"/>
        <v>100</v>
      </c>
      <c r="V13" s="1569" t="s">
        <v>8</v>
      </c>
      <c r="W13" s="1570">
        <f t="shared" si="2"/>
        <v>100</v>
      </c>
      <c r="X13" s="1571"/>
      <c r="Y13" s="3414"/>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57"/>
      <c r="Q14" s="1151">
        <f t="shared" si="6"/>
        <v>111</v>
      </c>
      <c r="R14" s="1569" t="s">
        <v>8</v>
      </c>
      <c r="S14" s="1570">
        <f t="shared" si="0"/>
        <v>100</v>
      </c>
      <c r="T14" s="1569" t="s">
        <v>8</v>
      </c>
      <c r="U14" s="1570">
        <f t="shared" si="1"/>
        <v>100</v>
      </c>
      <c r="V14" s="1569" t="s">
        <v>8</v>
      </c>
      <c r="W14" s="1570">
        <f t="shared" si="2"/>
        <v>100</v>
      </c>
      <c r="X14" s="1571"/>
      <c r="Y14" s="3414"/>
      <c r="Z14" s="1150">
        <f t="shared" si="7"/>
        <v>111</v>
      </c>
      <c r="AA14" s="1572">
        <f t="shared" si="3"/>
        <v>1</v>
      </c>
      <c r="AB14" s="1572">
        <f t="shared" si="4"/>
        <v>1</v>
      </c>
      <c r="AC14" s="1572">
        <f t="shared" si="5"/>
        <v>1</v>
      </c>
    </row>
    <row r="15" spans="1:29" ht="71.25">
      <c r="A15" s="2911"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59" t="s">
        <v>540</v>
      </c>
      <c r="Q15" s="1573" t="str">
        <f t="shared" si="6"/>
        <v>商业繁华度</v>
      </c>
      <c r="R15" s="1574" t="s">
        <v>8</v>
      </c>
      <c r="S15" s="1575">
        <f t="shared" si="0"/>
        <v>100</v>
      </c>
      <c r="T15" s="1574" t="s">
        <v>8</v>
      </c>
      <c r="U15" s="1575">
        <f t="shared" si="1"/>
        <v>100</v>
      </c>
      <c r="V15" s="1574" t="s">
        <v>8</v>
      </c>
      <c r="W15" s="1575">
        <f t="shared" si="2"/>
        <v>100</v>
      </c>
      <c r="X15" s="1568"/>
      <c r="Y15" s="345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60"/>
      <c r="Q16" s="1573"/>
      <c r="R16" s="1574"/>
      <c r="S16" s="1575"/>
      <c r="T16" s="1574"/>
      <c r="U16" s="1575"/>
      <c r="V16" s="1574"/>
      <c r="W16" s="1575"/>
      <c r="X16" s="1568"/>
      <c r="Y16" s="346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60"/>
      <c r="Q17" s="1573" t="str">
        <f>B17</f>
        <v>交通便捷度</v>
      </c>
      <c r="R17" s="1574" t="s">
        <v>8</v>
      </c>
      <c r="S17" s="1575">
        <f>F17</f>
        <v>100</v>
      </c>
      <c r="T17" s="1574" t="s">
        <v>8</v>
      </c>
      <c r="U17" s="1575">
        <f>H17</f>
        <v>100</v>
      </c>
      <c r="V17" s="1574" t="s">
        <v>8</v>
      </c>
      <c r="W17" s="1575">
        <f>J17</f>
        <v>100</v>
      </c>
      <c r="X17" s="1568"/>
      <c r="Y17" s="346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60"/>
      <c r="Q18" s="1573"/>
      <c r="R18" s="1574"/>
      <c r="S18" s="1575"/>
      <c r="T18" s="1574"/>
      <c r="U18" s="1575"/>
      <c r="V18" s="1574"/>
      <c r="W18" s="1575"/>
      <c r="X18" s="1568"/>
      <c r="Y18" s="3460"/>
      <c r="Z18" s="1576"/>
      <c r="AA18" s="1577">
        <v>1</v>
      </c>
      <c r="AB18" s="1577">
        <v>1</v>
      </c>
      <c r="AC18" s="1577">
        <v>1</v>
      </c>
    </row>
    <row r="19" spans="1:29" ht="42.75">
      <c r="A19" s="532"/>
      <c r="B19" s="2601"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60"/>
      <c r="Q19" s="1573" t="str">
        <f>B19</f>
        <v>公共配套设施</v>
      </c>
      <c r="R19" s="1574" t="s">
        <v>8</v>
      </c>
      <c r="S19" s="1575">
        <f>F19</f>
        <v>100</v>
      </c>
      <c r="T19" s="1574" t="s">
        <v>8</v>
      </c>
      <c r="U19" s="1575">
        <f>H19</f>
        <v>100</v>
      </c>
      <c r="V19" s="1574" t="s">
        <v>8</v>
      </c>
      <c r="W19" s="1575">
        <f>J19</f>
        <v>100</v>
      </c>
      <c r="X19" s="1568"/>
      <c r="Y19" s="346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60"/>
      <c r="Q20" s="1573"/>
      <c r="R20" s="1574"/>
      <c r="S20" s="1575"/>
      <c r="T20" s="1574"/>
      <c r="U20" s="1575"/>
      <c r="V20" s="1574"/>
      <c r="W20" s="1575"/>
      <c r="X20" s="1568"/>
      <c r="Y20" s="3460"/>
      <c r="Z20" s="1576"/>
      <c r="AA20" s="1577">
        <v>1</v>
      </c>
      <c r="AB20" s="1577">
        <v>1</v>
      </c>
      <c r="AC20" s="1577">
        <v>1</v>
      </c>
    </row>
    <row r="21" spans="1:29" ht="28.5">
      <c r="A21" s="532"/>
      <c r="B21" s="2594"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60"/>
      <c r="Q21" s="2580" t="str">
        <f>B21</f>
        <v>基础设施水平</v>
      </c>
      <c r="R21" s="1574" t="s">
        <v>8</v>
      </c>
      <c r="S21" s="1575">
        <f>F21</f>
        <v>100</v>
      </c>
      <c r="T21" s="1574" t="s">
        <v>8</v>
      </c>
      <c r="U21" s="1575">
        <f>H21</f>
        <v>100</v>
      </c>
      <c r="V21" s="1574" t="s">
        <v>8</v>
      </c>
      <c r="W21" s="1575">
        <f>J21</f>
        <v>100</v>
      </c>
      <c r="X21" s="2582"/>
      <c r="Y21" s="3460"/>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460"/>
      <c r="Q22" s="2580"/>
      <c r="R22" s="1574"/>
      <c r="S22" s="1575"/>
      <c r="T22" s="1574"/>
      <c r="U22" s="1575"/>
      <c r="V22" s="1574"/>
      <c r="W22" s="1575"/>
      <c r="X22" s="2582"/>
      <c r="Y22" s="3460"/>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60"/>
      <c r="Q23" s="1573" t="str">
        <f>B23</f>
        <v>自然及人文环境</v>
      </c>
      <c r="R23" s="1574" t="s">
        <v>8</v>
      </c>
      <c r="S23" s="1575">
        <f>F23</f>
        <v>100</v>
      </c>
      <c r="T23" s="1574" t="s">
        <v>8</v>
      </c>
      <c r="U23" s="1575">
        <f>H23</f>
        <v>100</v>
      </c>
      <c r="V23" s="1574" t="s">
        <v>8</v>
      </c>
      <c r="W23" s="1575">
        <f>J23</f>
        <v>100</v>
      </c>
      <c r="X23" s="1568"/>
      <c r="Y23" s="346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60"/>
      <c r="Q24" s="1573"/>
      <c r="R24" s="1574"/>
      <c r="S24" s="1575"/>
      <c r="T24" s="1574"/>
      <c r="U24" s="1575"/>
      <c r="V24" s="1574"/>
      <c r="W24" s="1575"/>
      <c r="X24" s="1568"/>
      <c r="Y24" s="346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60"/>
      <c r="Q25" s="1573" t="str">
        <f t="shared" ref="Q25:Q46" si="11">B25</f>
        <v>临街状况</v>
      </c>
      <c r="R25" s="1574" t="s">
        <v>8</v>
      </c>
      <c r="S25" s="1575">
        <f>F25</f>
        <v>100</v>
      </c>
      <c r="T25" s="1574" t="s">
        <v>8</v>
      </c>
      <c r="U25" s="1575">
        <f>H25</f>
        <v>100</v>
      </c>
      <c r="V25" s="1574" t="s">
        <v>8</v>
      </c>
      <c r="W25" s="1575">
        <f>J25</f>
        <v>100</v>
      </c>
      <c r="X25" s="1568"/>
      <c r="Y25" s="3460"/>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60"/>
      <c r="Q26" s="1573" t="str">
        <f t="shared" si="11"/>
        <v>平面位置/可视性</v>
      </c>
      <c r="R26" s="1574" t="s">
        <v>8</v>
      </c>
      <c r="S26" s="1575">
        <f>F26</f>
        <v>100</v>
      </c>
      <c r="T26" s="1574" t="s">
        <v>8</v>
      </c>
      <c r="U26" s="1575">
        <f>H26</f>
        <v>100</v>
      </c>
      <c r="V26" s="1574" t="s">
        <v>8</v>
      </c>
      <c r="W26" s="1575">
        <f>J26</f>
        <v>100</v>
      </c>
      <c r="X26" s="1568"/>
      <c r="Y26" s="3460"/>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60"/>
      <c r="Q27" s="1151" t="str">
        <f t="shared" si="11"/>
        <v>人流量</v>
      </c>
      <c r="R27" s="1569" t="s">
        <v>8</v>
      </c>
      <c r="S27" s="1570">
        <f>F27</f>
        <v>100</v>
      </c>
      <c r="T27" s="1569" t="s">
        <v>8</v>
      </c>
      <c r="U27" s="1570">
        <f>H27</f>
        <v>100</v>
      </c>
      <c r="V27" s="1569" t="s">
        <v>8</v>
      </c>
      <c r="W27" s="1570">
        <f>J27</f>
        <v>100</v>
      </c>
      <c r="X27" s="1571"/>
      <c r="Y27" s="3460"/>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6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6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60"/>
      <c r="Q29" s="1573">
        <f t="shared" si="11"/>
        <v>111</v>
      </c>
      <c r="R29" s="1574" t="s">
        <v>8</v>
      </c>
      <c r="S29" s="1575">
        <f t="shared" si="12"/>
        <v>100</v>
      </c>
      <c r="T29" s="1574" t="s">
        <v>8</v>
      </c>
      <c r="U29" s="1575">
        <f t="shared" si="13"/>
        <v>100</v>
      </c>
      <c r="V29" s="1574" t="s">
        <v>8</v>
      </c>
      <c r="W29" s="1575">
        <f t="shared" si="14"/>
        <v>100</v>
      </c>
      <c r="X29" s="1568"/>
      <c r="Y29" s="346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60"/>
      <c r="Q30" s="1573">
        <f t="shared" si="11"/>
        <v>111</v>
      </c>
      <c r="R30" s="1574" t="s">
        <v>8</v>
      </c>
      <c r="S30" s="1575">
        <f t="shared" si="12"/>
        <v>100</v>
      </c>
      <c r="T30" s="1574" t="s">
        <v>8</v>
      </c>
      <c r="U30" s="1575">
        <f t="shared" si="13"/>
        <v>100</v>
      </c>
      <c r="V30" s="1574" t="s">
        <v>8</v>
      </c>
      <c r="W30" s="1575">
        <f t="shared" si="14"/>
        <v>100</v>
      </c>
      <c r="X30" s="1568"/>
      <c r="Y30" s="346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60"/>
      <c r="Q31" s="1573">
        <f t="shared" si="11"/>
        <v>111</v>
      </c>
      <c r="R31" s="1574" t="s">
        <v>8</v>
      </c>
      <c r="S31" s="1575">
        <f t="shared" si="12"/>
        <v>100</v>
      </c>
      <c r="T31" s="1574" t="s">
        <v>8</v>
      </c>
      <c r="U31" s="1575">
        <f t="shared" si="13"/>
        <v>100</v>
      </c>
      <c r="V31" s="1574" t="s">
        <v>8</v>
      </c>
      <c r="W31" s="1575">
        <f t="shared" si="14"/>
        <v>100</v>
      </c>
      <c r="X31" s="1568"/>
      <c r="Y31" s="3460"/>
      <c r="Z31" s="1576">
        <f t="shared" si="15"/>
        <v>111</v>
      </c>
      <c r="AA31" s="1577">
        <f t="shared" si="3"/>
        <v>1</v>
      </c>
      <c r="AB31" s="1577">
        <f t="shared" si="4"/>
        <v>1</v>
      </c>
      <c r="AC31" s="1577">
        <f t="shared" si="5"/>
        <v>1</v>
      </c>
    </row>
    <row r="32" spans="1:29" ht="15">
      <c r="A32" s="2908"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61" t="s">
        <v>550</v>
      </c>
      <c r="Q32" s="1573" t="str">
        <f t="shared" si="11"/>
        <v>商业类型</v>
      </c>
      <c r="R32" s="1574" t="s">
        <v>8</v>
      </c>
      <c r="S32" s="1575">
        <f t="shared" si="12"/>
        <v>100</v>
      </c>
      <c r="T32" s="1574" t="s">
        <v>8</v>
      </c>
      <c r="U32" s="1575">
        <f t="shared" si="13"/>
        <v>100</v>
      </c>
      <c r="V32" s="1574" t="s">
        <v>8</v>
      </c>
      <c r="W32" s="1575">
        <f t="shared" si="14"/>
        <v>100</v>
      </c>
      <c r="X32" s="1568"/>
      <c r="Y32" s="3462" t="s">
        <v>550</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62"/>
      <c r="Q33" s="1606" t="str">
        <f t="shared" si="11"/>
        <v>项目建筑规模</v>
      </c>
      <c r="R33" s="1578" t="s">
        <v>8</v>
      </c>
      <c r="S33" s="1579" t="e">
        <f t="shared" si="12"/>
        <v>#N/A</v>
      </c>
      <c r="T33" s="1578" t="s">
        <v>8</v>
      </c>
      <c r="U33" s="1579" t="e">
        <f t="shared" si="13"/>
        <v>#N/A</v>
      </c>
      <c r="V33" s="1578" t="s">
        <v>8</v>
      </c>
      <c r="W33" s="1579" t="e">
        <f t="shared" si="14"/>
        <v>#N/A</v>
      </c>
      <c r="X33" s="1580"/>
      <c r="Y33" s="3462"/>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62"/>
      <c r="Q34" s="1573" t="str">
        <f t="shared" si="11"/>
        <v>建筑结构</v>
      </c>
      <c r="R34" s="1574" t="s">
        <v>8</v>
      </c>
      <c r="S34" s="1575">
        <f t="shared" si="12"/>
        <v>100</v>
      </c>
      <c r="T34" s="1574" t="s">
        <v>8</v>
      </c>
      <c r="U34" s="1575">
        <f t="shared" si="13"/>
        <v>100</v>
      </c>
      <c r="V34" s="1574" t="s">
        <v>8</v>
      </c>
      <c r="W34" s="1575">
        <f t="shared" si="14"/>
        <v>100</v>
      </c>
      <c r="X34" s="1568"/>
      <c r="Y34" s="3462"/>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62"/>
      <c r="Q35" s="1573" t="str">
        <f t="shared" si="11"/>
        <v>公共部分装修</v>
      </c>
      <c r="R35" s="1574" t="s">
        <v>8</v>
      </c>
      <c r="S35" s="1575">
        <f t="shared" si="12"/>
        <v>100</v>
      </c>
      <c r="T35" s="1574" t="s">
        <v>8</v>
      </c>
      <c r="U35" s="1575">
        <f t="shared" si="13"/>
        <v>100</v>
      </c>
      <c r="V35" s="1574" t="s">
        <v>8</v>
      </c>
      <c r="W35" s="1575">
        <f t="shared" si="14"/>
        <v>100</v>
      </c>
      <c r="X35" s="1568"/>
      <c r="Y35" s="3462"/>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62"/>
      <c r="Q36" s="1573" t="str">
        <f t="shared" si="11"/>
        <v>成新度</v>
      </c>
      <c r="R36" s="1574" t="s">
        <v>8</v>
      </c>
      <c r="S36" s="1575" t="e">
        <f t="shared" si="12"/>
        <v>#N/A</v>
      </c>
      <c r="T36" s="1574" t="s">
        <v>8</v>
      </c>
      <c r="U36" s="1575" t="e">
        <f t="shared" si="13"/>
        <v>#N/A</v>
      </c>
      <c r="V36" s="1574" t="s">
        <v>8</v>
      </c>
      <c r="W36" s="1575" t="e">
        <f t="shared" si="14"/>
        <v>#N/A</v>
      </c>
      <c r="X36" s="1568"/>
      <c r="Y36" s="3462"/>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62"/>
      <c r="Q37" s="1151" t="str">
        <f t="shared" si="11"/>
        <v>市政基础设施</v>
      </c>
      <c r="R37" s="1569" t="s">
        <v>8</v>
      </c>
      <c r="S37" s="1570">
        <f t="shared" si="12"/>
        <v>100</v>
      </c>
      <c r="T37" s="1569" t="s">
        <v>8</v>
      </c>
      <c r="U37" s="1570">
        <f t="shared" si="13"/>
        <v>100</v>
      </c>
      <c r="V37" s="1569" t="s">
        <v>8</v>
      </c>
      <c r="W37" s="1570">
        <f t="shared" si="14"/>
        <v>100</v>
      </c>
      <c r="X37" s="1571"/>
      <c r="Y37" s="3462"/>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62" t="s">
        <v>765</v>
      </c>
      <c r="Q38" s="1573" t="str">
        <f t="shared" si="11"/>
        <v>业态</v>
      </c>
      <c r="R38" s="1574" t="s">
        <v>8</v>
      </c>
      <c r="S38" s="1575">
        <f t="shared" si="12"/>
        <v>100</v>
      </c>
      <c r="T38" s="1574" t="s">
        <v>8</v>
      </c>
      <c r="U38" s="1575">
        <f t="shared" si="13"/>
        <v>100</v>
      </c>
      <c r="V38" s="1574" t="s">
        <v>8</v>
      </c>
      <c r="W38" s="1575">
        <f t="shared" si="14"/>
        <v>100</v>
      </c>
      <c r="X38" s="1568"/>
      <c r="Y38" s="3462"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62"/>
      <c r="Q39" s="1573" t="str">
        <f t="shared" si="11"/>
        <v>层高</v>
      </c>
      <c r="R39" s="1574" t="s">
        <v>8</v>
      </c>
      <c r="S39" s="1575">
        <f t="shared" si="12"/>
        <v>100</v>
      </c>
      <c r="T39" s="1574" t="s">
        <v>8</v>
      </c>
      <c r="U39" s="1575">
        <f t="shared" si="13"/>
        <v>100</v>
      </c>
      <c r="V39" s="1574" t="s">
        <v>8</v>
      </c>
      <c r="W39" s="1575">
        <f t="shared" si="14"/>
        <v>100</v>
      </c>
      <c r="X39" s="1568"/>
      <c r="Y39" s="3462"/>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62"/>
      <c r="Q40" s="1573" t="str">
        <f t="shared" si="11"/>
        <v>单套建筑面积</v>
      </c>
      <c r="R40" s="1574" t="s">
        <v>8</v>
      </c>
      <c r="S40" s="1575">
        <f t="shared" si="12"/>
        <v>100</v>
      </c>
      <c r="T40" s="1574" t="s">
        <v>8</v>
      </c>
      <c r="U40" s="1575">
        <f t="shared" si="13"/>
        <v>100</v>
      </c>
      <c r="V40" s="1574" t="s">
        <v>8</v>
      </c>
      <c r="W40" s="1575">
        <f t="shared" si="14"/>
        <v>100</v>
      </c>
      <c r="X40" s="1568"/>
      <c r="Y40" s="3462"/>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62"/>
      <c r="Q41" s="1606" t="str">
        <f t="shared" si="11"/>
        <v>进深比</v>
      </c>
      <c r="R41" s="1578" t="s">
        <v>8</v>
      </c>
      <c r="S41" s="1579">
        <f t="shared" si="12"/>
        <v>100</v>
      </c>
      <c r="T41" s="1578" t="s">
        <v>8</v>
      </c>
      <c r="U41" s="1579">
        <f t="shared" si="13"/>
        <v>100</v>
      </c>
      <c r="V41" s="1578" t="s">
        <v>8</v>
      </c>
      <c r="W41" s="1579">
        <f t="shared" si="14"/>
        <v>100</v>
      </c>
      <c r="X41" s="1580"/>
      <c r="Y41" s="3462"/>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62"/>
      <c r="Q42" s="1573" t="str">
        <f t="shared" si="11"/>
        <v>内部装修</v>
      </c>
      <c r="R42" s="1574" t="s">
        <v>8</v>
      </c>
      <c r="S42" s="1575">
        <f t="shared" si="12"/>
        <v>100</v>
      </c>
      <c r="T42" s="1574" t="s">
        <v>8</v>
      </c>
      <c r="U42" s="1575">
        <f t="shared" si="13"/>
        <v>100</v>
      </c>
      <c r="V42" s="1574" t="s">
        <v>8</v>
      </c>
      <c r="W42" s="1575">
        <f t="shared" si="14"/>
        <v>100</v>
      </c>
      <c r="X42" s="1568"/>
      <c r="Y42" s="3462"/>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62"/>
      <c r="Q43" s="1573" t="str">
        <f t="shared" si="11"/>
        <v>内部装修维护情况</v>
      </c>
      <c r="R43" s="1574" t="s">
        <v>8</v>
      </c>
      <c r="S43" s="1575">
        <f t="shared" si="12"/>
        <v>100</v>
      </c>
      <c r="T43" s="1574" t="s">
        <v>8</v>
      </c>
      <c r="U43" s="1575">
        <f t="shared" si="13"/>
        <v>100</v>
      </c>
      <c r="V43" s="1574" t="s">
        <v>8</v>
      </c>
      <c r="W43" s="1575">
        <f t="shared" si="14"/>
        <v>100</v>
      </c>
      <c r="X43" s="1568"/>
      <c r="Y43" s="346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62"/>
      <c r="Q44" s="1151">
        <f t="shared" si="11"/>
        <v>111</v>
      </c>
      <c r="R44" s="1569" t="s">
        <v>8</v>
      </c>
      <c r="S44" s="1570">
        <f t="shared" si="12"/>
        <v>100</v>
      </c>
      <c r="T44" s="1569" t="s">
        <v>8</v>
      </c>
      <c r="U44" s="1570">
        <f t="shared" si="13"/>
        <v>100</v>
      </c>
      <c r="V44" s="1569" t="s">
        <v>8</v>
      </c>
      <c r="W44" s="1570">
        <f t="shared" si="14"/>
        <v>100</v>
      </c>
      <c r="X44" s="1571"/>
      <c r="Y44" s="346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62"/>
      <c r="Q45" s="1573">
        <f t="shared" si="11"/>
        <v>111</v>
      </c>
      <c r="R45" s="1574" t="s">
        <v>8</v>
      </c>
      <c r="S45" s="1575">
        <f t="shared" si="12"/>
        <v>100</v>
      </c>
      <c r="T45" s="1574" t="s">
        <v>8</v>
      </c>
      <c r="U45" s="1575">
        <f t="shared" si="13"/>
        <v>100</v>
      </c>
      <c r="V45" s="1574" t="s">
        <v>8</v>
      </c>
      <c r="W45" s="1575">
        <f t="shared" si="14"/>
        <v>100</v>
      </c>
      <c r="X45" s="1568"/>
      <c r="Y45" s="346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47"/>
      <c r="Q46" s="1573">
        <f t="shared" si="11"/>
        <v>111</v>
      </c>
      <c r="R46" s="1574" t="s">
        <v>8</v>
      </c>
      <c r="S46" s="1575">
        <f t="shared" si="12"/>
        <v>100</v>
      </c>
      <c r="T46" s="1574" t="s">
        <v>8</v>
      </c>
      <c r="U46" s="1575">
        <f t="shared" si="13"/>
        <v>100</v>
      </c>
      <c r="V46" s="1574" t="s">
        <v>8</v>
      </c>
      <c r="W46" s="1575">
        <f t="shared" si="14"/>
        <v>100</v>
      </c>
      <c r="X46" s="1568"/>
      <c r="Y46" s="3547"/>
      <c r="Z46" s="1576">
        <f t="shared" si="15"/>
        <v>111</v>
      </c>
      <c r="AA46" s="1577">
        <f t="shared" si="3"/>
        <v>1</v>
      </c>
      <c r="AB46" s="1577">
        <f t="shared" si="4"/>
        <v>1</v>
      </c>
      <c r="AC46" s="1577">
        <f t="shared" si="5"/>
        <v>1</v>
      </c>
    </row>
    <row r="47" spans="1:29" ht="15">
      <c r="A47" s="607" t="s">
        <v>735</v>
      </c>
      <c r="B47" s="887"/>
      <c r="C47" s="2628" t="s">
        <v>1</v>
      </c>
      <c r="D47" s="2629"/>
      <c r="E47" s="2630"/>
      <c r="F47" s="2631"/>
      <c r="G47" s="2632"/>
      <c r="H47" s="2633"/>
      <c r="I47" s="2630"/>
      <c r="J47" s="2633"/>
      <c r="K47" s="1612"/>
      <c r="L47" s="2145"/>
      <c r="M47" s="2146"/>
      <c r="N47" s="2135"/>
      <c r="O47" s="2146"/>
      <c r="P47" s="3457" t="str">
        <f>A47</f>
        <v>成交单价（元/平方米）</v>
      </c>
      <c r="Q47" s="3457"/>
      <c r="R47" s="3546">
        <f>E47</f>
        <v>0</v>
      </c>
      <c r="S47" s="3546"/>
      <c r="T47" s="3546">
        <f>G47</f>
        <v>0</v>
      </c>
      <c r="U47" s="3546"/>
      <c r="V47" s="3546">
        <f>I47</f>
        <v>0</v>
      </c>
      <c r="W47" s="3546"/>
      <c r="X47" s="1560"/>
      <c r="Y47" s="1582"/>
      <c r="Z47" s="1560"/>
      <c r="AA47" s="1560"/>
      <c r="AB47" s="1560"/>
      <c r="AC47" s="1560"/>
    </row>
    <row r="48" spans="1:29" ht="15.75" thickBot="1">
      <c r="A48" s="615" t="s">
        <v>2759</v>
      </c>
      <c r="B48" s="888"/>
      <c r="C48" s="2634" t="e">
        <f>R49</f>
        <v>#DIV/0!</v>
      </c>
      <c r="D48" s="2635"/>
      <c r="E48" s="2636" t="e">
        <f>R48</f>
        <v>#DIV/0!</v>
      </c>
      <c r="F48" s="2636"/>
      <c r="G48" s="2634" t="e">
        <f>T48</f>
        <v>#DIV/0!</v>
      </c>
      <c r="H48" s="2635"/>
      <c r="I48" s="2636" t="e">
        <f>V48</f>
        <v>#DIV/0!</v>
      </c>
      <c r="J48" s="2635"/>
      <c r="K48" s="1613"/>
      <c r="L48" s="2145"/>
      <c r="M48" s="2146"/>
      <c r="N48" s="2135"/>
      <c r="O48" s="2146"/>
      <c r="P48" s="3457" t="str">
        <f>A48</f>
        <v>比较价格（元/平方米）</v>
      </c>
      <c r="Q48" s="3457"/>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1560"/>
      <c r="Y48" s="1560"/>
      <c r="Z48" s="1560"/>
      <c r="AA48" s="1560"/>
      <c r="AB48" s="1560"/>
      <c r="AC48" s="1560"/>
    </row>
    <row r="49" spans="1:29" ht="15.75" thickBot="1">
      <c r="A49" s="621" t="s">
        <v>2926</v>
      </c>
      <c r="B49" s="622"/>
      <c r="C49" s="2637" t="e">
        <f>R49</f>
        <v>#DIV/0!</v>
      </c>
      <c r="D49" s="2637"/>
      <c r="E49" s="2637"/>
      <c r="F49" s="2637"/>
      <c r="G49" s="2637"/>
      <c r="H49" s="2637"/>
      <c r="I49" s="2637"/>
      <c r="J49" s="2637"/>
      <c r="K49" s="1614"/>
      <c r="L49" s="2145"/>
      <c r="M49" s="2146"/>
      <c r="N49" s="2135"/>
      <c r="O49" s="2146"/>
      <c r="P49" s="3478" t="str">
        <f>A49</f>
        <v>估价对象XX用房的比较价格（楼面单价，元/平方米）</v>
      </c>
      <c r="Q49" s="3479"/>
      <c r="R49" s="3545" t="e">
        <f>IF(F1="售价",ROUND(AVERAGE(R48:V48),0),ROUND(AVERAGE(R48:V48),1))</f>
        <v>#DIV/0!</v>
      </c>
      <c r="S49" s="3545"/>
      <c r="T49" s="3545"/>
      <c r="U49" s="3545"/>
      <c r="V49" s="3545"/>
      <c r="W49" s="354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2557</v>
      </c>
      <c r="C82" s="2599" t="s">
        <v>2558</v>
      </c>
      <c r="D82" s="2599" t="s">
        <v>2559</v>
      </c>
      <c r="E82" s="2599" t="s">
        <v>2560</v>
      </c>
      <c r="F82" s="2599" t="s">
        <v>2561</v>
      </c>
      <c r="G82" s="2599" t="s">
        <v>2562</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776</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63" t="s">
        <v>522</v>
      </c>
      <c r="D4" s="3464"/>
      <c r="E4" s="3489" t="s">
        <v>523</v>
      </c>
      <c r="F4" s="3490"/>
      <c r="G4" s="3463" t="s">
        <v>524</v>
      </c>
      <c r="H4" s="3464"/>
      <c r="I4" s="3463" t="s">
        <v>525</v>
      </c>
      <c r="J4" s="3464"/>
      <c r="K4" s="514" t="s">
        <v>526</v>
      </c>
      <c r="L4" s="2134"/>
      <c r="M4" s="2135"/>
      <c r="N4" s="2135"/>
      <c r="O4" s="2135"/>
      <c r="P4" s="3571" t="s">
        <v>527</v>
      </c>
      <c r="Q4" s="3466"/>
      <c r="R4" s="3451" t="s">
        <v>523</v>
      </c>
      <c r="S4" s="3452"/>
      <c r="T4" s="3451" t="s">
        <v>524</v>
      </c>
      <c r="U4" s="3452"/>
      <c r="V4" s="3471" t="s">
        <v>525</v>
      </c>
      <c r="W4" s="3471"/>
      <c r="X4" s="1568"/>
      <c r="Y4" s="3451" t="s">
        <v>527</v>
      </c>
      <c r="Z4" s="3452"/>
      <c r="AA4" s="3446" t="s">
        <v>523</v>
      </c>
      <c r="AB4" s="3446" t="s">
        <v>524</v>
      </c>
      <c r="AC4" s="3446" t="s">
        <v>525</v>
      </c>
    </row>
    <row r="5" spans="1:29" ht="15">
      <c r="A5" s="515"/>
      <c r="B5" s="516"/>
      <c r="C5" s="3493" t="s">
        <v>2920</v>
      </c>
      <c r="D5" s="3494"/>
      <c r="E5" s="3491" t="s">
        <v>2921</v>
      </c>
      <c r="F5" s="3492"/>
      <c r="G5" s="3493" t="s">
        <v>2922</v>
      </c>
      <c r="H5" s="3494"/>
      <c r="I5" s="3493" t="s">
        <v>2923</v>
      </c>
      <c r="J5" s="3494"/>
      <c r="K5" s="514"/>
      <c r="L5" s="2134"/>
      <c r="M5" s="2135"/>
      <c r="N5" s="2135"/>
      <c r="O5" s="2135"/>
      <c r="P5" s="3572"/>
      <c r="Q5" s="3468"/>
      <c r="R5" s="3453"/>
      <c r="S5" s="3454"/>
      <c r="T5" s="3453"/>
      <c r="U5" s="3454"/>
      <c r="V5" s="3471"/>
      <c r="W5" s="3471"/>
      <c r="X5" s="1568"/>
      <c r="Y5" s="3453"/>
      <c r="Z5" s="3454"/>
      <c r="AA5" s="3447"/>
      <c r="AB5" s="3447"/>
      <c r="AC5" s="3447"/>
    </row>
    <row r="6" spans="1:29" ht="15.75" thickBot="1">
      <c r="A6" s="517"/>
      <c r="B6" s="518"/>
      <c r="C6" s="3495" t="s">
        <v>2924</v>
      </c>
      <c r="D6" s="3496"/>
      <c r="E6" s="3497" t="s">
        <v>2924</v>
      </c>
      <c r="F6" s="3498"/>
      <c r="G6" s="3495" t="s">
        <v>2924</v>
      </c>
      <c r="H6" s="3496"/>
      <c r="I6" s="3495" t="s">
        <v>2924</v>
      </c>
      <c r="J6" s="3496"/>
      <c r="K6" s="514" t="s">
        <v>528</v>
      </c>
      <c r="L6" s="2134"/>
      <c r="M6" s="2135"/>
      <c r="N6" s="2135"/>
      <c r="O6" s="2135"/>
      <c r="P6" s="3573"/>
      <c r="Q6" s="3470"/>
      <c r="R6" s="3453"/>
      <c r="S6" s="3454"/>
      <c r="T6" s="3455"/>
      <c r="U6" s="3456"/>
      <c r="V6" s="3471"/>
      <c r="W6" s="3471"/>
      <c r="X6" s="1568"/>
      <c r="Y6" s="3455"/>
      <c r="Z6" s="3456"/>
      <c r="AA6" s="3448"/>
      <c r="AB6" s="3448"/>
      <c r="AC6" s="3448"/>
    </row>
    <row r="7" spans="1:29" s="1220" customFormat="1" ht="15.75" thickBot="1">
      <c r="A7" s="2913"/>
      <c r="B7" s="2920" t="s">
        <v>529</v>
      </c>
      <c r="C7" s="519">
        <f>'数据-取费表'!B2</f>
        <v>43426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58" t="s">
        <v>530</v>
      </c>
      <c r="Q7" s="3458"/>
      <c r="R7" s="1569" t="s">
        <v>8</v>
      </c>
      <c r="S7" s="1570">
        <f t="shared" ref="S7:S15" si="0">F7</f>
        <v>0</v>
      </c>
      <c r="T7" s="1569" t="s">
        <v>8</v>
      </c>
      <c r="U7" s="1570">
        <f t="shared" ref="U7:U15" si="1">H7</f>
        <v>0</v>
      </c>
      <c r="V7" s="1569" t="s">
        <v>8</v>
      </c>
      <c r="W7" s="1570">
        <f t="shared" ref="W7:W15" si="2">J7</f>
        <v>0</v>
      </c>
      <c r="X7" s="1571"/>
      <c r="Y7" s="3449" t="s">
        <v>530</v>
      </c>
      <c r="Z7" s="3450"/>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58" t="s">
        <v>533</v>
      </c>
      <c r="Q8" s="3450"/>
      <c r="R8" s="1569" t="s">
        <v>8</v>
      </c>
      <c r="S8" s="1570">
        <f t="shared" si="0"/>
        <v>0</v>
      </c>
      <c r="T8" s="1569" t="s">
        <v>8</v>
      </c>
      <c r="U8" s="1570">
        <f t="shared" si="1"/>
        <v>0</v>
      </c>
      <c r="V8" s="1569" t="s">
        <v>8</v>
      </c>
      <c r="W8" s="1570">
        <f t="shared" si="2"/>
        <v>0</v>
      </c>
      <c r="X8" s="1571"/>
      <c r="Y8" s="3449" t="s">
        <v>533</v>
      </c>
      <c r="Z8" s="3450"/>
      <c r="AA8" s="1572" t="e">
        <f t="shared" ref="AA8:AA47" si="3">D8/F8</f>
        <v>#DIV/0!</v>
      </c>
      <c r="AB8" s="1572" t="e">
        <f t="shared" ref="AB8:AB47" si="4">D8/H8</f>
        <v>#DIV/0!</v>
      </c>
      <c r="AC8" s="1572"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57" t="s">
        <v>535</v>
      </c>
      <c r="Q9" s="1151" t="str">
        <f t="shared" ref="Q9:Q15" si="6">B9</f>
        <v>用途</v>
      </c>
      <c r="R9" s="1569" t="s">
        <v>8</v>
      </c>
      <c r="S9" s="1570">
        <f t="shared" si="0"/>
        <v>100</v>
      </c>
      <c r="T9" s="1569" t="s">
        <v>8</v>
      </c>
      <c r="U9" s="1570">
        <f t="shared" si="1"/>
        <v>100</v>
      </c>
      <c r="V9" s="1569" t="s">
        <v>8</v>
      </c>
      <c r="W9" s="1570">
        <f t="shared" si="2"/>
        <v>100</v>
      </c>
      <c r="X9" s="1571"/>
      <c r="Y9" s="3414"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57"/>
      <c r="Q10" s="1151" t="str">
        <f t="shared" si="6"/>
        <v>土地使用年限（年）</v>
      </c>
      <c r="R10" s="1569" t="s">
        <v>8</v>
      </c>
      <c r="S10" s="1570">
        <f t="shared" si="0"/>
        <v>100</v>
      </c>
      <c r="T10" s="1569" t="s">
        <v>8</v>
      </c>
      <c r="U10" s="1570">
        <f t="shared" si="1"/>
        <v>100</v>
      </c>
      <c r="V10" s="1569" t="s">
        <v>8</v>
      </c>
      <c r="W10" s="1570">
        <f t="shared" si="2"/>
        <v>100</v>
      </c>
      <c r="X10" s="1571"/>
      <c r="Y10" s="3414"/>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57"/>
      <c r="Q11" s="1151" t="str">
        <f t="shared" si="6"/>
        <v>容积率</v>
      </c>
      <c r="R11" s="1569" t="s">
        <v>8</v>
      </c>
      <c r="S11" s="1570" t="e">
        <f t="shared" si="0"/>
        <v>#N/A</v>
      </c>
      <c r="T11" s="1569" t="s">
        <v>8</v>
      </c>
      <c r="U11" s="1570" t="e">
        <f t="shared" si="1"/>
        <v>#N/A</v>
      </c>
      <c r="V11" s="1569" t="s">
        <v>8</v>
      </c>
      <c r="W11" s="1570" t="e">
        <f t="shared" si="2"/>
        <v>#N/A</v>
      </c>
      <c r="X11" s="1571"/>
      <c r="Y11" s="341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57"/>
      <c r="Q12" s="1151">
        <f t="shared" si="6"/>
        <v>111</v>
      </c>
      <c r="R12" s="1569" t="s">
        <v>8</v>
      </c>
      <c r="S12" s="1570">
        <f t="shared" si="0"/>
        <v>100</v>
      </c>
      <c r="T12" s="1569" t="s">
        <v>8</v>
      </c>
      <c r="U12" s="1570">
        <f t="shared" si="1"/>
        <v>100</v>
      </c>
      <c r="V12" s="1569" t="s">
        <v>8</v>
      </c>
      <c r="W12" s="1570">
        <f t="shared" si="2"/>
        <v>100</v>
      </c>
      <c r="X12" s="1571"/>
      <c r="Y12" s="3414"/>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57"/>
      <c r="Q13" s="1151">
        <f t="shared" si="6"/>
        <v>111</v>
      </c>
      <c r="R13" s="1569" t="s">
        <v>8</v>
      </c>
      <c r="S13" s="1570">
        <f t="shared" si="0"/>
        <v>100</v>
      </c>
      <c r="T13" s="1569" t="s">
        <v>8</v>
      </c>
      <c r="U13" s="1570">
        <f t="shared" si="1"/>
        <v>100</v>
      </c>
      <c r="V13" s="1569" t="s">
        <v>8</v>
      </c>
      <c r="W13" s="1570">
        <f t="shared" si="2"/>
        <v>100</v>
      </c>
      <c r="X13" s="1571"/>
      <c r="Y13" s="3414"/>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57"/>
      <c r="Q14" s="1151">
        <f t="shared" si="6"/>
        <v>111</v>
      </c>
      <c r="R14" s="1569" t="s">
        <v>8</v>
      </c>
      <c r="S14" s="1570">
        <f t="shared" si="0"/>
        <v>100</v>
      </c>
      <c r="T14" s="1569" t="s">
        <v>8</v>
      </c>
      <c r="U14" s="1570">
        <f t="shared" si="1"/>
        <v>100</v>
      </c>
      <c r="V14" s="1569" t="s">
        <v>8</v>
      </c>
      <c r="W14" s="1570">
        <f t="shared" si="2"/>
        <v>100</v>
      </c>
      <c r="X14" s="1571"/>
      <c r="Y14" s="3414"/>
      <c r="Z14" s="1150">
        <f t="shared" si="7"/>
        <v>111</v>
      </c>
      <c r="AA14" s="1572">
        <f t="shared" si="3"/>
        <v>1</v>
      </c>
      <c r="AB14" s="1572">
        <f t="shared" si="4"/>
        <v>1</v>
      </c>
      <c r="AC14" s="1572">
        <f t="shared" si="5"/>
        <v>1</v>
      </c>
    </row>
    <row r="15" spans="1:29" ht="71.25">
      <c r="A15" s="2911"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59" t="s">
        <v>540</v>
      </c>
      <c r="Q15" s="1573" t="str">
        <f t="shared" si="6"/>
        <v>办公集聚程度</v>
      </c>
      <c r="R15" s="1574" t="s">
        <v>8</v>
      </c>
      <c r="S15" s="1575">
        <f t="shared" si="0"/>
        <v>100</v>
      </c>
      <c r="T15" s="1574" t="s">
        <v>8</v>
      </c>
      <c r="U15" s="1575">
        <f t="shared" si="1"/>
        <v>100</v>
      </c>
      <c r="V15" s="1574" t="s">
        <v>8</v>
      </c>
      <c r="W15" s="1575">
        <f t="shared" si="2"/>
        <v>100</v>
      </c>
      <c r="X15" s="1568"/>
      <c r="Y15" s="345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60"/>
      <c r="Q16" s="1573"/>
      <c r="R16" s="1574"/>
      <c r="S16" s="1575"/>
      <c r="T16" s="1574"/>
      <c r="U16" s="1575"/>
      <c r="V16" s="1574"/>
      <c r="W16" s="1575"/>
      <c r="X16" s="1568"/>
      <c r="Y16" s="346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60"/>
      <c r="Q17" s="1573" t="str">
        <f>B17</f>
        <v>交通便捷度</v>
      </c>
      <c r="R17" s="1574" t="s">
        <v>8</v>
      </c>
      <c r="S17" s="1575">
        <f>F17</f>
        <v>100</v>
      </c>
      <c r="T17" s="1574" t="s">
        <v>8</v>
      </c>
      <c r="U17" s="1575">
        <f>H17</f>
        <v>100</v>
      </c>
      <c r="V17" s="1574" t="s">
        <v>8</v>
      </c>
      <c r="W17" s="1575">
        <f>J17</f>
        <v>100</v>
      </c>
      <c r="X17" s="1568"/>
      <c r="Y17" s="346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60"/>
      <c r="Q18" s="1573"/>
      <c r="R18" s="1574"/>
      <c r="S18" s="1575"/>
      <c r="T18" s="1574"/>
      <c r="U18" s="1575"/>
      <c r="V18" s="1574"/>
      <c r="W18" s="1575"/>
      <c r="X18" s="1568"/>
      <c r="Y18" s="3460"/>
      <c r="Z18" s="1576"/>
      <c r="AA18" s="1577">
        <v>1</v>
      </c>
      <c r="AB18" s="1577">
        <v>1</v>
      </c>
      <c r="AC18" s="1577">
        <v>1</v>
      </c>
    </row>
    <row r="19" spans="1:29" ht="42.75">
      <c r="A19" s="532"/>
      <c r="B19" s="2604"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60"/>
      <c r="Q19" s="1573" t="str">
        <f>B19</f>
        <v>公共配套设施</v>
      </c>
      <c r="R19" s="1574" t="s">
        <v>8</v>
      </c>
      <c r="S19" s="1575">
        <f>F19</f>
        <v>100</v>
      </c>
      <c r="T19" s="1574" t="s">
        <v>8</v>
      </c>
      <c r="U19" s="1575">
        <f>H19</f>
        <v>100</v>
      </c>
      <c r="V19" s="1574" t="s">
        <v>8</v>
      </c>
      <c r="W19" s="1575">
        <f>J19</f>
        <v>100</v>
      </c>
      <c r="X19" s="1568"/>
      <c r="Y19" s="346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60"/>
      <c r="Q20" s="1573"/>
      <c r="R20" s="1574"/>
      <c r="S20" s="1575"/>
      <c r="T20" s="1574"/>
      <c r="U20" s="1575"/>
      <c r="V20" s="1574"/>
      <c r="W20" s="1575"/>
      <c r="X20" s="1568"/>
      <c r="Y20" s="3460"/>
      <c r="Z20" s="1576"/>
      <c r="AA20" s="1577">
        <v>1</v>
      </c>
      <c r="AB20" s="1577">
        <v>1</v>
      </c>
      <c r="AC20" s="1577">
        <v>1</v>
      </c>
    </row>
    <row r="21" spans="1:29" ht="28.5">
      <c r="A21" s="532"/>
      <c r="B21" s="2592"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60"/>
      <c r="Q21" s="2580" t="str">
        <f>B21</f>
        <v>基础设施水平</v>
      </c>
      <c r="R21" s="1574" t="s">
        <v>8</v>
      </c>
      <c r="S21" s="1575">
        <f>F21</f>
        <v>100</v>
      </c>
      <c r="T21" s="1574" t="s">
        <v>8</v>
      </c>
      <c r="U21" s="1575">
        <f>H21</f>
        <v>100</v>
      </c>
      <c r="V21" s="1574" t="s">
        <v>8</v>
      </c>
      <c r="W21" s="1575">
        <f>J21</f>
        <v>100</v>
      </c>
      <c r="X21" s="2582"/>
      <c r="Y21" s="3460"/>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460"/>
      <c r="Q22" s="2580"/>
      <c r="R22" s="1574"/>
      <c r="S22" s="1575"/>
      <c r="T22" s="1574"/>
      <c r="U22" s="1575"/>
      <c r="V22" s="1574"/>
      <c r="W22" s="1575"/>
      <c r="X22" s="2582"/>
      <c r="Y22" s="3460"/>
      <c r="Z22" s="2581"/>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60"/>
      <c r="Q23" s="1573" t="str">
        <f>B23</f>
        <v>环境质量</v>
      </c>
      <c r="R23" s="1574" t="s">
        <v>8</v>
      </c>
      <c r="S23" s="1575">
        <f>F23</f>
        <v>100</v>
      </c>
      <c r="T23" s="1574" t="s">
        <v>8</v>
      </c>
      <c r="U23" s="1575">
        <f>H23</f>
        <v>100</v>
      </c>
      <c r="V23" s="1574" t="s">
        <v>8</v>
      </c>
      <c r="W23" s="1575">
        <f>J23</f>
        <v>100</v>
      </c>
      <c r="X23" s="1568"/>
      <c r="Y23" s="346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60"/>
      <c r="Q24" s="1573"/>
      <c r="R24" s="1574"/>
      <c r="S24" s="1575"/>
      <c r="T24" s="1574"/>
      <c r="U24" s="1575"/>
      <c r="V24" s="1574"/>
      <c r="W24" s="1575"/>
      <c r="X24" s="1568"/>
      <c r="Y24" s="346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60"/>
      <c r="Q25" s="1573" t="str">
        <f>B25</f>
        <v>毗邻道路的类型与等级</v>
      </c>
      <c r="R25" s="1574" t="s">
        <v>8</v>
      </c>
      <c r="S25" s="1575">
        <f>F25</f>
        <v>100</v>
      </c>
      <c r="T25" s="1574" t="s">
        <v>8</v>
      </c>
      <c r="U25" s="1575">
        <f>H25</f>
        <v>100</v>
      </c>
      <c r="V25" s="1574" t="s">
        <v>8</v>
      </c>
      <c r="W25" s="1575">
        <f>J25</f>
        <v>100</v>
      </c>
      <c r="X25" s="1568"/>
      <c r="Y25" s="346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60"/>
      <c r="Q26" s="1573"/>
      <c r="R26" s="1574"/>
      <c r="S26" s="1575"/>
      <c r="T26" s="1574"/>
      <c r="U26" s="1575"/>
      <c r="V26" s="1574"/>
      <c r="W26" s="1575"/>
      <c r="X26" s="1568"/>
      <c r="Y26" s="3460"/>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60"/>
      <c r="Q27" s="1573" t="str">
        <f t="shared" ref="Q27:Q47" si="11">B27</f>
        <v>楼层</v>
      </c>
      <c r="R27" s="1574" t="s">
        <v>8</v>
      </c>
      <c r="S27" s="1575">
        <f>F27</f>
        <v>100</v>
      </c>
      <c r="T27" s="1574" t="s">
        <v>8</v>
      </c>
      <c r="U27" s="1575">
        <f>H27</f>
        <v>100</v>
      </c>
      <c r="V27" s="1574" t="s">
        <v>8</v>
      </c>
      <c r="W27" s="1575">
        <f>J27</f>
        <v>100</v>
      </c>
      <c r="X27" s="1568"/>
      <c r="Y27" s="3460"/>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60"/>
      <c r="Q28" s="1151" t="str">
        <f t="shared" si="11"/>
        <v>朝向</v>
      </c>
      <c r="R28" s="1569" t="s">
        <v>8</v>
      </c>
      <c r="S28" s="1570">
        <f>F28</f>
        <v>100</v>
      </c>
      <c r="T28" s="1569" t="s">
        <v>8</v>
      </c>
      <c r="U28" s="1570">
        <f>H28</f>
        <v>100</v>
      </c>
      <c r="V28" s="1569" t="s">
        <v>8</v>
      </c>
      <c r="W28" s="1570">
        <f>J28</f>
        <v>100</v>
      </c>
      <c r="X28" s="1571"/>
      <c r="Y28" s="346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60"/>
      <c r="Q29" s="1573">
        <f t="shared" si="11"/>
        <v>111</v>
      </c>
      <c r="R29" s="1574" t="s">
        <v>8</v>
      </c>
      <c r="S29" s="1575">
        <f t="shared" ref="S29:S47" si="12">F29</f>
        <v>100</v>
      </c>
      <c r="T29" s="1574" t="s">
        <v>8</v>
      </c>
      <c r="U29" s="1575">
        <f t="shared" ref="U29:U47" si="13">H29</f>
        <v>100</v>
      </c>
      <c r="V29" s="1574" t="s">
        <v>8</v>
      </c>
      <c r="W29" s="1575">
        <f t="shared" ref="W29:W47" si="14">J29</f>
        <v>100</v>
      </c>
      <c r="X29" s="1568"/>
      <c r="Y29" s="346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60"/>
      <c r="Q30" s="1573">
        <f t="shared" si="11"/>
        <v>111</v>
      </c>
      <c r="R30" s="1574" t="s">
        <v>8</v>
      </c>
      <c r="S30" s="1575">
        <f t="shared" si="12"/>
        <v>100</v>
      </c>
      <c r="T30" s="1574" t="s">
        <v>8</v>
      </c>
      <c r="U30" s="1575">
        <f t="shared" si="13"/>
        <v>100</v>
      </c>
      <c r="V30" s="1574" t="s">
        <v>8</v>
      </c>
      <c r="W30" s="1575">
        <f t="shared" si="14"/>
        <v>100</v>
      </c>
      <c r="X30" s="1568"/>
      <c r="Y30" s="346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60"/>
      <c r="Q31" s="1573">
        <f t="shared" si="11"/>
        <v>111</v>
      </c>
      <c r="R31" s="1574" t="s">
        <v>8</v>
      </c>
      <c r="S31" s="1575">
        <f t="shared" si="12"/>
        <v>100</v>
      </c>
      <c r="T31" s="1574" t="s">
        <v>8</v>
      </c>
      <c r="U31" s="1575">
        <f t="shared" si="13"/>
        <v>100</v>
      </c>
      <c r="V31" s="1574" t="s">
        <v>8</v>
      </c>
      <c r="W31" s="1575">
        <f t="shared" si="14"/>
        <v>100</v>
      </c>
      <c r="X31" s="1568"/>
      <c r="Y31" s="346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60"/>
      <c r="Q32" s="1573">
        <f t="shared" si="11"/>
        <v>111</v>
      </c>
      <c r="R32" s="1574" t="s">
        <v>8</v>
      </c>
      <c r="S32" s="1575">
        <f t="shared" si="12"/>
        <v>100</v>
      </c>
      <c r="T32" s="1574" t="s">
        <v>8</v>
      </c>
      <c r="U32" s="1575">
        <f t="shared" si="13"/>
        <v>100</v>
      </c>
      <c r="V32" s="1574" t="s">
        <v>8</v>
      </c>
      <c r="W32" s="1575">
        <f t="shared" si="14"/>
        <v>100</v>
      </c>
      <c r="X32" s="1568"/>
      <c r="Y32" s="3460"/>
      <c r="Z32" s="1576">
        <f t="shared" si="15"/>
        <v>111</v>
      </c>
      <c r="AA32" s="1577">
        <f t="shared" si="3"/>
        <v>1</v>
      </c>
      <c r="AB32" s="1577">
        <f t="shared" si="4"/>
        <v>1</v>
      </c>
      <c r="AC32" s="1577">
        <f t="shared" si="5"/>
        <v>1</v>
      </c>
    </row>
    <row r="33" spans="1:29" ht="15">
      <c r="A33" s="2908"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61" t="s">
        <v>550</v>
      </c>
      <c r="Q33" s="1573" t="str">
        <f t="shared" si="11"/>
        <v>建筑类型</v>
      </c>
      <c r="R33" s="1574" t="s">
        <v>8</v>
      </c>
      <c r="S33" s="1575">
        <f t="shared" si="12"/>
        <v>100</v>
      </c>
      <c r="T33" s="1574" t="s">
        <v>8</v>
      </c>
      <c r="U33" s="1575">
        <f t="shared" si="13"/>
        <v>100</v>
      </c>
      <c r="V33" s="1574" t="s">
        <v>8</v>
      </c>
      <c r="W33" s="1575">
        <f t="shared" si="14"/>
        <v>100</v>
      </c>
      <c r="X33" s="1568"/>
      <c r="Y33" s="3462" t="s">
        <v>550</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62"/>
      <c r="Q34" s="1606" t="str">
        <f t="shared" si="11"/>
        <v>项目建筑规模</v>
      </c>
      <c r="R34" s="1578" t="s">
        <v>8</v>
      </c>
      <c r="S34" s="1579" t="e">
        <f t="shared" si="12"/>
        <v>#N/A</v>
      </c>
      <c r="T34" s="1578" t="s">
        <v>8</v>
      </c>
      <c r="U34" s="1579" t="e">
        <f t="shared" si="13"/>
        <v>#N/A</v>
      </c>
      <c r="V34" s="1578" t="s">
        <v>8</v>
      </c>
      <c r="W34" s="1579" t="e">
        <f t="shared" si="14"/>
        <v>#N/A</v>
      </c>
      <c r="X34" s="1580"/>
      <c r="Y34" s="3462"/>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62"/>
      <c r="Q35" s="1573" t="str">
        <f t="shared" si="11"/>
        <v>建筑结构</v>
      </c>
      <c r="R35" s="1574" t="s">
        <v>8</v>
      </c>
      <c r="S35" s="1575">
        <f t="shared" si="12"/>
        <v>100</v>
      </c>
      <c r="T35" s="1574" t="s">
        <v>8</v>
      </c>
      <c r="U35" s="1575">
        <f t="shared" si="13"/>
        <v>100</v>
      </c>
      <c r="V35" s="1574" t="s">
        <v>8</v>
      </c>
      <c r="W35" s="1575">
        <f t="shared" si="14"/>
        <v>100</v>
      </c>
      <c r="X35" s="1568"/>
      <c r="Y35" s="3462"/>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62"/>
      <c r="Q36" s="1573" t="str">
        <f t="shared" si="11"/>
        <v>公共部分装修</v>
      </c>
      <c r="R36" s="1574" t="s">
        <v>8</v>
      </c>
      <c r="S36" s="1575">
        <f t="shared" si="12"/>
        <v>100</v>
      </c>
      <c r="T36" s="1574" t="s">
        <v>8</v>
      </c>
      <c r="U36" s="1575">
        <f t="shared" si="13"/>
        <v>100</v>
      </c>
      <c r="V36" s="1574" t="s">
        <v>8</v>
      </c>
      <c r="W36" s="1575">
        <f t="shared" si="14"/>
        <v>100</v>
      </c>
      <c r="X36" s="1568"/>
      <c r="Y36" s="3462"/>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62"/>
      <c r="Q37" s="1573" t="str">
        <f t="shared" si="11"/>
        <v>成新度</v>
      </c>
      <c r="R37" s="1574" t="s">
        <v>8</v>
      </c>
      <c r="S37" s="1575" t="e">
        <f t="shared" si="12"/>
        <v>#N/A</v>
      </c>
      <c r="T37" s="1574" t="s">
        <v>8</v>
      </c>
      <c r="U37" s="1575" t="e">
        <f t="shared" si="13"/>
        <v>#N/A</v>
      </c>
      <c r="V37" s="1574" t="s">
        <v>8</v>
      </c>
      <c r="W37" s="1575" t="e">
        <f t="shared" si="14"/>
        <v>#N/A</v>
      </c>
      <c r="X37" s="1568"/>
      <c r="Y37" s="3462"/>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62"/>
      <c r="Q38" s="1151" t="str">
        <f t="shared" si="11"/>
        <v>写字楼等级</v>
      </c>
      <c r="R38" s="1569" t="s">
        <v>8</v>
      </c>
      <c r="S38" s="1570">
        <f t="shared" si="12"/>
        <v>100</v>
      </c>
      <c r="T38" s="1569" t="s">
        <v>8</v>
      </c>
      <c r="U38" s="1570">
        <f t="shared" si="13"/>
        <v>100</v>
      </c>
      <c r="V38" s="1569" t="s">
        <v>8</v>
      </c>
      <c r="W38" s="1570">
        <f t="shared" si="14"/>
        <v>100</v>
      </c>
      <c r="X38" s="1571"/>
      <c r="Y38" s="3462"/>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62" t="s">
        <v>550</v>
      </c>
      <c r="Q39" s="1573" t="str">
        <f t="shared" si="11"/>
        <v>物业管理</v>
      </c>
      <c r="R39" s="1574" t="s">
        <v>8</v>
      </c>
      <c r="S39" s="1575">
        <f t="shared" si="12"/>
        <v>100</v>
      </c>
      <c r="T39" s="1574" t="s">
        <v>8</v>
      </c>
      <c r="U39" s="1575">
        <f t="shared" si="13"/>
        <v>100</v>
      </c>
      <c r="V39" s="1574" t="s">
        <v>8</v>
      </c>
      <c r="W39" s="1575">
        <f t="shared" si="14"/>
        <v>100</v>
      </c>
      <c r="X39" s="1568"/>
      <c r="Y39" s="3462" t="s">
        <v>550</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62"/>
      <c r="Q40" s="1573" t="str">
        <f t="shared" si="11"/>
        <v>市政基础设施</v>
      </c>
      <c r="R40" s="1574" t="s">
        <v>8</v>
      </c>
      <c r="S40" s="1575">
        <f t="shared" si="12"/>
        <v>100</v>
      </c>
      <c r="T40" s="1574" t="s">
        <v>8</v>
      </c>
      <c r="U40" s="1575">
        <f t="shared" si="13"/>
        <v>100</v>
      </c>
      <c r="V40" s="1574" t="s">
        <v>8</v>
      </c>
      <c r="W40" s="1575">
        <f t="shared" si="14"/>
        <v>100</v>
      </c>
      <c r="X40" s="1568"/>
      <c r="Y40" s="3462"/>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62"/>
      <c r="Q41" s="1573" t="str">
        <f t="shared" si="11"/>
        <v>层高</v>
      </c>
      <c r="R41" s="1574" t="s">
        <v>8</v>
      </c>
      <c r="S41" s="1575">
        <f t="shared" si="12"/>
        <v>100</v>
      </c>
      <c r="T41" s="1574" t="s">
        <v>8</v>
      </c>
      <c r="U41" s="1575">
        <f t="shared" si="13"/>
        <v>100</v>
      </c>
      <c r="V41" s="1574" t="s">
        <v>8</v>
      </c>
      <c r="W41" s="1575">
        <f t="shared" si="14"/>
        <v>100</v>
      </c>
      <c r="X41" s="1568"/>
      <c r="Y41" s="3462"/>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62"/>
      <c r="Q42" s="1606" t="str">
        <f t="shared" si="11"/>
        <v>单套建筑面积</v>
      </c>
      <c r="R42" s="1578" t="s">
        <v>8</v>
      </c>
      <c r="S42" s="1579">
        <f t="shared" si="12"/>
        <v>100</v>
      </c>
      <c r="T42" s="1578" t="s">
        <v>8</v>
      </c>
      <c r="U42" s="1579">
        <f t="shared" si="13"/>
        <v>100</v>
      </c>
      <c r="V42" s="1578" t="s">
        <v>8</v>
      </c>
      <c r="W42" s="1579">
        <f t="shared" si="14"/>
        <v>100</v>
      </c>
      <c r="X42" s="1580"/>
      <c r="Y42" s="3462"/>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62"/>
      <c r="Q43" s="1573" t="str">
        <f t="shared" si="11"/>
        <v>内部装修</v>
      </c>
      <c r="R43" s="1574" t="s">
        <v>8</v>
      </c>
      <c r="S43" s="1575">
        <f t="shared" si="12"/>
        <v>100</v>
      </c>
      <c r="T43" s="1574" t="s">
        <v>8</v>
      </c>
      <c r="U43" s="1575">
        <f t="shared" si="13"/>
        <v>100</v>
      </c>
      <c r="V43" s="1574" t="s">
        <v>8</v>
      </c>
      <c r="W43" s="1575">
        <f t="shared" si="14"/>
        <v>100</v>
      </c>
      <c r="X43" s="1568"/>
      <c r="Y43" s="3462"/>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62"/>
      <c r="Q44" s="1573" t="str">
        <f t="shared" si="11"/>
        <v>内部装修维护情况</v>
      </c>
      <c r="R44" s="1574" t="s">
        <v>8</v>
      </c>
      <c r="S44" s="1575">
        <f t="shared" si="12"/>
        <v>100</v>
      </c>
      <c r="T44" s="1574" t="s">
        <v>8</v>
      </c>
      <c r="U44" s="1575">
        <f t="shared" si="13"/>
        <v>100</v>
      </c>
      <c r="V44" s="1574" t="s">
        <v>8</v>
      </c>
      <c r="W44" s="1575">
        <f t="shared" si="14"/>
        <v>100</v>
      </c>
      <c r="X44" s="1568"/>
      <c r="Y44" s="346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62"/>
      <c r="Q45" s="1151">
        <f t="shared" si="11"/>
        <v>111</v>
      </c>
      <c r="R45" s="1569" t="s">
        <v>8</v>
      </c>
      <c r="S45" s="1570">
        <f t="shared" si="12"/>
        <v>100</v>
      </c>
      <c r="T45" s="1569" t="s">
        <v>8</v>
      </c>
      <c r="U45" s="1570">
        <f t="shared" si="13"/>
        <v>100</v>
      </c>
      <c r="V45" s="1569" t="s">
        <v>8</v>
      </c>
      <c r="W45" s="1570">
        <f t="shared" si="14"/>
        <v>100</v>
      </c>
      <c r="X45" s="1571"/>
      <c r="Y45" s="346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62"/>
      <c r="Q46" s="1573">
        <f t="shared" si="11"/>
        <v>111</v>
      </c>
      <c r="R46" s="1574" t="s">
        <v>8</v>
      </c>
      <c r="S46" s="1575">
        <f t="shared" si="12"/>
        <v>100</v>
      </c>
      <c r="T46" s="1574" t="s">
        <v>8</v>
      </c>
      <c r="U46" s="1575">
        <f t="shared" si="13"/>
        <v>100</v>
      </c>
      <c r="V46" s="1574" t="s">
        <v>8</v>
      </c>
      <c r="W46" s="1575">
        <f t="shared" si="14"/>
        <v>100</v>
      </c>
      <c r="X46" s="1568"/>
      <c r="Y46" s="346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47"/>
      <c r="Q47" s="1573">
        <f t="shared" si="11"/>
        <v>111</v>
      </c>
      <c r="R47" s="1574" t="s">
        <v>8</v>
      </c>
      <c r="S47" s="1575">
        <f t="shared" si="12"/>
        <v>100</v>
      </c>
      <c r="T47" s="1574" t="s">
        <v>8</v>
      </c>
      <c r="U47" s="1575">
        <f t="shared" si="13"/>
        <v>100</v>
      </c>
      <c r="V47" s="1574" t="s">
        <v>8</v>
      </c>
      <c r="W47" s="1575">
        <f t="shared" si="14"/>
        <v>100</v>
      </c>
      <c r="X47" s="1568"/>
      <c r="Y47" s="3547"/>
      <c r="Z47" s="1576">
        <f t="shared" si="15"/>
        <v>111</v>
      </c>
      <c r="AA47" s="1577">
        <f t="shared" si="3"/>
        <v>1</v>
      </c>
      <c r="AB47" s="1577">
        <f t="shared" si="4"/>
        <v>1</v>
      </c>
      <c r="AC47" s="1577">
        <f t="shared" si="5"/>
        <v>1</v>
      </c>
    </row>
    <row r="48" spans="1:29" ht="15">
      <c r="A48" s="607" t="s">
        <v>735</v>
      </c>
      <c r="B48" s="887"/>
      <c r="C48" s="2628" t="s">
        <v>1</v>
      </c>
      <c r="D48" s="2629"/>
      <c r="E48" s="2630"/>
      <c r="F48" s="2631"/>
      <c r="G48" s="2632"/>
      <c r="H48" s="2633"/>
      <c r="I48" s="2630"/>
      <c r="J48" s="2633"/>
      <c r="K48" s="1612"/>
      <c r="L48" s="2145"/>
      <c r="M48" s="2135"/>
      <c r="N48" s="2135"/>
      <c r="O48" s="2135"/>
      <c r="P48" s="3479" t="str">
        <f>A48</f>
        <v>成交单价（元/平方米）</v>
      </c>
      <c r="Q48" s="3457"/>
      <c r="R48" s="3546">
        <f>E48</f>
        <v>0</v>
      </c>
      <c r="S48" s="3546"/>
      <c r="T48" s="3546">
        <f>G48</f>
        <v>0</v>
      </c>
      <c r="U48" s="3546"/>
      <c r="V48" s="3546">
        <f>I48</f>
        <v>0</v>
      </c>
      <c r="W48" s="3546"/>
      <c r="X48" s="1560"/>
      <c r="Y48" s="1582"/>
      <c r="Z48" s="1560"/>
      <c r="AA48" s="1560"/>
      <c r="AB48" s="1560"/>
      <c r="AC48" s="1560"/>
    </row>
    <row r="49" spans="1:29" ht="15.75" thickBot="1">
      <c r="A49" s="615" t="s">
        <v>2759</v>
      </c>
      <c r="B49" s="888"/>
      <c r="C49" s="2634" t="e">
        <f>R50</f>
        <v>#DIV/0!</v>
      </c>
      <c r="D49" s="2635"/>
      <c r="E49" s="2636" t="e">
        <f>R49</f>
        <v>#DIV/0!</v>
      </c>
      <c r="F49" s="2636"/>
      <c r="G49" s="2634" t="e">
        <f>T49</f>
        <v>#DIV/0!</v>
      </c>
      <c r="H49" s="2635"/>
      <c r="I49" s="2636" t="e">
        <f>V49</f>
        <v>#DIV/0!</v>
      </c>
      <c r="J49" s="2635"/>
      <c r="K49" s="1613"/>
      <c r="L49" s="2145"/>
      <c r="M49" s="2135"/>
      <c r="N49" s="2135"/>
      <c r="O49" s="2135"/>
      <c r="P49" s="3479" t="str">
        <f>A49</f>
        <v>比较价格（元/平方米）</v>
      </c>
      <c r="Q49" s="3457"/>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1560"/>
      <c r="Y49" s="1560"/>
      <c r="Z49" s="1560"/>
      <c r="AA49" s="1560"/>
      <c r="AB49" s="1560"/>
      <c r="AC49" s="1560"/>
    </row>
    <row r="50" spans="1:29" ht="15.75" thickBot="1">
      <c r="A50" s="621" t="s">
        <v>2926</v>
      </c>
      <c r="B50" s="622"/>
      <c r="C50" s="2637" t="e">
        <f>R50</f>
        <v>#DIV/0!</v>
      </c>
      <c r="D50" s="2637"/>
      <c r="E50" s="2637"/>
      <c r="F50" s="2637"/>
      <c r="G50" s="2637"/>
      <c r="H50" s="2637"/>
      <c r="I50" s="2637"/>
      <c r="J50" s="2637"/>
      <c r="K50" s="1614"/>
      <c r="L50" s="2145"/>
      <c r="M50" s="2135"/>
      <c r="N50" s="2135"/>
      <c r="O50" s="2135"/>
      <c r="P50" s="3574" t="str">
        <f>A50</f>
        <v>估价对象XX用房的比较价格（楼面单价，元/平方米）</v>
      </c>
      <c r="Q50" s="3479"/>
      <c r="R50" s="3545" t="e">
        <f>IF(F1="售价",ROUND(AVERAGE(R49:V49),0),ROUND(AVERAGE(R49:V49),1))</f>
        <v>#DIV/0!</v>
      </c>
      <c r="S50" s="3545"/>
      <c r="T50" s="3545"/>
      <c r="U50" s="3545"/>
      <c r="V50" s="3545"/>
      <c r="W50" s="354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2557</v>
      </c>
      <c r="C83" s="2599" t="s">
        <v>2558</v>
      </c>
      <c r="D83" s="2599" t="s">
        <v>2559</v>
      </c>
      <c r="E83" s="2599" t="s">
        <v>2560</v>
      </c>
      <c r="F83" s="2599" t="s">
        <v>2561</v>
      </c>
      <c r="G83" s="2599" t="s">
        <v>2562</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787</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63" t="s">
        <v>522</v>
      </c>
      <c r="D4" s="3464"/>
      <c r="E4" s="3489" t="s">
        <v>523</v>
      </c>
      <c r="F4" s="3490"/>
      <c r="G4" s="3463" t="s">
        <v>524</v>
      </c>
      <c r="H4" s="3464"/>
      <c r="I4" s="3463" t="s">
        <v>525</v>
      </c>
      <c r="J4" s="3464"/>
      <c r="K4" s="514" t="s">
        <v>526</v>
      </c>
      <c r="L4" s="2134"/>
      <c r="M4" s="2135"/>
      <c r="N4" s="2135"/>
      <c r="O4" s="2135"/>
      <c r="P4" s="3465" t="s">
        <v>527</v>
      </c>
      <c r="Q4" s="3466"/>
      <c r="R4" s="3451" t="s">
        <v>523</v>
      </c>
      <c r="S4" s="3452"/>
      <c r="T4" s="3451" t="s">
        <v>524</v>
      </c>
      <c r="U4" s="3452"/>
      <c r="V4" s="3471" t="s">
        <v>525</v>
      </c>
      <c r="W4" s="3471"/>
      <c r="X4" s="1568"/>
      <c r="Y4" s="3451" t="s">
        <v>527</v>
      </c>
      <c r="Z4" s="3452"/>
      <c r="AA4" s="3446" t="s">
        <v>523</v>
      </c>
      <c r="AB4" s="3447" t="s">
        <v>524</v>
      </c>
      <c r="AC4" s="3446" t="s">
        <v>525</v>
      </c>
    </row>
    <row r="5" spans="1:29" ht="15">
      <c r="A5" s="515"/>
      <c r="B5" s="516"/>
      <c r="C5" s="3493" t="s">
        <v>2920</v>
      </c>
      <c r="D5" s="3494"/>
      <c r="E5" s="3491" t="s">
        <v>2921</v>
      </c>
      <c r="F5" s="3492"/>
      <c r="G5" s="3493" t="s">
        <v>2922</v>
      </c>
      <c r="H5" s="3494"/>
      <c r="I5" s="3493" t="s">
        <v>2923</v>
      </c>
      <c r="J5" s="3494"/>
      <c r="K5" s="514"/>
      <c r="L5" s="2134"/>
      <c r="M5" s="2135"/>
      <c r="N5" s="2135"/>
      <c r="O5" s="2135"/>
      <c r="P5" s="3467"/>
      <c r="Q5" s="3468"/>
      <c r="R5" s="3453"/>
      <c r="S5" s="3454"/>
      <c r="T5" s="3453"/>
      <c r="U5" s="3454"/>
      <c r="V5" s="3471"/>
      <c r="W5" s="3471"/>
      <c r="X5" s="1568"/>
      <c r="Y5" s="3453"/>
      <c r="Z5" s="3454"/>
      <c r="AA5" s="3447"/>
      <c r="AB5" s="3447"/>
      <c r="AC5" s="3447"/>
    </row>
    <row r="6" spans="1:29" ht="15.75" thickBot="1">
      <c r="A6" s="517"/>
      <c r="B6" s="518"/>
      <c r="C6" s="3495" t="s">
        <v>2924</v>
      </c>
      <c r="D6" s="3496"/>
      <c r="E6" s="3497" t="s">
        <v>2924</v>
      </c>
      <c r="F6" s="3498"/>
      <c r="G6" s="3495" t="s">
        <v>2924</v>
      </c>
      <c r="H6" s="3496"/>
      <c r="I6" s="3495" t="s">
        <v>2924</v>
      </c>
      <c r="J6" s="3496"/>
      <c r="K6" s="514" t="s">
        <v>528</v>
      </c>
      <c r="L6" s="2134"/>
      <c r="M6" s="2135"/>
      <c r="N6" s="2135"/>
      <c r="O6" s="2135"/>
      <c r="P6" s="3469"/>
      <c r="Q6" s="3470"/>
      <c r="R6" s="3453"/>
      <c r="S6" s="3454"/>
      <c r="T6" s="3455"/>
      <c r="U6" s="3456"/>
      <c r="V6" s="3471"/>
      <c r="W6" s="3471"/>
      <c r="X6" s="1568"/>
      <c r="Y6" s="3455"/>
      <c r="Z6" s="3456"/>
      <c r="AA6" s="3448"/>
      <c r="AB6" s="3448"/>
      <c r="AC6" s="3448"/>
    </row>
    <row r="7" spans="1:29" s="1220" customFormat="1" ht="15.75" thickBot="1">
      <c r="A7" s="2913"/>
      <c r="B7" s="2920" t="s">
        <v>529</v>
      </c>
      <c r="C7" s="519">
        <f>'数据-取费表'!B2</f>
        <v>43426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49" t="s">
        <v>530</v>
      </c>
      <c r="Q7" s="3458"/>
      <c r="R7" s="1569" t="s">
        <v>8</v>
      </c>
      <c r="S7" s="1570">
        <f t="shared" ref="S7:S15" si="0">F7</f>
        <v>0</v>
      </c>
      <c r="T7" s="1569" t="s">
        <v>8</v>
      </c>
      <c r="U7" s="1570">
        <f t="shared" ref="U7:U15" si="1">H7</f>
        <v>0</v>
      </c>
      <c r="V7" s="1569" t="s">
        <v>8</v>
      </c>
      <c r="W7" s="1570">
        <f t="shared" ref="W7:W15" si="2">J7</f>
        <v>0</v>
      </c>
      <c r="X7" s="1571"/>
      <c r="Y7" s="3449" t="s">
        <v>530</v>
      </c>
      <c r="Z7" s="3450"/>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49" t="s">
        <v>533</v>
      </c>
      <c r="Q8" s="3450"/>
      <c r="R8" s="1569" t="s">
        <v>8</v>
      </c>
      <c r="S8" s="1570">
        <f t="shared" si="0"/>
        <v>0</v>
      </c>
      <c r="T8" s="1569" t="s">
        <v>8</v>
      </c>
      <c r="U8" s="1570">
        <f t="shared" si="1"/>
        <v>0</v>
      </c>
      <c r="V8" s="1569" t="s">
        <v>8</v>
      </c>
      <c r="W8" s="1570">
        <f t="shared" si="2"/>
        <v>0</v>
      </c>
      <c r="X8" s="1571"/>
      <c r="Y8" s="3449" t="s">
        <v>533</v>
      </c>
      <c r="Z8" s="3450"/>
      <c r="AA8" s="1572" t="e">
        <f t="shared" ref="AA8:AA40" si="3">D8/F8</f>
        <v>#DIV/0!</v>
      </c>
      <c r="AB8" s="1572" t="e">
        <f t="shared" ref="AB8:AB40" si="4">D8/H8</f>
        <v>#DIV/0!</v>
      </c>
      <c r="AC8" s="1572"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57" t="s">
        <v>535</v>
      </c>
      <c r="Q9" s="1151" t="str">
        <f t="shared" ref="Q9:Q15" si="6">B9</f>
        <v>用途</v>
      </c>
      <c r="R9" s="1569" t="s">
        <v>8</v>
      </c>
      <c r="S9" s="1570">
        <f t="shared" si="0"/>
        <v>100</v>
      </c>
      <c r="T9" s="1569" t="s">
        <v>8</v>
      </c>
      <c r="U9" s="1570">
        <f t="shared" si="1"/>
        <v>100</v>
      </c>
      <c r="V9" s="1569" t="s">
        <v>8</v>
      </c>
      <c r="W9" s="1570">
        <f t="shared" si="2"/>
        <v>100</v>
      </c>
      <c r="X9" s="1571"/>
      <c r="Y9" s="3414" t="s">
        <v>536</v>
      </c>
      <c r="Z9" s="1150" t="str">
        <f t="shared" ref="Z9:Z15" si="7">Q9</f>
        <v>用途</v>
      </c>
      <c r="AA9" s="1572">
        <f t="shared" si="3"/>
        <v>1</v>
      </c>
      <c r="AB9" s="1572">
        <f t="shared" si="4"/>
        <v>1</v>
      </c>
      <c r="AC9" s="1572">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57"/>
      <c r="Q10" s="1151" t="str">
        <f t="shared" si="6"/>
        <v>土地使用年限（年）</v>
      </c>
      <c r="R10" s="1569" t="s">
        <v>8</v>
      </c>
      <c r="S10" s="1570">
        <f t="shared" si="0"/>
        <v>100</v>
      </c>
      <c r="T10" s="1569" t="s">
        <v>8</v>
      </c>
      <c r="U10" s="1570">
        <f t="shared" si="1"/>
        <v>100</v>
      </c>
      <c r="V10" s="1569" t="s">
        <v>8</v>
      </c>
      <c r="W10" s="1570">
        <f t="shared" si="2"/>
        <v>100</v>
      </c>
      <c r="X10" s="1571"/>
      <c r="Y10" s="3414"/>
      <c r="Z10" s="1150" t="str">
        <f t="shared" si="7"/>
        <v>土地使用年限（年）</v>
      </c>
      <c r="AA10" s="1572">
        <f t="shared" si="3"/>
        <v>1</v>
      </c>
      <c r="AB10" s="1572">
        <f t="shared" si="4"/>
        <v>1</v>
      </c>
      <c r="AC10" s="1572">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57"/>
      <c r="Q11" s="1151" t="str">
        <f t="shared" si="6"/>
        <v>容积率</v>
      </c>
      <c r="R11" s="1569" t="s">
        <v>8</v>
      </c>
      <c r="S11" s="1570" t="e">
        <f t="shared" si="0"/>
        <v>#N/A</v>
      </c>
      <c r="T11" s="1569" t="s">
        <v>8</v>
      </c>
      <c r="U11" s="1570" t="e">
        <f t="shared" si="1"/>
        <v>#N/A</v>
      </c>
      <c r="V11" s="1569" t="s">
        <v>8</v>
      </c>
      <c r="W11" s="1570" t="e">
        <f t="shared" si="2"/>
        <v>#N/A</v>
      </c>
      <c r="X11" s="1571"/>
      <c r="Y11" s="3414"/>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57"/>
      <c r="Q12" s="1151">
        <f t="shared" si="6"/>
        <v>111</v>
      </c>
      <c r="R12" s="1569" t="s">
        <v>8</v>
      </c>
      <c r="S12" s="1570">
        <f t="shared" si="0"/>
        <v>100</v>
      </c>
      <c r="T12" s="1569" t="s">
        <v>8</v>
      </c>
      <c r="U12" s="1570">
        <f t="shared" si="1"/>
        <v>100</v>
      </c>
      <c r="V12" s="1569" t="s">
        <v>8</v>
      </c>
      <c r="W12" s="1570">
        <f t="shared" si="2"/>
        <v>100</v>
      </c>
      <c r="X12" s="1571"/>
      <c r="Y12" s="3414"/>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57"/>
      <c r="Q13" s="1151">
        <f t="shared" si="6"/>
        <v>111</v>
      </c>
      <c r="R13" s="1569" t="s">
        <v>8</v>
      </c>
      <c r="S13" s="1570">
        <f t="shared" si="0"/>
        <v>100</v>
      </c>
      <c r="T13" s="1569" t="s">
        <v>8</v>
      </c>
      <c r="U13" s="1570">
        <f t="shared" si="1"/>
        <v>100</v>
      </c>
      <c r="V13" s="1569" t="s">
        <v>8</v>
      </c>
      <c r="W13" s="1570">
        <f t="shared" si="2"/>
        <v>100</v>
      </c>
      <c r="X13" s="1571"/>
      <c r="Y13" s="3414"/>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57"/>
      <c r="Q14" s="1151">
        <f t="shared" si="6"/>
        <v>111</v>
      </c>
      <c r="R14" s="1569" t="s">
        <v>8</v>
      </c>
      <c r="S14" s="1570">
        <f t="shared" si="0"/>
        <v>100</v>
      </c>
      <c r="T14" s="1569" t="s">
        <v>8</v>
      </c>
      <c r="U14" s="1570">
        <f t="shared" si="1"/>
        <v>100</v>
      </c>
      <c r="V14" s="1569" t="s">
        <v>8</v>
      </c>
      <c r="W14" s="1570">
        <f t="shared" si="2"/>
        <v>100</v>
      </c>
      <c r="X14" s="1571"/>
      <c r="Y14" s="3414"/>
      <c r="Z14" s="1150">
        <f t="shared" si="7"/>
        <v>111</v>
      </c>
      <c r="AA14" s="1572">
        <f t="shared" si="3"/>
        <v>1</v>
      </c>
      <c r="AB14" s="1572">
        <f t="shared" si="4"/>
        <v>1</v>
      </c>
      <c r="AC14" s="1572">
        <f t="shared" si="5"/>
        <v>1</v>
      </c>
    </row>
    <row r="15" spans="1:29" ht="57">
      <c r="A15" s="2911"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59" t="s">
        <v>540</v>
      </c>
      <c r="Q15" s="1573" t="str">
        <f t="shared" si="6"/>
        <v>产业集聚程度</v>
      </c>
      <c r="R15" s="1574" t="s">
        <v>8</v>
      </c>
      <c r="S15" s="1575">
        <f t="shared" si="0"/>
        <v>100</v>
      </c>
      <c r="T15" s="1574" t="s">
        <v>8</v>
      </c>
      <c r="U15" s="1575">
        <f t="shared" si="1"/>
        <v>100</v>
      </c>
      <c r="V15" s="1574" t="s">
        <v>8</v>
      </c>
      <c r="W15" s="1575">
        <f t="shared" si="2"/>
        <v>100</v>
      </c>
      <c r="X15" s="1568"/>
      <c r="Y15" s="345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60"/>
      <c r="Q16" s="1573"/>
      <c r="R16" s="1574"/>
      <c r="S16" s="1575"/>
      <c r="T16" s="1574"/>
      <c r="U16" s="1575"/>
      <c r="V16" s="1574"/>
      <c r="W16" s="1575"/>
      <c r="X16" s="1568"/>
      <c r="Y16" s="346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60"/>
      <c r="Q17" s="1573" t="str">
        <f>B17</f>
        <v>交通便捷度</v>
      </c>
      <c r="R17" s="1574" t="s">
        <v>8</v>
      </c>
      <c r="S17" s="1575">
        <f>F17</f>
        <v>100</v>
      </c>
      <c r="T17" s="1574" t="s">
        <v>8</v>
      </c>
      <c r="U17" s="1575">
        <f>H17</f>
        <v>100</v>
      </c>
      <c r="V17" s="1574" t="s">
        <v>8</v>
      </c>
      <c r="W17" s="1575">
        <f>J17</f>
        <v>100</v>
      </c>
      <c r="X17" s="1568"/>
      <c r="Y17" s="346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60"/>
      <c r="Q18" s="1573"/>
      <c r="R18" s="1574"/>
      <c r="S18" s="1575"/>
      <c r="T18" s="1574"/>
      <c r="U18" s="1575"/>
      <c r="V18" s="1574"/>
      <c r="W18" s="1575"/>
      <c r="X18" s="1568"/>
      <c r="Y18" s="3460"/>
      <c r="Z18" s="1576"/>
      <c r="AA18" s="1577">
        <v>1</v>
      </c>
      <c r="AB18" s="1577">
        <v>1</v>
      </c>
      <c r="AC18" s="1577">
        <v>1</v>
      </c>
    </row>
    <row r="19" spans="1:29" ht="42.75">
      <c r="A19" s="532"/>
      <c r="B19" s="2604"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60"/>
      <c r="Q19" s="1573" t="str">
        <f>B19</f>
        <v>公共配套设施</v>
      </c>
      <c r="R19" s="1574" t="s">
        <v>8</v>
      </c>
      <c r="S19" s="1575">
        <f>F19</f>
        <v>100</v>
      </c>
      <c r="T19" s="1574" t="s">
        <v>8</v>
      </c>
      <c r="U19" s="1575">
        <f>H19</f>
        <v>100</v>
      </c>
      <c r="V19" s="1574" t="s">
        <v>8</v>
      </c>
      <c r="W19" s="1575">
        <f>J19</f>
        <v>100</v>
      </c>
      <c r="X19" s="1568"/>
      <c r="Y19" s="346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60"/>
      <c r="Q20" s="1573"/>
      <c r="R20" s="1574"/>
      <c r="S20" s="1575"/>
      <c r="T20" s="1574"/>
      <c r="U20" s="1575"/>
      <c r="V20" s="1574"/>
      <c r="W20" s="1575"/>
      <c r="X20" s="1568"/>
      <c r="Y20" s="3460"/>
      <c r="Z20" s="1576"/>
      <c r="AA20" s="1577">
        <v>1</v>
      </c>
      <c r="AB20" s="1577">
        <v>1</v>
      </c>
      <c r="AC20" s="1577">
        <v>1</v>
      </c>
    </row>
    <row r="21" spans="1:29" ht="28.5">
      <c r="A21" s="532"/>
      <c r="B21" s="2592"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60"/>
      <c r="Q21" s="2580" t="str">
        <f>B21</f>
        <v>基础设施水平</v>
      </c>
      <c r="R21" s="1574" t="s">
        <v>8</v>
      </c>
      <c r="S21" s="1575">
        <f>F21</f>
        <v>100</v>
      </c>
      <c r="T21" s="1574" t="s">
        <v>8</v>
      </c>
      <c r="U21" s="1575">
        <f>H21</f>
        <v>100</v>
      </c>
      <c r="V21" s="1574" t="s">
        <v>8</v>
      </c>
      <c r="W21" s="1575">
        <f>J21</f>
        <v>100</v>
      </c>
      <c r="X21" s="2582"/>
      <c r="Y21" s="3460"/>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460"/>
      <c r="Q22" s="2580"/>
      <c r="R22" s="1574"/>
      <c r="S22" s="1575"/>
      <c r="T22" s="1574"/>
      <c r="U22" s="1575"/>
      <c r="V22" s="1574"/>
      <c r="W22" s="1575"/>
      <c r="X22" s="2582"/>
      <c r="Y22" s="3460"/>
      <c r="Z22" s="2581"/>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60"/>
      <c r="Q23" s="1573" t="str">
        <f>B23</f>
        <v>环境质量</v>
      </c>
      <c r="R23" s="1574" t="s">
        <v>8</v>
      </c>
      <c r="S23" s="1575">
        <f>F23</f>
        <v>100</v>
      </c>
      <c r="T23" s="1574" t="s">
        <v>8</v>
      </c>
      <c r="U23" s="1575">
        <f>H23</f>
        <v>100</v>
      </c>
      <c r="V23" s="1574" t="s">
        <v>8</v>
      </c>
      <c r="W23" s="1575">
        <f>J23</f>
        <v>100</v>
      </c>
      <c r="X23" s="1568"/>
      <c r="Y23" s="346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60"/>
      <c r="Q24" s="1573"/>
      <c r="R24" s="1574"/>
      <c r="S24" s="1575"/>
      <c r="T24" s="1574"/>
      <c r="U24" s="1575"/>
      <c r="V24" s="1574"/>
      <c r="W24" s="1575"/>
      <c r="X24" s="1568"/>
      <c r="Y24" s="346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60"/>
      <c r="Q25" s="1573">
        <f>B25</f>
        <v>111</v>
      </c>
      <c r="R25" s="1574" t="s">
        <v>8</v>
      </c>
      <c r="S25" s="1575">
        <f>F25</f>
        <v>100</v>
      </c>
      <c r="T25" s="1574" t="s">
        <v>8</v>
      </c>
      <c r="U25" s="1575">
        <f>H25</f>
        <v>100</v>
      </c>
      <c r="V25" s="1574" t="s">
        <v>8</v>
      </c>
      <c r="W25" s="1575">
        <f>J25</f>
        <v>100</v>
      </c>
      <c r="X25" s="1568"/>
      <c r="Y25" s="346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60"/>
      <c r="Q26" s="1573">
        <f t="shared" ref="Q26:Q40" si="11">B26</f>
        <v>111</v>
      </c>
      <c r="R26" s="1574" t="s">
        <v>8</v>
      </c>
      <c r="S26" s="1575">
        <f>F26</f>
        <v>100</v>
      </c>
      <c r="T26" s="1574" t="s">
        <v>8</v>
      </c>
      <c r="U26" s="1575">
        <f>H26</f>
        <v>100</v>
      </c>
      <c r="V26" s="1574" t="s">
        <v>8</v>
      </c>
      <c r="W26" s="1575">
        <f>J26</f>
        <v>100</v>
      </c>
      <c r="X26" s="1568"/>
      <c r="Y26" s="346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60"/>
      <c r="Q27" s="1151">
        <f t="shared" si="11"/>
        <v>111</v>
      </c>
      <c r="R27" s="1569" t="s">
        <v>8</v>
      </c>
      <c r="S27" s="1570">
        <f>F27</f>
        <v>100</v>
      </c>
      <c r="T27" s="1569" t="s">
        <v>8</v>
      </c>
      <c r="U27" s="1570">
        <f>H27</f>
        <v>100</v>
      </c>
      <c r="V27" s="1569" t="s">
        <v>8</v>
      </c>
      <c r="W27" s="1570">
        <f>J27</f>
        <v>100</v>
      </c>
      <c r="X27" s="1571"/>
      <c r="Y27" s="346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60"/>
      <c r="Q28" s="1573">
        <f t="shared" si="11"/>
        <v>111</v>
      </c>
      <c r="R28" s="1574" t="s">
        <v>8</v>
      </c>
      <c r="S28" s="1575">
        <f t="shared" ref="S28:S40" si="12">F28</f>
        <v>100</v>
      </c>
      <c r="T28" s="1574" t="s">
        <v>8</v>
      </c>
      <c r="U28" s="1575">
        <f t="shared" ref="U28:U40" si="13">H28</f>
        <v>100</v>
      </c>
      <c r="V28" s="1574" t="s">
        <v>8</v>
      </c>
      <c r="W28" s="1575">
        <f t="shared" ref="W28:W40" si="14">J28</f>
        <v>100</v>
      </c>
      <c r="X28" s="1568"/>
      <c r="Y28" s="3460"/>
      <c r="Z28" s="1576">
        <f t="shared" ref="Z28:Z40" si="15">Q28</f>
        <v>111</v>
      </c>
      <c r="AA28" s="1577">
        <f t="shared" si="3"/>
        <v>1</v>
      </c>
      <c r="AB28" s="1577">
        <f t="shared" si="4"/>
        <v>1</v>
      </c>
      <c r="AC28" s="1577">
        <f t="shared" si="5"/>
        <v>1</v>
      </c>
    </row>
    <row r="29" spans="1:29" ht="15">
      <c r="A29" s="2908"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61" t="s">
        <v>550</v>
      </c>
      <c r="Q29" s="1573" t="str">
        <f t="shared" si="11"/>
        <v>建筑类型</v>
      </c>
      <c r="R29" s="1574" t="s">
        <v>8</v>
      </c>
      <c r="S29" s="1575">
        <f t="shared" si="12"/>
        <v>100</v>
      </c>
      <c r="T29" s="1574" t="s">
        <v>8</v>
      </c>
      <c r="U29" s="1575">
        <f t="shared" si="13"/>
        <v>100</v>
      </c>
      <c r="V29" s="1574" t="s">
        <v>8</v>
      </c>
      <c r="W29" s="1575">
        <f t="shared" si="14"/>
        <v>100</v>
      </c>
      <c r="X29" s="1568"/>
      <c r="Y29" s="3462" t="s">
        <v>550</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62"/>
      <c r="Q30" s="1606" t="str">
        <f t="shared" si="11"/>
        <v>项目建筑规模</v>
      </c>
      <c r="R30" s="1578" t="s">
        <v>8</v>
      </c>
      <c r="S30" s="1579" t="e">
        <f t="shared" si="12"/>
        <v>#N/A</v>
      </c>
      <c r="T30" s="1578" t="s">
        <v>8</v>
      </c>
      <c r="U30" s="1579" t="e">
        <f t="shared" si="13"/>
        <v>#N/A</v>
      </c>
      <c r="V30" s="1578" t="s">
        <v>8</v>
      </c>
      <c r="W30" s="1579" t="e">
        <f t="shared" si="14"/>
        <v>#N/A</v>
      </c>
      <c r="X30" s="1580"/>
      <c r="Y30" s="3462"/>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62"/>
      <c r="Q31" s="1573" t="str">
        <f t="shared" si="11"/>
        <v>建筑结构</v>
      </c>
      <c r="R31" s="1574" t="s">
        <v>8</v>
      </c>
      <c r="S31" s="1575">
        <f t="shared" si="12"/>
        <v>100</v>
      </c>
      <c r="T31" s="1574" t="s">
        <v>8</v>
      </c>
      <c r="U31" s="1575">
        <f t="shared" si="13"/>
        <v>100</v>
      </c>
      <c r="V31" s="1574" t="s">
        <v>8</v>
      </c>
      <c r="W31" s="1575">
        <f t="shared" si="14"/>
        <v>100</v>
      </c>
      <c r="X31" s="1568"/>
      <c r="Y31" s="3462"/>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62"/>
      <c r="Q32" s="1573" t="str">
        <f t="shared" si="11"/>
        <v>公共部分装修</v>
      </c>
      <c r="R32" s="1574" t="s">
        <v>8</v>
      </c>
      <c r="S32" s="1575">
        <f t="shared" si="12"/>
        <v>100</v>
      </c>
      <c r="T32" s="1574" t="s">
        <v>8</v>
      </c>
      <c r="U32" s="1575">
        <f t="shared" si="13"/>
        <v>100</v>
      </c>
      <c r="V32" s="1574" t="s">
        <v>8</v>
      </c>
      <c r="W32" s="1575">
        <f t="shared" si="14"/>
        <v>100</v>
      </c>
      <c r="X32" s="1568"/>
      <c r="Y32" s="3462"/>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62"/>
      <c r="Q33" s="1573" t="str">
        <f t="shared" si="11"/>
        <v>成新度</v>
      </c>
      <c r="R33" s="1574" t="s">
        <v>8</v>
      </c>
      <c r="S33" s="1575" t="e">
        <f t="shared" si="12"/>
        <v>#N/A</v>
      </c>
      <c r="T33" s="1574" t="s">
        <v>8</v>
      </c>
      <c r="U33" s="1575" t="e">
        <f t="shared" si="13"/>
        <v>#N/A</v>
      </c>
      <c r="V33" s="1574" t="s">
        <v>8</v>
      </c>
      <c r="W33" s="1575" t="e">
        <f t="shared" si="14"/>
        <v>#N/A</v>
      </c>
      <c r="X33" s="1568"/>
      <c r="Y33" s="3462"/>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62"/>
      <c r="Q34" s="1151" t="str">
        <f t="shared" si="11"/>
        <v>物业管理</v>
      </c>
      <c r="R34" s="1569" t="s">
        <v>8</v>
      </c>
      <c r="S34" s="1570">
        <f t="shared" si="12"/>
        <v>100</v>
      </c>
      <c r="T34" s="1569" t="s">
        <v>8</v>
      </c>
      <c r="U34" s="1570">
        <f t="shared" si="13"/>
        <v>100</v>
      </c>
      <c r="V34" s="1569" t="s">
        <v>8</v>
      </c>
      <c r="W34" s="1570">
        <f t="shared" si="14"/>
        <v>100</v>
      </c>
      <c r="X34" s="1571"/>
      <c r="Y34" s="3462"/>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62" t="s">
        <v>550</v>
      </c>
      <c r="Q35" s="1573" t="str">
        <f t="shared" si="11"/>
        <v>市政基础设施</v>
      </c>
      <c r="R35" s="1574" t="s">
        <v>8</v>
      </c>
      <c r="S35" s="1575">
        <f t="shared" si="12"/>
        <v>100</v>
      </c>
      <c r="T35" s="1574" t="s">
        <v>8</v>
      </c>
      <c r="U35" s="1575">
        <f t="shared" si="13"/>
        <v>100</v>
      </c>
      <c r="V35" s="1574" t="s">
        <v>8</v>
      </c>
      <c r="W35" s="1575">
        <f t="shared" si="14"/>
        <v>100</v>
      </c>
      <c r="X35" s="1568"/>
      <c r="Y35" s="3462" t="s">
        <v>550</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62"/>
      <c r="Q36" s="1573" t="str">
        <f t="shared" si="11"/>
        <v>内部装修</v>
      </c>
      <c r="R36" s="1574" t="s">
        <v>8</v>
      </c>
      <c r="S36" s="1575">
        <f t="shared" si="12"/>
        <v>100</v>
      </c>
      <c r="T36" s="1574" t="s">
        <v>8</v>
      </c>
      <c r="U36" s="1575">
        <f t="shared" si="13"/>
        <v>100</v>
      </c>
      <c r="V36" s="1574" t="s">
        <v>8</v>
      </c>
      <c r="W36" s="1575">
        <f t="shared" si="14"/>
        <v>100</v>
      </c>
      <c r="X36" s="1568"/>
      <c r="Y36" s="3462"/>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62"/>
      <c r="Q37" s="1573" t="str">
        <f t="shared" si="11"/>
        <v>内部装修状况</v>
      </c>
      <c r="R37" s="1574" t="s">
        <v>8</v>
      </c>
      <c r="S37" s="1575">
        <f t="shared" si="12"/>
        <v>100</v>
      </c>
      <c r="T37" s="1574" t="s">
        <v>8</v>
      </c>
      <c r="U37" s="1575">
        <f t="shared" si="13"/>
        <v>100</v>
      </c>
      <c r="V37" s="1574" t="s">
        <v>8</v>
      </c>
      <c r="W37" s="1575">
        <f t="shared" si="14"/>
        <v>100</v>
      </c>
      <c r="X37" s="1568"/>
      <c r="Y37" s="346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62"/>
      <c r="Q38" s="1606">
        <f t="shared" si="11"/>
        <v>111</v>
      </c>
      <c r="R38" s="1578" t="s">
        <v>8</v>
      </c>
      <c r="S38" s="1579">
        <f t="shared" si="12"/>
        <v>100</v>
      </c>
      <c r="T38" s="1578" t="s">
        <v>8</v>
      </c>
      <c r="U38" s="1579">
        <f t="shared" si="13"/>
        <v>100</v>
      </c>
      <c r="V38" s="1578" t="s">
        <v>8</v>
      </c>
      <c r="W38" s="1579">
        <f t="shared" si="14"/>
        <v>100</v>
      </c>
      <c r="X38" s="1580"/>
      <c r="Y38" s="346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62"/>
      <c r="Q39" s="1573">
        <f t="shared" si="11"/>
        <v>111</v>
      </c>
      <c r="R39" s="1574" t="s">
        <v>8</v>
      </c>
      <c r="S39" s="1575">
        <f t="shared" si="12"/>
        <v>100</v>
      </c>
      <c r="T39" s="1574" t="s">
        <v>8</v>
      </c>
      <c r="U39" s="1575">
        <f t="shared" si="13"/>
        <v>100</v>
      </c>
      <c r="V39" s="1574" t="s">
        <v>8</v>
      </c>
      <c r="W39" s="1575">
        <f t="shared" si="14"/>
        <v>100</v>
      </c>
      <c r="X39" s="1568"/>
      <c r="Y39" s="346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47"/>
      <c r="Q40" s="1573">
        <f t="shared" si="11"/>
        <v>111</v>
      </c>
      <c r="R40" s="1574" t="s">
        <v>8</v>
      </c>
      <c r="S40" s="1575">
        <f t="shared" si="12"/>
        <v>100</v>
      </c>
      <c r="T40" s="1574" t="s">
        <v>8</v>
      </c>
      <c r="U40" s="1575">
        <f t="shared" si="13"/>
        <v>100</v>
      </c>
      <c r="V40" s="1574" t="s">
        <v>8</v>
      </c>
      <c r="W40" s="1575">
        <f t="shared" si="14"/>
        <v>100</v>
      </c>
      <c r="X40" s="1568"/>
      <c r="Y40" s="3547"/>
      <c r="Z40" s="1576">
        <f t="shared" si="15"/>
        <v>111</v>
      </c>
      <c r="AA40" s="1577">
        <f t="shared" si="3"/>
        <v>1</v>
      </c>
      <c r="AB40" s="1577">
        <f t="shared" si="4"/>
        <v>1</v>
      </c>
      <c r="AC40" s="1577">
        <f t="shared" si="5"/>
        <v>1</v>
      </c>
    </row>
    <row r="41" spans="1:29" ht="15">
      <c r="A41" s="607" t="s">
        <v>735</v>
      </c>
      <c r="B41" s="887"/>
      <c r="C41" s="2628" t="s">
        <v>1</v>
      </c>
      <c r="D41" s="2629"/>
      <c r="E41" s="2630"/>
      <c r="F41" s="2631"/>
      <c r="G41" s="2632"/>
      <c r="H41" s="2633"/>
      <c r="I41" s="2630"/>
      <c r="J41" s="2633"/>
      <c r="K41" s="1612"/>
      <c r="L41" s="2145"/>
      <c r="M41" s="2146"/>
      <c r="N41" s="2135"/>
      <c r="O41" s="2146"/>
      <c r="P41" s="3457" t="str">
        <f>A41</f>
        <v>成交单价（元/平方米）</v>
      </c>
      <c r="Q41" s="3457"/>
      <c r="R41" s="3546">
        <f>E41</f>
        <v>0</v>
      </c>
      <c r="S41" s="3546"/>
      <c r="T41" s="3546">
        <f>G41</f>
        <v>0</v>
      </c>
      <c r="U41" s="3546"/>
      <c r="V41" s="3546">
        <f>I41</f>
        <v>0</v>
      </c>
      <c r="W41" s="3546"/>
      <c r="X41" s="1560"/>
      <c r="Y41" s="1582"/>
      <c r="Z41" s="1560"/>
      <c r="AA41" s="1560"/>
      <c r="AB41" s="1560"/>
      <c r="AC41" s="1560"/>
    </row>
    <row r="42" spans="1:29" ht="15.75" thickBot="1">
      <c r="A42" s="615" t="s">
        <v>2759</v>
      </c>
      <c r="B42" s="888"/>
      <c r="C42" s="2634" t="e">
        <f>R43</f>
        <v>#DIV/0!</v>
      </c>
      <c r="D42" s="2635"/>
      <c r="E42" s="2636" t="e">
        <f>R42</f>
        <v>#DIV/0!</v>
      </c>
      <c r="F42" s="2636"/>
      <c r="G42" s="2634" t="e">
        <f>T42</f>
        <v>#DIV/0!</v>
      </c>
      <c r="H42" s="2635"/>
      <c r="I42" s="2636" t="e">
        <f>V42</f>
        <v>#DIV/0!</v>
      </c>
      <c r="J42" s="2635"/>
      <c r="K42" s="1613"/>
      <c r="L42" s="2145"/>
      <c r="M42" s="2146"/>
      <c r="N42" s="2135"/>
      <c r="O42" s="2146"/>
      <c r="P42" s="3457" t="str">
        <f>A42</f>
        <v>比较价格（元/平方米）</v>
      </c>
      <c r="Q42" s="3457"/>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1560"/>
      <c r="Y42" s="1560"/>
      <c r="Z42" s="1560"/>
      <c r="AA42" s="1560"/>
      <c r="AB42" s="1560"/>
      <c r="AC42" s="1560"/>
    </row>
    <row r="43" spans="1:29" ht="15.75" thickBot="1">
      <c r="A43" s="621" t="s">
        <v>2926</v>
      </c>
      <c r="B43" s="622"/>
      <c r="C43" s="2637" t="e">
        <f>R43</f>
        <v>#DIV/0!</v>
      </c>
      <c r="D43" s="2637"/>
      <c r="E43" s="2637"/>
      <c r="F43" s="2637"/>
      <c r="G43" s="2637"/>
      <c r="H43" s="2637"/>
      <c r="I43" s="2637"/>
      <c r="J43" s="2637"/>
      <c r="K43" s="1614"/>
      <c r="L43" s="2145"/>
      <c r="M43" s="2146"/>
      <c r="N43" s="2146"/>
      <c r="O43" s="2146"/>
      <c r="P43" s="3478" t="str">
        <f>A43</f>
        <v>估价对象XX用房的比较价格（楼面单价，元/平方米）</v>
      </c>
      <c r="Q43" s="3479"/>
      <c r="R43" s="3545" t="e">
        <f>IF(F1="售价",ROUND(AVERAGE(R42:V42),0),ROUND(AVERAGE(R42:V42),1))</f>
        <v>#DIV/0!</v>
      </c>
      <c r="S43" s="3545"/>
      <c r="T43" s="3545"/>
      <c r="U43" s="3545"/>
      <c r="V43" s="3545"/>
      <c r="W43" s="354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2557</v>
      </c>
      <c r="C76" s="2599" t="s">
        <v>2558</v>
      </c>
      <c r="D76" s="2599" t="s">
        <v>2559</v>
      </c>
      <c r="E76" s="2599" t="s">
        <v>2560</v>
      </c>
      <c r="F76" s="2599" t="s">
        <v>2561</v>
      </c>
      <c r="G76" s="2599"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791</v>
      </c>
      <c r="D1" s="849"/>
      <c r="E1" s="506"/>
      <c r="F1" s="2808"/>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463" t="s">
        <v>797</v>
      </c>
      <c r="D4" s="3464"/>
      <c r="E4" s="3463" t="s">
        <v>798</v>
      </c>
      <c r="F4" s="3464"/>
      <c r="G4" s="3463" t="s">
        <v>799</v>
      </c>
      <c r="H4" s="3464"/>
      <c r="I4" s="3463" t="s">
        <v>800</v>
      </c>
      <c r="J4" s="3464"/>
      <c r="K4" s="514" t="s">
        <v>801</v>
      </c>
      <c r="L4" s="2134"/>
      <c r="M4" s="2135"/>
      <c r="N4" s="2135"/>
      <c r="O4" s="2135"/>
      <c r="P4" s="3465" t="s">
        <v>802</v>
      </c>
      <c r="Q4" s="3466"/>
      <c r="R4" s="3451" t="s">
        <v>798</v>
      </c>
      <c r="S4" s="3452"/>
      <c r="T4" s="3451" t="s">
        <v>799</v>
      </c>
      <c r="U4" s="3452"/>
      <c r="V4" s="3471" t="s">
        <v>800</v>
      </c>
      <c r="W4" s="3471"/>
      <c r="X4" s="1568"/>
      <c r="Y4" s="3451" t="s">
        <v>802</v>
      </c>
      <c r="Z4" s="3452"/>
      <c r="AA4" s="3446" t="s">
        <v>798</v>
      </c>
      <c r="AB4" s="3447" t="s">
        <v>799</v>
      </c>
      <c r="AC4" s="3446" t="s">
        <v>800</v>
      </c>
    </row>
    <row r="5" spans="1:29" ht="15">
      <c r="A5" s="515"/>
      <c r="B5" s="516"/>
      <c r="C5" s="3493" t="s">
        <v>2920</v>
      </c>
      <c r="D5" s="3494"/>
      <c r="E5" s="3493" t="s">
        <v>2921</v>
      </c>
      <c r="F5" s="3494"/>
      <c r="G5" s="3493" t="s">
        <v>2922</v>
      </c>
      <c r="H5" s="3494"/>
      <c r="I5" s="3493" t="s">
        <v>2923</v>
      </c>
      <c r="J5" s="3494"/>
      <c r="K5" s="514"/>
      <c r="L5" s="2134"/>
      <c r="M5" s="2135"/>
      <c r="N5" s="2135"/>
      <c r="O5" s="2135"/>
      <c r="P5" s="3467"/>
      <c r="Q5" s="3468"/>
      <c r="R5" s="3453"/>
      <c r="S5" s="3454"/>
      <c r="T5" s="3453"/>
      <c r="U5" s="3454"/>
      <c r="V5" s="3471"/>
      <c r="W5" s="3471"/>
      <c r="X5" s="1568"/>
      <c r="Y5" s="3453"/>
      <c r="Z5" s="3454"/>
      <c r="AA5" s="3447"/>
      <c r="AB5" s="3447"/>
      <c r="AC5" s="3447"/>
    </row>
    <row r="6" spans="1:29" ht="15.75" thickBot="1">
      <c r="A6" s="517"/>
      <c r="B6" s="518"/>
      <c r="C6" s="3495" t="s">
        <v>2924</v>
      </c>
      <c r="D6" s="3496"/>
      <c r="E6" s="3575" t="s">
        <v>2924</v>
      </c>
      <c r="F6" s="3576"/>
      <c r="G6" s="3495" t="s">
        <v>2924</v>
      </c>
      <c r="H6" s="3496"/>
      <c r="I6" s="3495" t="s">
        <v>2924</v>
      </c>
      <c r="J6" s="3496"/>
      <c r="K6" s="514" t="s">
        <v>528</v>
      </c>
      <c r="L6" s="2134"/>
      <c r="M6" s="2135"/>
      <c r="N6" s="2135"/>
      <c r="O6" s="2135"/>
      <c r="P6" s="3469"/>
      <c r="Q6" s="3470"/>
      <c r="R6" s="3453"/>
      <c r="S6" s="3454"/>
      <c r="T6" s="3455"/>
      <c r="U6" s="3456"/>
      <c r="V6" s="3471"/>
      <c r="W6" s="3471"/>
      <c r="X6" s="1568"/>
      <c r="Y6" s="3455"/>
      <c r="Z6" s="3456"/>
      <c r="AA6" s="3448"/>
      <c r="AB6" s="3448"/>
      <c r="AC6" s="3448"/>
    </row>
    <row r="7" spans="1:29" s="1220" customFormat="1" ht="15.75" thickBot="1">
      <c r="A7" s="2913"/>
      <c r="B7" s="2920" t="s">
        <v>529</v>
      </c>
      <c r="C7" s="519">
        <f>'数据-取费表'!B2</f>
        <v>43426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49" t="s">
        <v>530</v>
      </c>
      <c r="Q7" s="3458"/>
      <c r="R7" s="1569" t="s">
        <v>8</v>
      </c>
      <c r="S7" s="1570">
        <f t="shared" ref="S7:S14" si="0">F7</f>
        <v>0</v>
      </c>
      <c r="T7" s="1569" t="s">
        <v>8</v>
      </c>
      <c r="U7" s="1570">
        <f t="shared" ref="U7:U14" si="1">H7</f>
        <v>0</v>
      </c>
      <c r="V7" s="1569" t="s">
        <v>8</v>
      </c>
      <c r="W7" s="1570">
        <f t="shared" ref="W7:W14" si="2">J7</f>
        <v>0</v>
      </c>
      <c r="X7" s="1571"/>
      <c r="Y7" s="3449" t="s">
        <v>530</v>
      </c>
      <c r="Z7" s="3450"/>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49" t="s">
        <v>533</v>
      </c>
      <c r="Q8" s="3450"/>
      <c r="R8" s="1569" t="s">
        <v>8</v>
      </c>
      <c r="S8" s="1570">
        <f t="shared" si="0"/>
        <v>0</v>
      </c>
      <c r="T8" s="1569" t="s">
        <v>8</v>
      </c>
      <c r="U8" s="1570">
        <f t="shared" si="1"/>
        <v>0</v>
      </c>
      <c r="V8" s="1569" t="s">
        <v>8</v>
      </c>
      <c r="W8" s="1570">
        <f t="shared" si="2"/>
        <v>0</v>
      </c>
      <c r="X8" s="1571"/>
      <c r="Y8" s="3449" t="s">
        <v>533</v>
      </c>
      <c r="Z8" s="3450"/>
      <c r="AA8" s="1572" t="e">
        <f t="shared" ref="AA8:AA36" si="3">D8/F8</f>
        <v>#DIV/0!</v>
      </c>
      <c r="AB8" s="1572" t="e">
        <f t="shared" ref="AB8:AB36" si="4">D8/H8</f>
        <v>#DIV/0!</v>
      </c>
      <c r="AC8" s="1572"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57" t="s">
        <v>535</v>
      </c>
      <c r="Q9" s="1151" t="str">
        <f t="shared" ref="Q9:Q14" si="6">B9</f>
        <v>用途</v>
      </c>
      <c r="R9" s="1569" t="s">
        <v>8</v>
      </c>
      <c r="S9" s="1570">
        <f t="shared" si="0"/>
        <v>100</v>
      </c>
      <c r="T9" s="1569" t="s">
        <v>8</v>
      </c>
      <c r="U9" s="1570">
        <f t="shared" si="1"/>
        <v>100</v>
      </c>
      <c r="V9" s="1569" t="s">
        <v>8</v>
      </c>
      <c r="W9" s="1570">
        <f t="shared" si="2"/>
        <v>100</v>
      </c>
      <c r="X9" s="1571"/>
      <c r="Y9" s="3414"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57"/>
      <c r="Q10" s="1151" t="str">
        <f t="shared" si="6"/>
        <v>土地使用年限（年）</v>
      </c>
      <c r="R10" s="1569" t="s">
        <v>8</v>
      </c>
      <c r="S10" s="1570">
        <f t="shared" si="0"/>
        <v>100</v>
      </c>
      <c r="T10" s="1569" t="s">
        <v>8</v>
      </c>
      <c r="U10" s="1570">
        <f t="shared" si="1"/>
        <v>100</v>
      </c>
      <c r="V10" s="1569" t="s">
        <v>8</v>
      </c>
      <c r="W10" s="1570">
        <f t="shared" si="2"/>
        <v>100</v>
      </c>
      <c r="X10" s="1571"/>
      <c r="Y10" s="3414"/>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57"/>
      <c r="Q11" s="1151">
        <f t="shared" si="6"/>
        <v>111</v>
      </c>
      <c r="R11" s="1569" t="s">
        <v>8</v>
      </c>
      <c r="S11" s="1570">
        <f t="shared" si="0"/>
        <v>100</v>
      </c>
      <c r="T11" s="1569" t="s">
        <v>8</v>
      </c>
      <c r="U11" s="1570">
        <f t="shared" si="1"/>
        <v>100</v>
      </c>
      <c r="V11" s="1569" t="s">
        <v>8</v>
      </c>
      <c r="W11" s="1570">
        <f t="shared" si="2"/>
        <v>100</v>
      </c>
      <c r="X11" s="1571"/>
      <c r="Y11" s="3414"/>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57"/>
      <c r="Q12" s="1151">
        <f t="shared" si="6"/>
        <v>111</v>
      </c>
      <c r="R12" s="1569" t="s">
        <v>8</v>
      </c>
      <c r="S12" s="1570">
        <f t="shared" si="0"/>
        <v>100</v>
      </c>
      <c r="T12" s="1569" t="s">
        <v>8</v>
      </c>
      <c r="U12" s="1570">
        <f t="shared" si="1"/>
        <v>100</v>
      </c>
      <c r="V12" s="1569" t="s">
        <v>8</v>
      </c>
      <c r="W12" s="1570">
        <f t="shared" si="2"/>
        <v>100</v>
      </c>
      <c r="X12" s="1571"/>
      <c r="Y12" s="3414"/>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57"/>
      <c r="Q13" s="1151">
        <f t="shared" si="6"/>
        <v>111</v>
      </c>
      <c r="R13" s="1569" t="s">
        <v>8</v>
      </c>
      <c r="S13" s="1570">
        <f t="shared" si="0"/>
        <v>100</v>
      </c>
      <c r="T13" s="1569" t="s">
        <v>8</v>
      </c>
      <c r="U13" s="1570">
        <f t="shared" si="1"/>
        <v>100</v>
      </c>
      <c r="V13" s="1569" t="s">
        <v>8</v>
      </c>
      <c r="W13" s="1570">
        <f t="shared" si="2"/>
        <v>100</v>
      </c>
      <c r="X13" s="1571"/>
      <c r="Y13" s="3414"/>
      <c r="Z13" s="1150">
        <f t="shared" si="7"/>
        <v>111</v>
      </c>
      <c r="AA13" s="1572">
        <f t="shared" si="3"/>
        <v>1</v>
      </c>
      <c r="AB13" s="1572">
        <f t="shared" si="4"/>
        <v>1</v>
      </c>
      <c r="AC13" s="1572">
        <f t="shared" si="5"/>
        <v>1</v>
      </c>
    </row>
    <row r="14" spans="1:29" ht="85.5">
      <c r="A14" s="2911"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59" t="s">
        <v>540</v>
      </c>
      <c r="Q14" s="1573" t="str">
        <f t="shared" si="6"/>
        <v>交通便捷度</v>
      </c>
      <c r="R14" s="1574" t="s">
        <v>8</v>
      </c>
      <c r="S14" s="1575">
        <f t="shared" si="0"/>
        <v>100</v>
      </c>
      <c r="T14" s="1574" t="s">
        <v>8</v>
      </c>
      <c r="U14" s="1575">
        <f t="shared" si="1"/>
        <v>100</v>
      </c>
      <c r="V14" s="1574" t="s">
        <v>8</v>
      </c>
      <c r="W14" s="1575">
        <f t="shared" si="2"/>
        <v>100</v>
      </c>
      <c r="X14" s="1568"/>
      <c r="Y14" s="345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60"/>
      <c r="Q15" s="1573"/>
      <c r="R15" s="1574"/>
      <c r="S15" s="1575"/>
      <c r="T15" s="1574"/>
      <c r="U15" s="1575"/>
      <c r="V15" s="1574"/>
      <c r="W15" s="1575"/>
      <c r="X15" s="1568"/>
      <c r="Y15" s="3460"/>
      <c r="Z15" s="1576"/>
      <c r="AA15" s="1577">
        <v>1</v>
      </c>
      <c r="AB15" s="1577">
        <v>1</v>
      </c>
      <c r="AC15" s="1577">
        <v>1</v>
      </c>
    </row>
    <row r="16" spans="1:29" ht="42.75">
      <c r="A16" s="515"/>
      <c r="B16" s="2604"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60"/>
      <c r="Q16" s="1573" t="str">
        <f>B16</f>
        <v>公共配套设施</v>
      </c>
      <c r="R16" s="1574" t="s">
        <v>8</v>
      </c>
      <c r="S16" s="1575">
        <f>F16</f>
        <v>100</v>
      </c>
      <c r="T16" s="1574" t="s">
        <v>8</v>
      </c>
      <c r="U16" s="1575">
        <f>H16</f>
        <v>100</v>
      </c>
      <c r="V16" s="1574" t="s">
        <v>8</v>
      </c>
      <c r="W16" s="1575">
        <f>J16</f>
        <v>100</v>
      </c>
      <c r="X16" s="1568"/>
      <c r="Y16" s="346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60"/>
      <c r="Q17" s="1573"/>
      <c r="R17" s="1574"/>
      <c r="S17" s="1575"/>
      <c r="T17" s="1574"/>
      <c r="U17" s="1575"/>
      <c r="V17" s="1574"/>
      <c r="W17" s="1575"/>
      <c r="X17" s="1568"/>
      <c r="Y17" s="3460"/>
      <c r="Z17" s="1576"/>
      <c r="AA17" s="1577">
        <v>1</v>
      </c>
      <c r="AB17" s="1577">
        <v>1</v>
      </c>
      <c r="AC17" s="1577">
        <v>1</v>
      </c>
    </row>
    <row r="18" spans="1:29" ht="28.5">
      <c r="A18" s="515"/>
      <c r="B18" s="2592"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60"/>
      <c r="Q18" s="2580" t="str">
        <f>B18</f>
        <v>基础设施水平</v>
      </c>
      <c r="R18" s="1574" t="s">
        <v>8</v>
      </c>
      <c r="S18" s="1575">
        <f>F18</f>
        <v>100</v>
      </c>
      <c r="T18" s="1574" t="s">
        <v>8</v>
      </c>
      <c r="U18" s="1575">
        <f>H18</f>
        <v>100</v>
      </c>
      <c r="V18" s="1574" t="s">
        <v>8</v>
      </c>
      <c r="W18" s="1575">
        <f>J18</f>
        <v>100</v>
      </c>
      <c r="X18" s="2582"/>
      <c r="Y18" s="3460"/>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460"/>
      <c r="Q19" s="2580"/>
      <c r="R19" s="1574"/>
      <c r="S19" s="1575"/>
      <c r="T19" s="1574"/>
      <c r="U19" s="1575"/>
      <c r="V19" s="1574"/>
      <c r="W19" s="1575"/>
      <c r="X19" s="2582"/>
      <c r="Y19" s="3460"/>
      <c r="Z19" s="2581"/>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60"/>
      <c r="Q20" s="1573" t="str">
        <f>B20</f>
        <v>自然及人文环境</v>
      </c>
      <c r="R20" s="1574" t="s">
        <v>8</v>
      </c>
      <c r="S20" s="1575">
        <f>F20</f>
        <v>100</v>
      </c>
      <c r="T20" s="1574" t="s">
        <v>8</v>
      </c>
      <c r="U20" s="1575">
        <f>H20</f>
        <v>100</v>
      </c>
      <c r="V20" s="1574" t="s">
        <v>8</v>
      </c>
      <c r="W20" s="1575">
        <f>J20</f>
        <v>100</v>
      </c>
      <c r="X20" s="1568"/>
      <c r="Y20" s="346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60"/>
      <c r="Q21" s="1573"/>
      <c r="R21" s="1574"/>
      <c r="S21" s="1575"/>
      <c r="T21" s="1574"/>
      <c r="U21" s="1575"/>
      <c r="V21" s="1574"/>
      <c r="W21" s="1575"/>
      <c r="X21" s="1568"/>
      <c r="Y21" s="3460"/>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60"/>
      <c r="Q22" s="1573" t="str">
        <f>B22</f>
        <v>楼层</v>
      </c>
      <c r="R22" s="1574" t="s">
        <v>8</v>
      </c>
      <c r="S22" s="1575">
        <f>F22</f>
        <v>100</v>
      </c>
      <c r="T22" s="1574" t="s">
        <v>8</v>
      </c>
      <c r="U22" s="1575">
        <f>H22</f>
        <v>100</v>
      </c>
      <c r="V22" s="1574" t="s">
        <v>8</v>
      </c>
      <c r="W22" s="1575">
        <f>J22</f>
        <v>100</v>
      </c>
      <c r="X22" s="1568"/>
      <c r="Y22" s="346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60"/>
      <c r="Q23" s="1573">
        <f>B23</f>
        <v>111</v>
      </c>
      <c r="R23" s="1574" t="s">
        <v>8</v>
      </c>
      <c r="S23" s="1575">
        <f>F23</f>
        <v>100</v>
      </c>
      <c r="T23" s="1574" t="s">
        <v>8</v>
      </c>
      <c r="U23" s="1575">
        <f>H23</f>
        <v>100</v>
      </c>
      <c r="V23" s="1574" t="s">
        <v>8</v>
      </c>
      <c r="W23" s="1575">
        <f>J23</f>
        <v>100</v>
      </c>
      <c r="X23" s="1568"/>
      <c r="Y23" s="346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60"/>
      <c r="Q24" s="1573">
        <f t="shared" ref="Q24:Q36" si="11">B24</f>
        <v>111</v>
      </c>
      <c r="R24" s="1574" t="s">
        <v>8</v>
      </c>
      <c r="S24" s="1575">
        <f>F24</f>
        <v>100</v>
      </c>
      <c r="T24" s="1574" t="s">
        <v>8</v>
      </c>
      <c r="U24" s="1575">
        <f>H24</f>
        <v>100</v>
      </c>
      <c r="V24" s="1574" t="s">
        <v>8</v>
      </c>
      <c r="W24" s="1575">
        <f>J24</f>
        <v>100</v>
      </c>
      <c r="X24" s="1568"/>
      <c r="Y24" s="346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60"/>
      <c r="Q25" s="1151">
        <f t="shared" si="11"/>
        <v>111</v>
      </c>
      <c r="R25" s="1569" t="s">
        <v>8</v>
      </c>
      <c r="S25" s="1570">
        <f>F25</f>
        <v>100</v>
      </c>
      <c r="T25" s="1569" t="s">
        <v>8</v>
      </c>
      <c r="U25" s="1570">
        <f>H25</f>
        <v>100</v>
      </c>
      <c r="V25" s="1569" t="s">
        <v>8</v>
      </c>
      <c r="W25" s="1570">
        <f>J25</f>
        <v>100</v>
      </c>
      <c r="X25" s="1571"/>
      <c r="Y25" s="3460"/>
      <c r="Z25" s="1150">
        <f>Q25</f>
        <v>111</v>
      </c>
      <c r="AA25" s="1577">
        <f>D25/F25</f>
        <v>1</v>
      </c>
      <c r="AB25" s="1577">
        <f>D25/H25</f>
        <v>1</v>
      </c>
      <c r="AC25" s="1577">
        <f>D25/J25</f>
        <v>1</v>
      </c>
    </row>
    <row r="26" spans="1:29" ht="15">
      <c r="A26" s="2908"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6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62" t="s">
        <v>550</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62"/>
      <c r="Q27" s="1606" t="str">
        <f t="shared" si="11"/>
        <v>项目停车位配比</v>
      </c>
      <c r="R27" s="1578" t="s">
        <v>8</v>
      </c>
      <c r="S27" s="1579">
        <f t="shared" si="12"/>
        <v>100</v>
      </c>
      <c r="T27" s="1578" t="s">
        <v>8</v>
      </c>
      <c r="U27" s="1579">
        <f t="shared" si="13"/>
        <v>100</v>
      </c>
      <c r="V27" s="1578" t="s">
        <v>8</v>
      </c>
      <c r="W27" s="1579">
        <f t="shared" si="14"/>
        <v>100</v>
      </c>
      <c r="X27" s="1580"/>
      <c r="Y27" s="3462"/>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62"/>
      <c r="Q28" s="1573" t="str">
        <f t="shared" si="11"/>
        <v>公共部分装修</v>
      </c>
      <c r="R28" s="1574" t="s">
        <v>8</v>
      </c>
      <c r="S28" s="1575">
        <f t="shared" si="12"/>
        <v>100</v>
      </c>
      <c r="T28" s="1574" t="s">
        <v>8</v>
      </c>
      <c r="U28" s="1575">
        <f t="shared" si="13"/>
        <v>100</v>
      </c>
      <c r="V28" s="1574" t="s">
        <v>8</v>
      </c>
      <c r="W28" s="1575">
        <f t="shared" si="14"/>
        <v>100</v>
      </c>
      <c r="X28" s="1568"/>
      <c r="Y28" s="3462"/>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62"/>
      <c r="Q29" s="1573" t="str">
        <f t="shared" si="11"/>
        <v>成新率</v>
      </c>
      <c r="R29" s="1574" t="s">
        <v>8</v>
      </c>
      <c r="S29" s="1575" t="e">
        <f t="shared" si="12"/>
        <v>#N/A</v>
      </c>
      <c r="T29" s="1574" t="s">
        <v>8</v>
      </c>
      <c r="U29" s="1575" t="e">
        <f t="shared" si="13"/>
        <v>#N/A</v>
      </c>
      <c r="V29" s="1574" t="s">
        <v>8</v>
      </c>
      <c r="W29" s="1575" t="e">
        <f t="shared" si="14"/>
        <v>#N/A</v>
      </c>
      <c r="X29" s="1568"/>
      <c r="Y29" s="3462"/>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62"/>
      <c r="Q30" s="1573" t="str">
        <f t="shared" si="11"/>
        <v>物业等级</v>
      </c>
      <c r="R30" s="1574" t="s">
        <v>8</v>
      </c>
      <c r="S30" s="1575">
        <f t="shared" si="12"/>
        <v>100</v>
      </c>
      <c r="T30" s="1574" t="s">
        <v>8</v>
      </c>
      <c r="U30" s="1575">
        <f t="shared" si="13"/>
        <v>100</v>
      </c>
      <c r="V30" s="1574" t="s">
        <v>8</v>
      </c>
      <c r="W30" s="1575">
        <f t="shared" si="14"/>
        <v>100</v>
      </c>
      <c r="X30" s="1568"/>
      <c r="Y30" s="3462"/>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62"/>
      <c r="Q31" s="1151" t="str">
        <f t="shared" si="11"/>
        <v>停车位面积</v>
      </c>
      <c r="R31" s="1569" t="s">
        <v>8</v>
      </c>
      <c r="S31" s="1570" t="e">
        <f t="shared" si="12"/>
        <v>#N/A</v>
      </c>
      <c r="T31" s="1569" t="s">
        <v>8</v>
      </c>
      <c r="U31" s="1570" t="e">
        <f t="shared" si="13"/>
        <v>#N/A</v>
      </c>
      <c r="V31" s="1569" t="s">
        <v>8</v>
      </c>
      <c r="W31" s="1570" t="e">
        <f t="shared" si="14"/>
        <v>#N/A</v>
      </c>
      <c r="X31" s="1571"/>
      <c r="Y31" s="3462"/>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62" t="s">
        <v>550</v>
      </c>
      <c r="Q32" s="1573" t="str">
        <f t="shared" si="11"/>
        <v>车位类型</v>
      </c>
      <c r="R32" s="1574" t="s">
        <v>8</v>
      </c>
      <c r="S32" s="1575">
        <f t="shared" si="12"/>
        <v>100</v>
      </c>
      <c r="T32" s="1574" t="s">
        <v>8</v>
      </c>
      <c r="U32" s="1575">
        <f t="shared" si="13"/>
        <v>100</v>
      </c>
      <c r="V32" s="1574" t="s">
        <v>8</v>
      </c>
      <c r="W32" s="1575">
        <f t="shared" si="14"/>
        <v>100</v>
      </c>
      <c r="X32" s="1568"/>
      <c r="Y32" s="3462" t="s">
        <v>550</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62"/>
      <c r="Q33" s="1573" t="str">
        <f t="shared" si="11"/>
        <v>是否直接入户</v>
      </c>
      <c r="R33" s="1574" t="s">
        <v>8</v>
      </c>
      <c r="S33" s="1575">
        <f t="shared" si="12"/>
        <v>100</v>
      </c>
      <c r="T33" s="1574" t="s">
        <v>8</v>
      </c>
      <c r="U33" s="1575">
        <f t="shared" si="13"/>
        <v>100</v>
      </c>
      <c r="V33" s="1574" t="s">
        <v>8</v>
      </c>
      <c r="W33" s="1575">
        <f t="shared" si="14"/>
        <v>100</v>
      </c>
      <c r="X33" s="1568"/>
      <c r="Y33" s="346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62"/>
      <c r="Q34" s="1573">
        <f t="shared" si="11"/>
        <v>111</v>
      </c>
      <c r="R34" s="1574" t="s">
        <v>8</v>
      </c>
      <c r="S34" s="1575">
        <f t="shared" si="12"/>
        <v>100</v>
      </c>
      <c r="T34" s="1574" t="s">
        <v>8</v>
      </c>
      <c r="U34" s="1575">
        <f t="shared" si="13"/>
        <v>100</v>
      </c>
      <c r="V34" s="1574" t="s">
        <v>8</v>
      </c>
      <c r="W34" s="1575">
        <f t="shared" si="14"/>
        <v>100</v>
      </c>
      <c r="X34" s="1568"/>
      <c r="Y34" s="346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62"/>
      <c r="Q35" s="1606">
        <f t="shared" si="11"/>
        <v>111</v>
      </c>
      <c r="R35" s="1578" t="s">
        <v>8</v>
      </c>
      <c r="S35" s="1579">
        <f t="shared" si="12"/>
        <v>100</v>
      </c>
      <c r="T35" s="1578" t="s">
        <v>8</v>
      </c>
      <c r="U35" s="1579">
        <f t="shared" si="13"/>
        <v>100</v>
      </c>
      <c r="V35" s="1578" t="s">
        <v>8</v>
      </c>
      <c r="W35" s="1579">
        <f t="shared" si="14"/>
        <v>100</v>
      </c>
      <c r="X35" s="1580"/>
      <c r="Y35" s="346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62"/>
      <c r="Q36" s="1573">
        <f t="shared" si="11"/>
        <v>111</v>
      </c>
      <c r="R36" s="1574" t="s">
        <v>8</v>
      </c>
      <c r="S36" s="1575">
        <f t="shared" si="12"/>
        <v>100</v>
      </c>
      <c r="T36" s="1574" t="s">
        <v>8</v>
      </c>
      <c r="U36" s="1575">
        <f t="shared" si="13"/>
        <v>100</v>
      </c>
      <c r="V36" s="1574" t="s">
        <v>8</v>
      </c>
      <c r="W36" s="1575">
        <f t="shared" si="14"/>
        <v>100</v>
      </c>
      <c r="X36" s="1568"/>
      <c r="Y36" s="3462"/>
      <c r="Z36" s="1576">
        <f t="shared" si="15"/>
        <v>111</v>
      </c>
      <c r="AA36" s="1577">
        <f t="shared" si="3"/>
        <v>1</v>
      </c>
      <c r="AB36" s="1577">
        <f t="shared" si="4"/>
        <v>1</v>
      </c>
      <c r="AC36" s="1577">
        <f t="shared" si="5"/>
        <v>1</v>
      </c>
    </row>
    <row r="37" spans="1:29" ht="15">
      <c r="A37" s="1847" t="s">
        <v>2078</v>
      </c>
      <c r="B37" s="1848" t="s">
        <v>2079</v>
      </c>
      <c r="C37" s="2628" t="s">
        <v>1</v>
      </c>
      <c r="D37" s="2629"/>
      <c r="E37" s="2630"/>
      <c r="F37" s="2631"/>
      <c r="G37" s="2632"/>
      <c r="H37" s="2633"/>
      <c r="I37" s="2630"/>
      <c r="J37" s="2633"/>
      <c r="K37" s="1612"/>
      <c r="L37" s="2145"/>
      <c r="M37" s="2146"/>
      <c r="N37" s="2135"/>
      <c r="O37" s="2146"/>
      <c r="P37" s="3457" t="str">
        <f>A37</f>
        <v>成交单价</v>
      </c>
      <c r="Q37" s="3457"/>
      <c r="R37" s="3546">
        <f>E37</f>
        <v>0</v>
      </c>
      <c r="S37" s="3546"/>
      <c r="T37" s="3546">
        <f>G37</f>
        <v>0</v>
      </c>
      <c r="U37" s="3546"/>
      <c r="V37" s="3546">
        <f>I37</f>
        <v>0</v>
      </c>
      <c r="W37" s="3546"/>
      <c r="X37" s="1560"/>
      <c r="Y37" s="1582"/>
      <c r="Z37" s="1560"/>
      <c r="AA37" s="1560"/>
      <c r="AB37" s="1560"/>
      <c r="AC37" s="1560"/>
    </row>
    <row r="38" spans="1:29" ht="15.75" thickBot="1">
      <c r="A38" s="615" t="s">
        <v>2759</v>
      </c>
      <c r="B38" s="888"/>
      <c r="C38" s="2634" t="e">
        <f>R39</f>
        <v>#DIV/0!</v>
      </c>
      <c r="D38" s="2635"/>
      <c r="E38" s="2636" t="e">
        <f>R38</f>
        <v>#DIV/0!</v>
      </c>
      <c r="F38" s="2636"/>
      <c r="G38" s="2634" t="e">
        <f>T38</f>
        <v>#DIV/0!</v>
      </c>
      <c r="H38" s="2635"/>
      <c r="I38" s="2636" t="e">
        <f>V38</f>
        <v>#DIV/0!</v>
      </c>
      <c r="J38" s="2635"/>
      <c r="K38" s="1613"/>
      <c r="L38" s="2145"/>
      <c r="M38" s="2146"/>
      <c r="N38" s="2146"/>
      <c r="O38" s="2146"/>
      <c r="P38" s="3457" t="str">
        <f>A38</f>
        <v>比较价格（元/平方米）</v>
      </c>
      <c r="Q38" s="3457"/>
      <c r="R38" s="3546" t="e">
        <f>IF(F1="售价",ROUND(PRODUCT(R37,AA7:AA36),0),ROUND(PRODUCT(R37,AA7:AA36),1))</f>
        <v>#DIV/0!</v>
      </c>
      <c r="S38" s="3546"/>
      <c r="T38" s="3546" t="e">
        <f>IF(F1="售价",ROUND(PRODUCT(T37,AB7:AB36),0),ROUND(PRODUCT(T37,AB7:AB36),1))</f>
        <v>#DIV/0!</v>
      </c>
      <c r="U38" s="3546"/>
      <c r="V38" s="3546" t="e">
        <f>IF(F1="售价",ROUND(PRODUCT(V37,AC7:AC36),0),ROUND(PRODUCT(V37,AC7:AC36),1))</f>
        <v>#DIV/0!</v>
      </c>
      <c r="W38" s="3546"/>
      <c r="X38" s="1560"/>
      <c r="Y38" s="1560"/>
      <c r="Z38" s="1560"/>
      <c r="AA38" s="1560"/>
      <c r="AB38" s="1560"/>
      <c r="AC38" s="1560"/>
    </row>
    <row r="39" spans="1:29" ht="15.75" thickBot="1">
      <c r="A39" s="621" t="s">
        <v>2926</v>
      </c>
      <c r="B39" s="622"/>
      <c r="C39" s="2637" t="e">
        <f>R39</f>
        <v>#DIV/0!</v>
      </c>
      <c r="D39" s="2637"/>
      <c r="E39" s="2637"/>
      <c r="F39" s="2637"/>
      <c r="G39" s="2637"/>
      <c r="H39" s="2637"/>
      <c r="I39" s="2637"/>
      <c r="J39" s="2637"/>
      <c r="K39" s="1614"/>
      <c r="L39" s="2145"/>
      <c r="M39" s="2146"/>
      <c r="N39" s="2146"/>
      <c r="O39" s="2146"/>
      <c r="P39" s="3478" t="str">
        <f>A39</f>
        <v>估价对象XX用房的比较价格（楼面单价，元/平方米）</v>
      </c>
      <c r="Q39" s="3479"/>
      <c r="R39" s="3545" t="e">
        <f>IF(F1="售价",ROUND(AVERAGE(R38:V38),0),ROUND(AVERAGE(R38:V38),1))</f>
        <v>#DIV/0!</v>
      </c>
      <c r="S39" s="3545"/>
      <c r="T39" s="3545"/>
      <c r="U39" s="3545"/>
      <c r="V39" s="3545"/>
      <c r="W39" s="354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2557</v>
      </c>
      <c r="C67" s="2599" t="s">
        <v>2558</v>
      </c>
      <c r="D67" s="2599" t="s">
        <v>2559</v>
      </c>
      <c r="E67" s="2599" t="s">
        <v>2560</v>
      </c>
      <c r="F67" s="2599" t="s">
        <v>2561</v>
      </c>
      <c r="G67" s="2599" t="s">
        <v>2562</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中诚信托有限责任公司：</v>
      </c>
    </row>
    <row r="4" spans="1:4" ht="37.5">
      <c r="A4" s="1792" t="str">
        <f>"受贵公司委托，我公司对"&amp;项目基本情况!K2&amp;项目基本情况!B9&amp;"进行了预评估。"</f>
        <v>受贵公司委托，我公司对重庆市巴南区南泉鹿角出让国有建设用地使用权抵押价格进行了预评估。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融创启阳置业有限公司使用的、位于重庆市巴南区南泉鹿角出让国有建设用地使用权。根据，估价对象（分摊）出让国有建设用地使用权面积为35272平方米。根据《国有建设用地使用权出让合同》[电子监管号：5001132013B00515]及附件，估价对象规划建筑面积为56435平方米。</v>
      </c>
    </row>
    <row r="7" spans="1:4" ht="93.75">
      <c r="A7" s="2874" t="s">
        <v>2747</v>
      </c>
    </row>
    <row r="8" spans="1:4" ht="18.75">
      <c r="A8" s="1795" t="s">
        <v>1906</v>
      </c>
    </row>
    <row r="9" spans="1:4" ht="93.75">
      <c r="A9" s="1797" t="str">
        <f>IF(项目基本情况!B8="抵押",IF(项目基本情况!B5=项目基本情况!B6,定义!C51,定义!B51),定义!D51)</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2018年11月22日（评估专业人员勘察现场之日）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根据202D房地证2014字第00221号，本次评估估价对象证载（地类）用途为二类居住用地。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根据，估价对象（分摊）出让国有建设用地使用权面积为35272平方米。根据《国有建设用地使用权出让合同》[电子监管号：5001132013B00515]及附件，估价对象规划建筑面积为56435平方米。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791</v>
      </c>
      <c r="D1" s="849"/>
      <c r="E1" s="506"/>
      <c r="F1" s="2808"/>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463" t="s">
        <v>797</v>
      </c>
      <c r="D4" s="3464"/>
      <c r="E4" s="3489" t="s">
        <v>798</v>
      </c>
      <c r="F4" s="3490"/>
      <c r="G4" s="3463" t="s">
        <v>799</v>
      </c>
      <c r="H4" s="3464"/>
      <c r="I4" s="3463" t="s">
        <v>800</v>
      </c>
      <c r="J4" s="3464"/>
      <c r="K4" s="514" t="s">
        <v>801</v>
      </c>
      <c r="L4" s="2134"/>
      <c r="M4" s="2135"/>
      <c r="N4" s="2135"/>
      <c r="O4" s="2135"/>
      <c r="P4" s="3465" t="s">
        <v>802</v>
      </c>
      <c r="Q4" s="3466"/>
      <c r="R4" s="3451" t="s">
        <v>798</v>
      </c>
      <c r="S4" s="3452"/>
      <c r="T4" s="3451" t="s">
        <v>799</v>
      </c>
      <c r="U4" s="3452"/>
      <c r="V4" s="3471" t="s">
        <v>800</v>
      </c>
      <c r="W4" s="3471"/>
      <c r="X4" s="1568"/>
      <c r="Y4" s="3451" t="s">
        <v>802</v>
      </c>
      <c r="Z4" s="3452"/>
      <c r="AA4" s="3446" t="s">
        <v>798</v>
      </c>
      <c r="AB4" s="3447" t="s">
        <v>799</v>
      </c>
      <c r="AC4" s="3446" t="s">
        <v>800</v>
      </c>
    </row>
    <row r="5" spans="1:29" ht="15">
      <c r="A5" s="515"/>
      <c r="B5" s="516"/>
      <c r="C5" s="3493" t="s">
        <v>2920</v>
      </c>
      <c r="D5" s="3494"/>
      <c r="E5" s="3491" t="s">
        <v>2921</v>
      </c>
      <c r="F5" s="3492"/>
      <c r="G5" s="3493" t="s">
        <v>2922</v>
      </c>
      <c r="H5" s="3494"/>
      <c r="I5" s="3493" t="s">
        <v>2923</v>
      </c>
      <c r="J5" s="3494"/>
      <c r="K5" s="514"/>
      <c r="L5" s="2134"/>
      <c r="M5" s="2135"/>
      <c r="N5" s="2135"/>
      <c r="O5" s="2135"/>
      <c r="P5" s="3467"/>
      <c r="Q5" s="3468"/>
      <c r="R5" s="3453"/>
      <c r="S5" s="3454"/>
      <c r="T5" s="3453"/>
      <c r="U5" s="3454"/>
      <c r="V5" s="3471"/>
      <c r="W5" s="3471"/>
      <c r="X5" s="1568"/>
      <c r="Y5" s="3453"/>
      <c r="Z5" s="3454"/>
      <c r="AA5" s="3447"/>
      <c r="AB5" s="3447"/>
      <c r="AC5" s="3447"/>
    </row>
    <row r="6" spans="1:29" ht="15.75" thickBot="1">
      <c r="A6" s="517"/>
      <c r="B6" s="518"/>
      <c r="C6" s="3495" t="s">
        <v>2924</v>
      </c>
      <c r="D6" s="3496"/>
      <c r="E6" s="3497" t="s">
        <v>2924</v>
      </c>
      <c r="F6" s="3498"/>
      <c r="G6" s="3495" t="s">
        <v>2924</v>
      </c>
      <c r="H6" s="3496"/>
      <c r="I6" s="3495" t="s">
        <v>2924</v>
      </c>
      <c r="J6" s="3496"/>
      <c r="K6" s="514" t="s">
        <v>528</v>
      </c>
      <c r="L6" s="2134"/>
      <c r="M6" s="2135"/>
      <c r="N6" s="2135"/>
      <c r="O6" s="2135"/>
      <c r="P6" s="3469"/>
      <c r="Q6" s="3470"/>
      <c r="R6" s="3453"/>
      <c r="S6" s="3454"/>
      <c r="T6" s="3455"/>
      <c r="U6" s="3456"/>
      <c r="V6" s="3471"/>
      <c r="W6" s="3471"/>
      <c r="X6" s="1568"/>
      <c r="Y6" s="3455"/>
      <c r="Z6" s="3456"/>
      <c r="AA6" s="3448"/>
      <c r="AB6" s="3448"/>
      <c r="AC6" s="3448"/>
    </row>
    <row r="7" spans="1:29" s="1220" customFormat="1" ht="15.75" thickBot="1">
      <c r="A7" s="2913"/>
      <c r="B7" s="2920" t="s">
        <v>529</v>
      </c>
      <c r="C7" s="519">
        <f>'数据-取费表'!B2</f>
        <v>43426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49" t="s">
        <v>530</v>
      </c>
      <c r="Q7" s="3458"/>
      <c r="R7" s="1569" t="s">
        <v>8</v>
      </c>
      <c r="S7" s="1570">
        <f t="shared" ref="S7:S14" si="0">F7</f>
        <v>0</v>
      </c>
      <c r="T7" s="1569" t="s">
        <v>8</v>
      </c>
      <c r="U7" s="1570">
        <f t="shared" ref="U7:U14" si="1">H7</f>
        <v>0</v>
      </c>
      <c r="V7" s="1569" t="s">
        <v>8</v>
      </c>
      <c r="W7" s="1570">
        <f t="shared" ref="W7:W14" si="2">J7</f>
        <v>0</v>
      </c>
      <c r="X7" s="1571"/>
      <c r="Y7" s="3449" t="s">
        <v>530</v>
      </c>
      <c r="Z7" s="3450"/>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49" t="s">
        <v>533</v>
      </c>
      <c r="Q8" s="3450"/>
      <c r="R8" s="1569" t="s">
        <v>8</v>
      </c>
      <c r="S8" s="1570">
        <f t="shared" si="0"/>
        <v>0</v>
      </c>
      <c r="T8" s="1569" t="s">
        <v>8</v>
      </c>
      <c r="U8" s="1570">
        <f t="shared" si="1"/>
        <v>0</v>
      </c>
      <c r="V8" s="1569" t="s">
        <v>8</v>
      </c>
      <c r="W8" s="1570">
        <f t="shared" si="2"/>
        <v>0</v>
      </c>
      <c r="X8" s="1571"/>
      <c r="Y8" s="3449" t="s">
        <v>533</v>
      </c>
      <c r="Z8" s="3450"/>
      <c r="AA8" s="1572" t="e">
        <f t="shared" ref="AA8:AA34" si="3">D8/F8</f>
        <v>#DIV/0!</v>
      </c>
      <c r="AB8" s="1572" t="e">
        <f t="shared" ref="AB8:AB34" si="4">D8/H8</f>
        <v>#DIV/0!</v>
      </c>
      <c r="AC8" s="1572"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57" t="s">
        <v>535</v>
      </c>
      <c r="Q9" s="1151" t="str">
        <f t="shared" ref="Q9:Q14" si="6">B9</f>
        <v>用途</v>
      </c>
      <c r="R9" s="1569" t="s">
        <v>8</v>
      </c>
      <c r="S9" s="1570">
        <f t="shared" si="0"/>
        <v>100</v>
      </c>
      <c r="T9" s="1569" t="s">
        <v>8</v>
      </c>
      <c r="U9" s="1570">
        <f t="shared" si="1"/>
        <v>100</v>
      </c>
      <c r="V9" s="1569" t="s">
        <v>8</v>
      </c>
      <c r="W9" s="1570">
        <f t="shared" si="2"/>
        <v>100</v>
      </c>
      <c r="X9" s="1571"/>
      <c r="Y9" s="3414" t="s">
        <v>536</v>
      </c>
      <c r="Z9" s="1150" t="str">
        <f t="shared" ref="Z9:Z14" si="7">Q9</f>
        <v>用途</v>
      </c>
      <c r="AA9" s="1572">
        <f t="shared" si="3"/>
        <v>1</v>
      </c>
      <c r="AB9" s="1572">
        <f t="shared" si="4"/>
        <v>1</v>
      </c>
      <c r="AC9" s="1572">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57"/>
      <c r="Q10" s="1151" t="str">
        <f t="shared" si="6"/>
        <v>土地使用年限（年）</v>
      </c>
      <c r="R10" s="1569" t="s">
        <v>8</v>
      </c>
      <c r="S10" s="1570">
        <f t="shared" si="0"/>
        <v>100</v>
      </c>
      <c r="T10" s="1569" t="s">
        <v>8</v>
      </c>
      <c r="U10" s="1570">
        <f t="shared" si="1"/>
        <v>100</v>
      </c>
      <c r="V10" s="1569" t="s">
        <v>8</v>
      </c>
      <c r="W10" s="1570">
        <f t="shared" si="2"/>
        <v>100</v>
      </c>
      <c r="X10" s="1571"/>
      <c r="Y10" s="3414"/>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57"/>
      <c r="Q11" s="1151">
        <f t="shared" si="6"/>
        <v>111</v>
      </c>
      <c r="R11" s="1569" t="s">
        <v>8</v>
      </c>
      <c r="S11" s="1570">
        <f t="shared" si="0"/>
        <v>100</v>
      </c>
      <c r="T11" s="1569" t="s">
        <v>8</v>
      </c>
      <c r="U11" s="1570">
        <f t="shared" si="1"/>
        <v>100</v>
      </c>
      <c r="V11" s="1569" t="s">
        <v>8</v>
      </c>
      <c r="W11" s="1570">
        <f t="shared" si="2"/>
        <v>100</v>
      </c>
      <c r="X11" s="1571"/>
      <c r="Y11" s="3414"/>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57"/>
      <c r="Q12" s="1151">
        <f t="shared" si="6"/>
        <v>111</v>
      </c>
      <c r="R12" s="1569" t="s">
        <v>8</v>
      </c>
      <c r="S12" s="1570">
        <f t="shared" si="0"/>
        <v>100</v>
      </c>
      <c r="T12" s="1569" t="s">
        <v>8</v>
      </c>
      <c r="U12" s="1570">
        <f t="shared" si="1"/>
        <v>100</v>
      </c>
      <c r="V12" s="1569" t="s">
        <v>8</v>
      </c>
      <c r="W12" s="1570">
        <f t="shared" si="2"/>
        <v>100</v>
      </c>
      <c r="X12" s="1571"/>
      <c r="Y12" s="3414"/>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57"/>
      <c r="Q13" s="1151">
        <f t="shared" si="6"/>
        <v>111</v>
      </c>
      <c r="R13" s="1569" t="s">
        <v>8</v>
      </c>
      <c r="S13" s="1570">
        <f t="shared" si="0"/>
        <v>100</v>
      </c>
      <c r="T13" s="1569" t="s">
        <v>8</v>
      </c>
      <c r="U13" s="1570">
        <f t="shared" si="1"/>
        <v>100</v>
      </c>
      <c r="V13" s="1569" t="s">
        <v>8</v>
      </c>
      <c r="W13" s="1570">
        <f t="shared" si="2"/>
        <v>100</v>
      </c>
      <c r="X13" s="1571"/>
      <c r="Y13" s="3414"/>
      <c r="Z13" s="1150">
        <f t="shared" si="7"/>
        <v>111</v>
      </c>
      <c r="AA13" s="1572">
        <f t="shared" si="3"/>
        <v>1</v>
      </c>
      <c r="AB13" s="1572">
        <f t="shared" si="4"/>
        <v>1</v>
      </c>
      <c r="AC13" s="1572">
        <f t="shared" si="5"/>
        <v>1</v>
      </c>
    </row>
    <row r="14" spans="1:29" ht="85.5">
      <c r="A14" s="2911"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59" t="s">
        <v>540</v>
      </c>
      <c r="Q14" s="1573" t="str">
        <f t="shared" si="6"/>
        <v>交通便捷度</v>
      </c>
      <c r="R14" s="1574" t="s">
        <v>8</v>
      </c>
      <c r="S14" s="1575">
        <f t="shared" si="0"/>
        <v>100</v>
      </c>
      <c r="T14" s="1574" t="s">
        <v>8</v>
      </c>
      <c r="U14" s="1575">
        <f t="shared" si="1"/>
        <v>100</v>
      </c>
      <c r="V14" s="1574" t="s">
        <v>8</v>
      </c>
      <c r="W14" s="1575">
        <f t="shared" si="2"/>
        <v>100</v>
      </c>
      <c r="X14" s="1568"/>
      <c r="Y14" s="345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60"/>
      <c r="Q15" s="1573"/>
      <c r="R15" s="1574"/>
      <c r="S15" s="1575"/>
      <c r="T15" s="1574"/>
      <c r="U15" s="1575"/>
      <c r="V15" s="1574"/>
      <c r="W15" s="1575"/>
      <c r="X15" s="1568"/>
      <c r="Y15" s="3460"/>
      <c r="Z15" s="1576"/>
      <c r="AA15" s="1577">
        <v>1</v>
      </c>
      <c r="AB15" s="1577">
        <v>1</v>
      </c>
      <c r="AC15" s="1577">
        <v>1</v>
      </c>
    </row>
    <row r="16" spans="1:29" ht="42.75">
      <c r="A16" s="532"/>
      <c r="B16" s="2604"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60"/>
      <c r="Q16" s="1573" t="str">
        <f>B16</f>
        <v>公共配套设施</v>
      </c>
      <c r="R16" s="1574" t="s">
        <v>8</v>
      </c>
      <c r="S16" s="1575">
        <f>F16</f>
        <v>100</v>
      </c>
      <c r="T16" s="1574" t="s">
        <v>8</v>
      </c>
      <c r="U16" s="1575">
        <f>H16</f>
        <v>100</v>
      </c>
      <c r="V16" s="1574" t="s">
        <v>8</v>
      </c>
      <c r="W16" s="1575">
        <f>J16</f>
        <v>100</v>
      </c>
      <c r="X16" s="1568"/>
      <c r="Y16" s="346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60"/>
      <c r="Q17" s="1573"/>
      <c r="R17" s="1574"/>
      <c r="S17" s="1575"/>
      <c r="T17" s="1574"/>
      <c r="U17" s="1575"/>
      <c r="V17" s="1574"/>
      <c r="W17" s="1575"/>
      <c r="X17" s="1568"/>
      <c r="Y17" s="3460"/>
      <c r="Z17" s="1576"/>
      <c r="AA17" s="1577">
        <v>1</v>
      </c>
      <c r="AB17" s="1577">
        <v>1</v>
      </c>
      <c r="AC17" s="1577">
        <v>1</v>
      </c>
    </row>
    <row r="18" spans="1:29" ht="28.5">
      <c r="A18" s="532"/>
      <c r="B18" s="2592"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60"/>
      <c r="Q18" s="2580" t="str">
        <f>B18</f>
        <v>基础设施水平</v>
      </c>
      <c r="R18" s="1574" t="s">
        <v>8</v>
      </c>
      <c r="S18" s="1575">
        <f>F18</f>
        <v>100</v>
      </c>
      <c r="T18" s="1574" t="s">
        <v>8</v>
      </c>
      <c r="U18" s="1575">
        <f>H18</f>
        <v>100</v>
      </c>
      <c r="V18" s="1574" t="s">
        <v>8</v>
      </c>
      <c r="W18" s="1575">
        <f>J18</f>
        <v>100</v>
      </c>
      <c r="X18" s="2582"/>
      <c r="Y18" s="3460"/>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460"/>
      <c r="Q19" s="2580"/>
      <c r="R19" s="1574"/>
      <c r="S19" s="1575"/>
      <c r="T19" s="1574"/>
      <c r="U19" s="1575"/>
      <c r="V19" s="1574"/>
      <c r="W19" s="1575"/>
      <c r="X19" s="2582"/>
      <c r="Y19" s="3460"/>
      <c r="Z19" s="2581"/>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60"/>
      <c r="Q20" s="1573" t="str">
        <f>B20</f>
        <v>自然及人文环境</v>
      </c>
      <c r="R20" s="1574" t="s">
        <v>8</v>
      </c>
      <c r="S20" s="1575">
        <f>F20</f>
        <v>100</v>
      </c>
      <c r="T20" s="1574" t="s">
        <v>8</v>
      </c>
      <c r="U20" s="1575">
        <f>H20</f>
        <v>100</v>
      </c>
      <c r="V20" s="1574" t="s">
        <v>8</v>
      </c>
      <c r="W20" s="1575">
        <f>J20</f>
        <v>100</v>
      </c>
      <c r="X20" s="1568"/>
      <c r="Y20" s="346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60"/>
      <c r="Q21" s="1573"/>
      <c r="R21" s="1574"/>
      <c r="S21" s="1575"/>
      <c r="T21" s="1574"/>
      <c r="U21" s="1575"/>
      <c r="V21" s="1574"/>
      <c r="W21" s="1575"/>
      <c r="X21" s="1568"/>
      <c r="Y21" s="3460"/>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60"/>
      <c r="Q22" s="1573" t="str">
        <f>B22</f>
        <v>楼层</v>
      </c>
      <c r="R22" s="1574" t="s">
        <v>8</v>
      </c>
      <c r="S22" s="1575">
        <f>F22</f>
        <v>100</v>
      </c>
      <c r="T22" s="1574" t="s">
        <v>8</v>
      </c>
      <c r="U22" s="1575">
        <f>H22</f>
        <v>100</v>
      </c>
      <c r="V22" s="1574" t="s">
        <v>8</v>
      </c>
      <c r="W22" s="1575">
        <f>J22</f>
        <v>100</v>
      </c>
      <c r="X22" s="1568"/>
      <c r="Y22" s="346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60"/>
      <c r="Q23" s="1573">
        <f>B23</f>
        <v>111</v>
      </c>
      <c r="R23" s="1574" t="s">
        <v>8</v>
      </c>
      <c r="S23" s="1575">
        <f>F23</f>
        <v>100</v>
      </c>
      <c r="T23" s="1574" t="s">
        <v>8</v>
      </c>
      <c r="U23" s="1575">
        <f>H23</f>
        <v>100</v>
      </c>
      <c r="V23" s="1574" t="s">
        <v>8</v>
      </c>
      <c r="W23" s="1575">
        <f>J23</f>
        <v>100</v>
      </c>
      <c r="X23" s="1568"/>
      <c r="Y23" s="346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60"/>
      <c r="Q24" s="1573">
        <f t="shared" ref="Q24:Q34" si="11">B24</f>
        <v>111</v>
      </c>
      <c r="R24" s="1574" t="s">
        <v>8</v>
      </c>
      <c r="S24" s="1575">
        <f>F24</f>
        <v>100</v>
      </c>
      <c r="T24" s="1574" t="s">
        <v>8</v>
      </c>
      <c r="U24" s="1575">
        <f>H24</f>
        <v>100</v>
      </c>
      <c r="V24" s="1574" t="s">
        <v>8</v>
      </c>
      <c r="W24" s="1575">
        <f>J24</f>
        <v>100</v>
      </c>
      <c r="X24" s="1568"/>
      <c r="Y24" s="346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60"/>
      <c r="Q25" s="1151">
        <f t="shared" si="11"/>
        <v>111</v>
      </c>
      <c r="R25" s="1569" t="s">
        <v>8</v>
      </c>
      <c r="S25" s="1570">
        <f>F25</f>
        <v>100</v>
      </c>
      <c r="T25" s="1569" t="s">
        <v>8</v>
      </c>
      <c r="U25" s="1570">
        <f>H25</f>
        <v>100</v>
      </c>
      <c r="V25" s="1569" t="s">
        <v>8</v>
      </c>
      <c r="W25" s="1570">
        <f>J25</f>
        <v>100</v>
      </c>
      <c r="X25" s="1571"/>
      <c r="Y25" s="3460"/>
      <c r="Z25" s="1150">
        <f>Q25</f>
        <v>111</v>
      </c>
      <c r="AA25" s="1577">
        <f>D25/F25</f>
        <v>1</v>
      </c>
      <c r="AB25" s="1577">
        <f>D25/H25</f>
        <v>1</v>
      </c>
      <c r="AC25" s="1577">
        <f>D25/J25</f>
        <v>1</v>
      </c>
    </row>
    <row r="26" spans="1:29" ht="15">
      <c r="A26" s="2908"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61"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62"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62"/>
      <c r="Q27" s="1606" t="str">
        <f t="shared" si="11"/>
        <v>成新率</v>
      </c>
      <c r="R27" s="1578" t="s">
        <v>8</v>
      </c>
      <c r="S27" s="1579" t="e">
        <f t="shared" si="12"/>
        <v>#N/A</v>
      </c>
      <c r="T27" s="1578" t="s">
        <v>8</v>
      </c>
      <c r="U27" s="1579" t="e">
        <f t="shared" si="13"/>
        <v>#N/A</v>
      </c>
      <c r="V27" s="1578" t="s">
        <v>8</v>
      </c>
      <c r="W27" s="1579" t="e">
        <f t="shared" si="14"/>
        <v>#N/A</v>
      </c>
      <c r="X27" s="1580"/>
      <c r="Y27" s="3462"/>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62"/>
      <c r="Q28" s="1573" t="str">
        <f t="shared" si="11"/>
        <v>物业等级</v>
      </c>
      <c r="R28" s="1574" t="s">
        <v>8</v>
      </c>
      <c r="S28" s="1575">
        <f t="shared" si="12"/>
        <v>100</v>
      </c>
      <c r="T28" s="1574" t="s">
        <v>8</v>
      </c>
      <c r="U28" s="1575">
        <f t="shared" si="13"/>
        <v>100</v>
      </c>
      <c r="V28" s="1574" t="s">
        <v>8</v>
      </c>
      <c r="W28" s="1575">
        <f t="shared" si="14"/>
        <v>100</v>
      </c>
      <c r="X28" s="1568"/>
      <c r="Y28" s="3462"/>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62"/>
      <c r="Q29" s="1573" t="str">
        <f t="shared" si="11"/>
        <v>有无电梯</v>
      </c>
      <c r="R29" s="1574" t="s">
        <v>8</v>
      </c>
      <c r="S29" s="1575">
        <f t="shared" si="12"/>
        <v>100</v>
      </c>
      <c r="T29" s="1574" t="s">
        <v>8</v>
      </c>
      <c r="U29" s="1575">
        <f t="shared" si="13"/>
        <v>100</v>
      </c>
      <c r="V29" s="1574" t="s">
        <v>8</v>
      </c>
      <c r="W29" s="1575">
        <f t="shared" si="14"/>
        <v>100</v>
      </c>
      <c r="X29" s="1568"/>
      <c r="Y29" s="3462"/>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62"/>
      <c r="Q30" s="1573" t="str">
        <f t="shared" si="11"/>
        <v>建筑面积</v>
      </c>
      <c r="R30" s="1574" t="s">
        <v>8</v>
      </c>
      <c r="S30" s="1575" t="e">
        <f t="shared" si="12"/>
        <v>#N/A</v>
      </c>
      <c r="T30" s="1574" t="s">
        <v>8</v>
      </c>
      <c r="U30" s="1575" t="e">
        <f t="shared" si="13"/>
        <v>#N/A</v>
      </c>
      <c r="V30" s="1574" t="s">
        <v>8</v>
      </c>
      <c r="W30" s="1575" t="e">
        <f t="shared" si="14"/>
        <v>#N/A</v>
      </c>
      <c r="X30" s="1568"/>
      <c r="Y30" s="3462"/>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62"/>
      <c r="Q31" s="1151" t="str">
        <f t="shared" si="11"/>
        <v>是否封闭</v>
      </c>
      <c r="R31" s="1569" t="s">
        <v>8</v>
      </c>
      <c r="S31" s="1570">
        <f t="shared" si="12"/>
        <v>100</v>
      </c>
      <c r="T31" s="1569" t="s">
        <v>8</v>
      </c>
      <c r="U31" s="1570">
        <f t="shared" si="13"/>
        <v>100</v>
      </c>
      <c r="V31" s="1569" t="s">
        <v>8</v>
      </c>
      <c r="W31" s="1570">
        <f t="shared" si="14"/>
        <v>100</v>
      </c>
      <c r="X31" s="1571"/>
      <c r="Y31" s="346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62" t="s">
        <v>550</v>
      </c>
      <c r="Q32" s="1573">
        <f t="shared" si="11"/>
        <v>111</v>
      </c>
      <c r="R32" s="1574" t="s">
        <v>8</v>
      </c>
      <c r="S32" s="1575">
        <f t="shared" si="12"/>
        <v>100</v>
      </c>
      <c r="T32" s="1574" t="s">
        <v>8</v>
      </c>
      <c r="U32" s="1575">
        <f t="shared" si="13"/>
        <v>100</v>
      </c>
      <c r="V32" s="1574" t="s">
        <v>8</v>
      </c>
      <c r="W32" s="1575">
        <f t="shared" si="14"/>
        <v>100</v>
      </c>
      <c r="X32" s="1568"/>
      <c r="Y32" s="346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62"/>
      <c r="Q33" s="1573">
        <f t="shared" si="11"/>
        <v>111</v>
      </c>
      <c r="R33" s="1574" t="s">
        <v>8</v>
      </c>
      <c r="S33" s="1575">
        <f t="shared" si="12"/>
        <v>100</v>
      </c>
      <c r="T33" s="1574" t="s">
        <v>8</v>
      </c>
      <c r="U33" s="1575">
        <f t="shared" si="13"/>
        <v>100</v>
      </c>
      <c r="V33" s="1574" t="s">
        <v>8</v>
      </c>
      <c r="W33" s="1575">
        <f t="shared" si="14"/>
        <v>100</v>
      </c>
      <c r="X33" s="1568"/>
      <c r="Y33" s="346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62"/>
      <c r="Q34" s="1573">
        <f t="shared" si="11"/>
        <v>111</v>
      </c>
      <c r="R34" s="1574" t="s">
        <v>8</v>
      </c>
      <c r="S34" s="1575">
        <f t="shared" si="12"/>
        <v>100</v>
      </c>
      <c r="T34" s="1574" t="s">
        <v>8</v>
      </c>
      <c r="U34" s="1575">
        <f t="shared" si="13"/>
        <v>100</v>
      </c>
      <c r="V34" s="1574" t="s">
        <v>8</v>
      </c>
      <c r="W34" s="1575">
        <f t="shared" si="14"/>
        <v>100</v>
      </c>
      <c r="X34" s="1568"/>
      <c r="Y34" s="3462"/>
      <c r="Z34" s="1576">
        <f t="shared" si="15"/>
        <v>111</v>
      </c>
      <c r="AA34" s="1577">
        <f t="shared" si="3"/>
        <v>1</v>
      </c>
      <c r="AB34" s="1577">
        <f t="shared" si="4"/>
        <v>1</v>
      </c>
      <c r="AC34" s="1577">
        <f t="shared" si="5"/>
        <v>1</v>
      </c>
    </row>
    <row r="35" spans="1:29" ht="15">
      <c r="A35" s="607" t="s">
        <v>735</v>
      </c>
      <c r="B35" s="887"/>
      <c r="C35" s="2628" t="s">
        <v>1</v>
      </c>
      <c r="D35" s="2629"/>
      <c r="E35" s="2630"/>
      <c r="F35" s="2631"/>
      <c r="G35" s="2632"/>
      <c r="H35" s="2633"/>
      <c r="I35" s="2630"/>
      <c r="J35" s="2633"/>
      <c r="K35" s="1612"/>
      <c r="L35" s="2145"/>
      <c r="M35" s="2146"/>
      <c r="N35" s="2135"/>
      <c r="O35" s="2146"/>
      <c r="P35" s="3457" t="str">
        <f>A35</f>
        <v>成交单价（元/平方米）</v>
      </c>
      <c r="Q35" s="3457"/>
      <c r="R35" s="3546">
        <f>E35</f>
        <v>0</v>
      </c>
      <c r="S35" s="3546"/>
      <c r="T35" s="3546">
        <f>G35</f>
        <v>0</v>
      </c>
      <c r="U35" s="3546"/>
      <c r="V35" s="3546">
        <f>I35</f>
        <v>0</v>
      </c>
      <c r="W35" s="3546"/>
      <c r="X35" s="1560"/>
      <c r="Y35" s="1582"/>
      <c r="Z35" s="1560"/>
      <c r="AA35" s="1560"/>
      <c r="AB35" s="1560"/>
      <c r="AC35" s="1560"/>
    </row>
    <row r="36" spans="1:29" ht="15.75" thickBot="1">
      <c r="A36" s="615" t="s">
        <v>2759</v>
      </c>
      <c r="B36" s="888"/>
      <c r="C36" s="2634" t="e">
        <f>R37</f>
        <v>#DIV/0!</v>
      </c>
      <c r="D36" s="2635"/>
      <c r="E36" s="2636" t="e">
        <f>R36</f>
        <v>#DIV/0!</v>
      </c>
      <c r="F36" s="2636"/>
      <c r="G36" s="2634" t="e">
        <f>T36</f>
        <v>#DIV/0!</v>
      </c>
      <c r="H36" s="2635"/>
      <c r="I36" s="2636" t="e">
        <f>V36</f>
        <v>#DIV/0!</v>
      </c>
      <c r="J36" s="2635"/>
      <c r="K36" s="1613"/>
      <c r="L36" s="2145"/>
      <c r="M36" s="2146"/>
      <c r="N36" s="2135"/>
      <c r="O36" s="2146"/>
      <c r="P36" s="3457" t="str">
        <f>A36</f>
        <v>比较价格（元/平方米）</v>
      </c>
      <c r="Q36" s="3457"/>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1560"/>
      <c r="Y36" s="1560"/>
      <c r="Z36" s="1560"/>
      <c r="AA36" s="1560"/>
      <c r="AB36" s="1560"/>
      <c r="AC36" s="1560"/>
    </row>
    <row r="37" spans="1:29" ht="15.75" thickBot="1">
      <c r="A37" s="621" t="s">
        <v>2926</v>
      </c>
      <c r="B37" s="622"/>
      <c r="C37" s="2637" t="e">
        <f>R37</f>
        <v>#DIV/0!</v>
      </c>
      <c r="D37" s="2637"/>
      <c r="E37" s="2637"/>
      <c r="F37" s="2637"/>
      <c r="G37" s="2637"/>
      <c r="H37" s="2637"/>
      <c r="I37" s="2637"/>
      <c r="J37" s="2637"/>
      <c r="K37" s="1614"/>
      <c r="L37" s="2145"/>
      <c r="M37" s="2146"/>
      <c r="N37" s="2146"/>
      <c r="O37" s="2146"/>
      <c r="P37" s="3478" t="str">
        <f>A37</f>
        <v>估价对象XX用房的比较价格（楼面单价，元/平方米）</v>
      </c>
      <c r="Q37" s="3479"/>
      <c r="R37" s="3545" t="e">
        <f>IF(F1="售价",ROUND(AVERAGE(R36:V36),0),ROUND(AVERAGE(R36:V36),1))</f>
        <v>#DIV/0!</v>
      </c>
      <c r="S37" s="3545"/>
      <c r="T37" s="3545"/>
      <c r="U37" s="3545"/>
      <c r="V37" s="3545"/>
      <c r="W37" s="354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2557</v>
      </c>
      <c r="C65" s="2599" t="s">
        <v>2558</v>
      </c>
      <c r="D65" s="2599" t="s">
        <v>2559</v>
      </c>
      <c r="E65" s="2599" t="s">
        <v>2560</v>
      </c>
      <c r="F65" s="2599" t="s">
        <v>2561</v>
      </c>
      <c r="G65" s="2599" t="s">
        <v>2562</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80" t="s">
        <v>2305</v>
      </c>
      <c r="D1" s="3581"/>
      <c r="E1" s="3581"/>
      <c r="F1" s="3581"/>
      <c r="G1" s="3581"/>
      <c r="H1" s="3581"/>
      <c r="I1" s="3581"/>
      <c r="J1" s="3581"/>
      <c r="K1" s="3581"/>
      <c r="L1" s="3581"/>
      <c r="M1" s="3581"/>
      <c r="N1" s="3581"/>
      <c r="O1" s="3581"/>
      <c r="P1" s="3581"/>
      <c r="Q1" s="3581"/>
      <c r="R1" s="3581"/>
      <c r="S1" s="358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2919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2918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77" t="s">
        <v>20</v>
      </c>
      <c r="D22" s="3578"/>
      <c r="E22" s="3578"/>
      <c r="F22" s="3578"/>
      <c r="G22" s="3578"/>
      <c r="H22" s="3578"/>
      <c r="I22" s="3578"/>
      <c r="J22" s="3578"/>
      <c r="K22" s="3578"/>
      <c r="L22" s="3578"/>
      <c r="M22" s="3578"/>
      <c r="N22" s="3578"/>
      <c r="O22" s="3578"/>
      <c r="P22" s="3578"/>
      <c r="Q22" s="3579"/>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43426</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3</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0" orientation="portrait" horizontalDpi="0" verticalDpi="0" copies="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abSelected="1" topLeftCell="A52" workbookViewId="0">
      <selection activeCell="I82" sqref="I82"/>
    </sheetView>
  </sheetViews>
  <sheetFormatPr defaultRowHeight="13.5"/>
  <cols>
    <col min="1" max="1" width="45" customWidth="1"/>
    <col min="8" max="8" width="9.375" customWidth="1"/>
    <col min="9" max="9" width="10.75" customWidth="1"/>
    <col min="10" max="10" width="13.375" customWidth="1"/>
    <col min="11" max="11" width="11.625" bestFit="1" customWidth="1"/>
    <col min="13" max="13" width="81.875" bestFit="1" customWidth="1"/>
    <col min="16" max="16" width="18.5" bestFit="1" customWidth="1"/>
  </cols>
  <sheetData>
    <row r="1" spans="1:18">
      <c r="A1" s="2940" t="s">
        <v>3038</v>
      </c>
      <c r="B1" s="2940" t="s">
        <v>3039</v>
      </c>
      <c r="C1" s="2940" t="s">
        <v>3040</v>
      </c>
      <c r="D1" s="2940" t="s">
        <v>3041</v>
      </c>
      <c r="E1" s="2940" t="s">
        <v>3042</v>
      </c>
      <c r="F1" s="2940" t="s">
        <v>3043</v>
      </c>
      <c r="G1" s="2940" t="s">
        <v>3044</v>
      </c>
      <c r="H1" s="2940" t="s">
        <v>3045</v>
      </c>
      <c r="I1" s="2940" t="s">
        <v>3046</v>
      </c>
      <c r="J1" s="2940" t="s">
        <v>2033</v>
      </c>
      <c r="K1" s="2940" t="s">
        <v>3047</v>
      </c>
      <c r="L1" s="2940" t="s">
        <v>3048</v>
      </c>
      <c r="M1" s="2940" t="s">
        <v>3049</v>
      </c>
      <c r="N1" s="2940" t="s">
        <v>3050</v>
      </c>
      <c r="O1" s="2940" t="s">
        <v>3051</v>
      </c>
      <c r="P1" s="2940" t="s">
        <v>3052</v>
      </c>
      <c r="Q1" s="2940" t="s">
        <v>3053</v>
      </c>
      <c r="R1" s="2940" t="s">
        <v>3054</v>
      </c>
    </row>
    <row r="2" spans="1:18" hidden="1">
      <c r="A2" s="2940" t="s">
        <v>3055</v>
      </c>
      <c r="B2" s="2940" t="s">
        <v>3056</v>
      </c>
      <c r="C2" s="2940" t="s">
        <v>3057</v>
      </c>
      <c r="D2" s="2940" t="s">
        <v>2817</v>
      </c>
      <c r="E2" s="2940" t="s">
        <v>3055</v>
      </c>
      <c r="F2" s="2940">
        <v>18086</v>
      </c>
      <c r="G2" s="2940" t="s">
        <v>3058</v>
      </c>
      <c r="H2" s="2940">
        <v>105444</v>
      </c>
      <c r="I2" s="2940">
        <v>231976.8</v>
      </c>
      <c r="J2" s="2940" t="s">
        <v>3059</v>
      </c>
      <c r="K2" s="2940" t="s">
        <v>3060</v>
      </c>
      <c r="L2" s="2940" t="s">
        <v>3061</v>
      </c>
      <c r="M2" s="2940" t="s">
        <v>3062</v>
      </c>
      <c r="N2" s="2940">
        <v>75625</v>
      </c>
      <c r="O2" s="2940">
        <v>478.14</v>
      </c>
      <c r="P2" s="2940">
        <v>3260.01</v>
      </c>
      <c r="Q2" s="2940">
        <v>0</v>
      </c>
      <c r="R2" s="2940" t="s">
        <v>3063</v>
      </c>
    </row>
    <row r="3" spans="1:18" hidden="1">
      <c r="A3" s="2940" t="s">
        <v>3064</v>
      </c>
      <c r="B3" s="2940" t="s">
        <v>3056</v>
      </c>
      <c r="C3" s="2940" t="s">
        <v>3057</v>
      </c>
      <c r="D3" s="2940" t="s">
        <v>2817</v>
      </c>
      <c r="E3" s="2940" t="s">
        <v>3064</v>
      </c>
      <c r="F3" s="2940">
        <v>18069</v>
      </c>
      <c r="G3" s="2940" t="s">
        <v>3058</v>
      </c>
      <c r="H3" s="2940">
        <v>37142</v>
      </c>
      <c r="I3" s="2940">
        <v>81712.399999999994</v>
      </c>
      <c r="J3" s="2940" t="s">
        <v>3059</v>
      </c>
      <c r="K3" s="2940" t="s">
        <v>3065</v>
      </c>
      <c r="L3" s="2940" t="s">
        <v>3066</v>
      </c>
      <c r="M3" s="2940" t="s">
        <v>3067</v>
      </c>
      <c r="N3" s="2940">
        <v>34200</v>
      </c>
      <c r="O3" s="2940">
        <v>613.86</v>
      </c>
      <c r="P3" s="2940">
        <v>4185.3999999999996</v>
      </c>
      <c r="Q3" s="2940">
        <v>28.38</v>
      </c>
      <c r="R3" s="2940" t="s">
        <v>3068</v>
      </c>
    </row>
    <row r="4" spans="1:18" hidden="1">
      <c r="A4" s="2940" t="s">
        <v>3069</v>
      </c>
      <c r="B4" s="2940" t="s">
        <v>3056</v>
      </c>
      <c r="C4" s="2940" t="s">
        <v>3057</v>
      </c>
      <c r="D4" s="2940" t="s">
        <v>2817</v>
      </c>
      <c r="E4" s="2940" t="s">
        <v>3069</v>
      </c>
      <c r="F4" s="2940">
        <v>18062</v>
      </c>
      <c r="G4" s="2940" t="s">
        <v>3058</v>
      </c>
      <c r="H4" s="2940">
        <v>183367</v>
      </c>
      <c r="I4" s="2940">
        <v>332609.5</v>
      </c>
      <c r="J4" s="2940" t="s">
        <v>3070</v>
      </c>
      <c r="K4" s="2940" t="s">
        <v>3071</v>
      </c>
      <c r="L4" s="2940" t="s">
        <v>3072</v>
      </c>
      <c r="M4" s="2940" t="s">
        <v>3073</v>
      </c>
      <c r="N4" s="2940">
        <v>177000</v>
      </c>
      <c r="O4" s="2940">
        <v>643.52</v>
      </c>
      <c r="P4" s="2940">
        <v>5321.56</v>
      </c>
      <c r="Q4" s="2940">
        <v>10.44</v>
      </c>
      <c r="R4" s="2940" t="s">
        <v>3068</v>
      </c>
    </row>
    <row r="5" spans="1:18" s="3193" customFormat="1">
      <c r="A5" s="3194" t="s">
        <v>3274</v>
      </c>
      <c r="B5" s="3192" t="s">
        <v>3056</v>
      </c>
      <c r="C5" s="3192" t="s">
        <v>3057</v>
      </c>
      <c r="D5" s="3192" t="s">
        <v>2817</v>
      </c>
      <c r="E5" s="3192" t="s">
        <v>3074</v>
      </c>
      <c r="F5" s="3192">
        <v>18056</v>
      </c>
      <c r="G5" s="3192" t="s">
        <v>3058</v>
      </c>
      <c r="H5" s="3192">
        <v>116662</v>
      </c>
      <c r="I5" s="3192">
        <v>291655</v>
      </c>
      <c r="J5" s="3192" t="s">
        <v>3075</v>
      </c>
      <c r="K5" s="3192" t="s">
        <v>3076</v>
      </c>
      <c r="L5" s="3194" t="s">
        <v>3268</v>
      </c>
      <c r="M5" s="3194" t="s">
        <v>3269</v>
      </c>
      <c r="N5" s="3192">
        <v>142000</v>
      </c>
      <c r="O5" s="3192">
        <v>811.46</v>
      </c>
      <c r="P5" s="3192">
        <v>4868.7700000000004</v>
      </c>
      <c r="Q5" s="3192">
        <v>21.72</v>
      </c>
      <c r="R5" s="3192" t="s">
        <v>3068</v>
      </c>
    </row>
    <row r="6" spans="1:18" hidden="1">
      <c r="A6" s="2940" t="s">
        <v>3077</v>
      </c>
      <c r="B6" s="2940" t="s">
        <v>3056</v>
      </c>
      <c r="C6" s="2940" t="s">
        <v>3057</v>
      </c>
      <c r="D6" s="2940" t="s">
        <v>2817</v>
      </c>
      <c r="E6" s="2940" t="s">
        <v>3077</v>
      </c>
      <c r="F6" s="2940">
        <v>18053</v>
      </c>
      <c r="G6" s="2940" t="s">
        <v>3058</v>
      </c>
      <c r="H6" s="2940">
        <v>57045</v>
      </c>
      <c r="I6" s="2940">
        <v>114090</v>
      </c>
      <c r="J6" s="2940" t="s">
        <v>3078</v>
      </c>
      <c r="K6" s="2940" t="s">
        <v>3079</v>
      </c>
      <c r="L6" s="2940" t="s">
        <v>3080</v>
      </c>
      <c r="M6" s="2940" t="s">
        <v>3081</v>
      </c>
      <c r="N6" s="2940">
        <v>34200</v>
      </c>
      <c r="O6" s="2940">
        <v>399.68</v>
      </c>
      <c r="P6" s="2940">
        <v>2997.63</v>
      </c>
      <c r="Q6" s="2940">
        <v>19.86</v>
      </c>
      <c r="R6" s="2940" t="s">
        <v>3068</v>
      </c>
    </row>
    <row r="7" spans="1:18" hidden="1">
      <c r="A7" s="2940" t="s">
        <v>3082</v>
      </c>
      <c r="B7" s="2940" t="s">
        <v>3056</v>
      </c>
      <c r="C7" s="2940" t="s">
        <v>3057</v>
      </c>
      <c r="D7" s="2940" t="s">
        <v>2817</v>
      </c>
      <c r="E7" s="2940" t="s">
        <v>3082</v>
      </c>
      <c r="F7" s="2940">
        <v>18051</v>
      </c>
      <c r="G7" s="2940" t="s">
        <v>3058</v>
      </c>
      <c r="H7" s="2940">
        <v>92020</v>
      </c>
      <c r="I7" s="2940">
        <v>230050</v>
      </c>
      <c r="J7" s="2940" t="s">
        <v>3075</v>
      </c>
      <c r="K7" s="2940" t="s">
        <v>3079</v>
      </c>
      <c r="L7" s="2940" t="s">
        <v>3083</v>
      </c>
      <c r="M7" s="2940" t="s">
        <v>3084</v>
      </c>
      <c r="N7" s="2940">
        <v>58167</v>
      </c>
      <c r="O7" s="2940">
        <v>421.41</v>
      </c>
      <c r="P7" s="2940">
        <v>2528.44</v>
      </c>
      <c r="Q7" s="2940">
        <v>0</v>
      </c>
      <c r="R7" s="2940" t="s">
        <v>3068</v>
      </c>
    </row>
    <row r="8" spans="1:18" s="3193" customFormat="1">
      <c r="A8" s="3194" t="s">
        <v>3276</v>
      </c>
      <c r="B8" s="3192" t="s">
        <v>3056</v>
      </c>
      <c r="C8" s="3192" t="s">
        <v>3086</v>
      </c>
      <c r="D8" s="3192" t="s">
        <v>2817</v>
      </c>
      <c r="E8" s="3192" t="s">
        <v>3085</v>
      </c>
      <c r="F8" s="3192">
        <v>18048</v>
      </c>
      <c r="G8" s="3192" t="s">
        <v>3087</v>
      </c>
      <c r="H8" s="3192">
        <v>129333.7</v>
      </c>
      <c r="I8" s="3192">
        <v>279497</v>
      </c>
      <c r="J8" s="3192" t="s">
        <v>3070</v>
      </c>
      <c r="K8" s="3192" t="s">
        <v>3088</v>
      </c>
      <c r="L8" s="3192" t="s">
        <v>3089</v>
      </c>
      <c r="M8" s="3192" t="s">
        <v>3090</v>
      </c>
      <c r="N8" s="3192">
        <v>111799</v>
      </c>
      <c r="O8" s="3192">
        <v>576.28</v>
      </c>
      <c r="P8" s="3192">
        <v>4000.01</v>
      </c>
      <c r="Q8" s="3192">
        <v>0</v>
      </c>
      <c r="R8" s="3192" t="s">
        <v>3068</v>
      </c>
    </row>
    <row r="9" spans="1:18" hidden="1">
      <c r="A9" s="2940" t="s">
        <v>3091</v>
      </c>
      <c r="B9" s="2940" t="s">
        <v>3056</v>
      </c>
      <c r="C9" s="2940" t="s">
        <v>3057</v>
      </c>
      <c r="D9" s="2940" t="s">
        <v>2817</v>
      </c>
      <c r="E9" s="2940" t="s">
        <v>3091</v>
      </c>
      <c r="F9" s="2940">
        <v>18049</v>
      </c>
      <c r="G9" s="2940" t="s">
        <v>3058</v>
      </c>
      <c r="H9" s="2940">
        <v>83413</v>
      </c>
      <c r="I9" s="2940">
        <v>150143.4</v>
      </c>
      <c r="J9" s="2940" t="s">
        <v>3070</v>
      </c>
      <c r="K9" s="2940" t="s">
        <v>3088</v>
      </c>
      <c r="L9" s="2940" t="s">
        <v>3089</v>
      </c>
      <c r="M9" s="2940" t="s">
        <v>3092</v>
      </c>
      <c r="N9" s="2940">
        <v>80500</v>
      </c>
      <c r="O9" s="2940">
        <v>643.38</v>
      </c>
      <c r="P9" s="2940">
        <v>5361.53</v>
      </c>
      <c r="Q9" s="2940">
        <v>29.25</v>
      </c>
      <c r="R9" s="2940" t="s">
        <v>3068</v>
      </c>
    </row>
    <row r="10" spans="1:18" hidden="1">
      <c r="A10" s="2940" t="s">
        <v>3093</v>
      </c>
      <c r="B10" s="2940" t="s">
        <v>3056</v>
      </c>
      <c r="C10" s="2940" t="s">
        <v>3086</v>
      </c>
      <c r="D10" s="2940" t="s">
        <v>2817</v>
      </c>
      <c r="E10" s="2940" t="s">
        <v>3093</v>
      </c>
      <c r="F10" s="2940">
        <v>18032</v>
      </c>
      <c r="G10" s="2940" t="s">
        <v>3087</v>
      </c>
      <c r="H10" s="2940">
        <v>200222</v>
      </c>
      <c r="I10" s="2940">
        <v>389517.5</v>
      </c>
      <c r="J10" s="2940" t="s">
        <v>3094</v>
      </c>
      <c r="K10" s="2940" t="s">
        <v>3095</v>
      </c>
      <c r="L10" s="2940" t="s">
        <v>3096</v>
      </c>
      <c r="M10" s="2940" t="s">
        <v>3097</v>
      </c>
      <c r="N10" s="2940">
        <v>162000</v>
      </c>
      <c r="O10" s="2940">
        <v>539.4</v>
      </c>
      <c r="P10" s="2940">
        <v>4158.9799999999996</v>
      </c>
      <c r="Q10" s="2940">
        <v>40.479999999999997</v>
      </c>
      <c r="R10" s="2940" t="s">
        <v>3068</v>
      </c>
    </row>
    <row r="11" spans="1:18" s="3191" customFormat="1">
      <c r="A11" s="3190" t="s">
        <v>3098</v>
      </c>
      <c r="B11" s="3190" t="s">
        <v>3056</v>
      </c>
      <c r="C11" s="3190" t="s">
        <v>3057</v>
      </c>
      <c r="D11" s="3190" t="s">
        <v>2817</v>
      </c>
      <c r="E11" s="3190" t="s">
        <v>3098</v>
      </c>
      <c r="F11" s="3190">
        <v>18019</v>
      </c>
      <c r="G11" s="3190" t="s">
        <v>3058</v>
      </c>
      <c r="H11" s="3190">
        <v>70549</v>
      </c>
      <c r="I11" s="3190">
        <v>156635.5</v>
      </c>
      <c r="J11" s="3190" t="s">
        <v>3099</v>
      </c>
      <c r="K11" s="3190" t="s">
        <v>3100</v>
      </c>
      <c r="L11" s="3190" t="s">
        <v>3101</v>
      </c>
      <c r="M11" s="3190" t="s">
        <v>3102</v>
      </c>
      <c r="N11" s="3190">
        <v>56600</v>
      </c>
      <c r="O11" s="3190">
        <v>534.85</v>
      </c>
      <c r="P11" s="3190">
        <v>3613.48</v>
      </c>
      <c r="Q11" s="3190">
        <v>44.19</v>
      </c>
      <c r="R11" s="3190" t="s">
        <v>3068</v>
      </c>
    </row>
    <row r="12" spans="1:18" hidden="1">
      <c r="A12" s="2940" t="s">
        <v>3103</v>
      </c>
      <c r="B12" s="2940" t="s">
        <v>3056</v>
      </c>
      <c r="C12" s="2940" t="s">
        <v>3086</v>
      </c>
      <c r="D12" s="2940" t="s">
        <v>2817</v>
      </c>
      <c r="E12" s="2940" t="s">
        <v>3103</v>
      </c>
      <c r="F12" s="2940">
        <v>18005</v>
      </c>
      <c r="G12" s="2940" t="s">
        <v>3104</v>
      </c>
      <c r="H12" s="2940">
        <v>275420</v>
      </c>
      <c r="I12" s="2940">
        <v>816669.2</v>
      </c>
      <c r="J12" s="2940" t="s">
        <v>3105</v>
      </c>
      <c r="K12" s="2940" t="s">
        <v>3106</v>
      </c>
      <c r="L12" s="2940" t="s">
        <v>3107</v>
      </c>
      <c r="M12" s="2940" t="s">
        <v>3073</v>
      </c>
      <c r="N12" s="2940">
        <v>376000</v>
      </c>
      <c r="O12" s="2940">
        <v>910.13</v>
      </c>
      <c r="P12" s="2940">
        <v>4604.0600000000004</v>
      </c>
      <c r="Q12" s="2940">
        <v>16.510000000000002</v>
      </c>
      <c r="R12" s="2940" t="s">
        <v>3068</v>
      </c>
    </row>
    <row r="13" spans="1:18" s="3193" customFormat="1">
      <c r="A13" s="3194" t="s">
        <v>3278</v>
      </c>
      <c r="B13" s="3192" t="s">
        <v>3056</v>
      </c>
      <c r="C13" s="3192" t="s">
        <v>3057</v>
      </c>
      <c r="D13" s="3192" t="s">
        <v>2817</v>
      </c>
      <c r="E13" s="3192" t="s">
        <v>3108</v>
      </c>
      <c r="F13" s="3192">
        <v>18006</v>
      </c>
      <c r="G13" s="3192" t="s">
        <v>3058</v>
      </c>
      <c r="H13" s="3192">
        <v>91572.4</v>
      </c>
      <c r="I13" s="3192">
        <v>157742.9</v>
      </c>
      <c r="J13" s="3192" t="s">
        <v>3109</v>
      </c>
      <c r="K13" s="3192" t="s">
        <v>3106</v>
      </c>
      <c r="L13" s="3192" t="s">
        <v>3110</v>
      </c>
      <c r="M13" s="3192" t="s">
        <v>3111</v>
      </c>
      <c r="N13" s="3192">
        <v>77500</v>
      </c>
      <c r="O13" s="3192">
        <v>564.22</v>
      </c>
      <c r="P13" s="3192">
        <v>4913.0600000000004</v>
      </c>
      <c r="Q13" s="3192">
        <v>40.369999999999997</v>
      </c>
      <c r="R13" s="3192" t="s">
        <v>3068</v>
      </c>
    </row>
    <row r="14" spans="1:18" hidden="1">
      <c r="A14" s="2940" t="s">
        <v>3112</v>
      </c>
      <c r="B14" s="2940" t="s">
        <v>3056</v>
      </c>
      <c r="C14" s="2940" t="s">
        <v>3057</v>
      </c>
      <c r="D14" s="2940" t="s">
        <v>2817</v>
      </c>
      <c r="E14" s="2940" t="s">
        <v>3112</v>
      </c>
      <c r="F14" s="2940">
        <v>17157</v>
      </c>
      <c r="G14" s="2940" t="s">
        <v>3058</v>
      </c>
      <c r="H14" s="2940">
        <v>105068</v>
      </c>
      <c r="I14" s="2940">
        <v>193592</v>
      </c>
      <c r="J14" s="2940" t="s">
        <v>3113</v>
      </c>
      <c r="K14" s="2940" t="s">
        <v>3114</v>
      </c>
      <c r="L14" s="2940" t="s">
        <v>3115</v>
      </c>
      <c r="M14" s="2940" t="s">
        <v>3116</v>
      </c>
      <c r="N14" s="2940">
        <v>38800</v>
      </c>
      <c r="O14" s="2940">
        <v>246.19</v>
      </c>
      <c r="P14" s="2940">
        <v>2004.22</v>
      </c>
      <c r="Q14" s="2940">
        <v>46.77</v>
      </c>
      <c r="R14" s="2940" t="s">
        <v>3068</v>
      </c>
    </row>
    <row r="15" spans="1:18" hidden="1">
      <c r="A15" s="2940" t="s">
        <v>3117</v>
      </c>
      <c r="B15" s="2940" t="s">
        <v>3056</v>
      </c>
      <c r="C15" s="2940" t="s">
        <v>3057</v>
      </c>
      <c r="D15" s="2940" t="s">
        <v>2817</v>
      </c>
      <c r="E15" s="2940" t="s">
        <v>3117</v>
      </c>
      <c r="F15" s="2940">
        <v>17158</v>
      </c>
      <c r="G15" s="2940" t="s">
        <v>3058</v>
      </c>
      <c r="H15" s="2940">
        <v>42511</v>
      </c>
      <c r="I15" s="2940">
        <v>119030.8</v>
      </c>
      <c r="J15" s="2940" t="s">
        <v>3118</v>
      </c>
      <c r="K15" s="2940" t="s">
        <v>3114</v>
      </c>
      <c r="L15" s="2940" t="s">
        <v>3115</v>
      </c>
      <c r="M15" s="2940" t="s">
        <v>3119</v>
      </c>
      <c r="N15" s="2940">
        <v>36800</v>
      </c>
      <c r="O15" s="2940">
        <v>577.11</v>
      </c>
      <c r="P15" s="2940">
        <v>3091.63</v>
      </c>
      <c r="Q15" s="2940">
        <v>1.49</v>
      </c>
      <c r="R15" s="2940" t="s">
        <v>3068</v>
      </c>
    </row>
    <row r="16" spans="1:18" hidden="1">
      <c r="A16" s="2940" t="s">
        <v>3120</v>
      </c>
      <c r="B16" s="2940" t="s">
        <v>3056</v>
      </c>
      <c r="C16" s="2940" t="s">
        <v>3086</v>
      </c>
      <c r="D16" s="2940" t="s">
        <v>2817</v>
      </c>
      <c r="E16" s="2940" t="s">
        <v>3120</v>
      </c>
      <c r="F16" s="2940">
        <v>17152</v>
      </c>
      <c r="G16" s="2940" t="s">
        <v>3104</v>
      </c>
      <c r="H16" s="2940">
        <v>171831</v>
      </c>
      <c r="I16" s="2940">
        <v>515493</v>
      </c>
      <c r="J16" s="2940" t="s">
        <v>3121</v>
      </c>
      <c r="K16" s="2940" t="s">
        <v>3122</v>
      </c>
      <c r="L16" s="2940" t="s">
        <v>3123</v>
      </c>
      <c r="M16" s="2940" t="s">
        <v>3124</v>
      </c>
      <c r="N16" s="2940">
        <v>251022</v>
      </c>
      <c r="O16" s="2940">
        <v>973.91</v>
      </c>
      <c r="P16" s="2940">
        <v>4869.55</v>
      </c>
      <c r="Q16" s="2940">
        <v>0</v>
      </c>
      <c r="R16" s="2940" t="s">
        <v>3068</v>
      </c>
    </row>
    <row r="17" spans="1:18" hidden="1">
      <c r="A17" s="2940" t="s">
        <v>3125</v>
      </c>
      <c r="B17" s="2940" t="s">
        <v>3056</v>
      </c>
      <c r="C17" s="2940" t="s">
        <v>3086</v>
      </c>
      <c r="D17" s="2940" t="s">
        <v>2817</v>
      </c>
      <c r="E17" s="2940" t="s">
        <v>3125</v>
      </c>
      <c r="F17" s="2940">
        <v>17151</v>
      </c>
      <c r="G17" s="2940" t="s">
        <v>3104</v>
      </c>
      <c r="H17" s="2940">
        <v>229516</v>
      </c>
      <c r="I17" s="2940">
        <v>562314.19999999995</v>
      </c>
      <c r="J17" s="2940" t="s">
        <v>3126</v>
      </c>
      <c r="K17" s="2940" t="s">
        <v>3127</v>
      </c>
      <c r="L17" s="2940" t="s">
        <v>3128</v>
      </c>
      <c r="M17" s="2940" t="s">
        <v>3129</v>
      </c>
      <c r="N17" s="2940">
        <v>268394</v>
      </c>
      <c r="O17" s="2940">
        <v>779.59</v>
      </c>
      <c r="P17" s="2940">
        <v>4773.0200000000004</v>
      </c>
      <c r="Q17" s="2940">
        <v>0</v>
      </c>
      <c r="R17" s="2940" t="s">
        <v>3068</v>
      </c>
    </row>
    <row r="18" spans="1:18" hidden="1">
      <c r="A18" s="2940" t="s">
        <v>3130</v>
      </c>
      <c r="B18" s="2940" t="s">
        <v>3056</v>
      </c>
      <c r="C18" s="2940" t="s">
        <v>3086</v>
      </c>
      <c r="D18" s="2940" t="s">
        <v>2817</v>
      </c>
      <c r="E18" s="2940" t="s">
        <v>3130</v>
      </c>
      <c r="F18" s="2940">
        <v>17141</v>
      </c>
      <c r="G18" s="2940" t="s">
        <v>3131</v>
      </c>
      <c r="H18" s="2940">
        <v>136794</v>
      </c>
      <c r="I18" s="2940">
        <v>346812</v>
      </c>
      <c r="J18" s="2940" t="s">
        <v>3075</v>
      </c>
      <c r="K18" s="2940" t="s">
        <v>3132</v>
      </c>
      <c r="L18" s="2940" t="s">
        <v>3133</v>
      </c>
      <c r="M18" s="2940" t="s">
        <v>3134</v>
      </c>
      <c r="N18" s="2940">
        <v>209000</v>
      </c>
      <c r="O18" s="2940">
        <v>1018.56</v>
      </c>
      <c r="P18" s="2940">
        <v>6026.31</v>
      </c>
      <c r="Q18" s="2940">
        <v>13.71</v>
      </c>
      <c r="R18" s="2940" t="s">
        <v>3068</v>
      </c>
    </row>
    <row r="19" spans="1:18" hidden="1">
      <c r="A19" s="2940" t="s">
        <v>3135</v>
      </c>
      <c r="B19" s="2940" t="s">
        <v>3056</v>
      </c>
      <c r="C19" s="2940" t="s">
        <v>3057</v>
      </c>
      <c r="D19" s="2940" t="s">
        <v>2817</v>
      </c>
      <c r="E19" s="2940" t="s">
        <v>3135</v>
      </c>
      <c r="F19" s="2940">
        <v>17129</v>
      </c>
      <c r="G19" s="2940" t="s">
        <v>3058</v>
      </c>
      <c r="H19" s="2940">
        <v>23169</v>
      </c>
      <c r="I19" s="2940">
        <v>69507</v>
      </c>
      <c r="J19" s="2940" t="s">
        <v>3136</v>
      </c>
      <c r="K19" s="2940" t="s">
        <v>3137</v>
      </c>
      <c r="L19" s="2940" t="s">
        <v>3138</v>
      </c>
      <c r="M19" s="2940" t="s">
        <v>3139</v>
      </c>
      <c r="N19" s="2940">
        <v>34800</v>
      </c>
      <c r="O19" s="2940">
        <v>1001.34</v>
      </c>
      <c r="P19" s="2940">
        <v>5006.68</v>
      </c>
      <c r="Q19" s="2940">
        <v>27.98</v>
      </c>
      <c r="R19" s="2940" t="s">
        <v>3068</v>
      </c>
    </row>
    <row r="20" spans="1:18" hidden="1">
      <c r="A20" s="2940" t="s">
        <v>3140</v>
      </c>
      <c r="B20" s="2940" t="s">
        <v>3056</v>
      </c>
      <c r="C20" s="2940"/>
      <c r="D20" s="2940" t="s">
        <v>2817</v>
      </c>
      <c r="E20" s="2940"/>
      <c r="F20" s="2940">
        <v>17107</v>
      </c>
      <c r="G20" s="2940"/>
      <c r="H20" s="2940">
        <v>151229</v>
      </c>
      <c r="I20" s="2940"/>
      <c r="J20" s="2940" t="s">
        <v>3142</v>
      </c>
      <c r="K20" s="2940" t="s">
        <v>3143</v>
      </c>
      <c r="L20" s="2940" t="s">
        <v>3144</v>
      </c>
      <c r="M20" s="2940" t="s">
        <v>3145</v>
      </c>
      <c r="N20" s="2940">
        <v>274042</v>
      </c>
      <c r="O20" s="2940">
        <v>1208.07</v>
      </c>
      <c r="P20" s="2940">
        <v>5000.01</v>
      </c>
      <c r="Q20" s="2940">
        <v>0</v>
      </c>
      <c r="R20" s="2940" t="s">
        <v>3068</v>
      </c>
    </row>
    <row r="21" spans="1:18" hidden="1">
      <c r="A21" s="2940" t="s">
        <v>3146</v>
      </c>
      <c r="B21" s="2940" t="s">
        <v>3056</v>
      </c>
      <c r="C21" s="2940" t="s">
        <v>3057</v>
      </c>
      <c r="D21" s="2940" t="s">
        <v>2817</v>
      </c>
      <c r="E21" s="2940" t="s">
        <v>3146</v>
      </c>
      <c r="F21" s="2940">
        <v>17096</v>
      </c>
      <c r="G21" s="2940" t="s">
        <v>3058</v>
      </c>
      <c r="H21" s="2940">
        <v>129351</v>
      </c>
      <c r="I21" s="2940">
        <v>258702</v>
      </c>
      <c r="J21" s="2940" t="s">
        <v>3147</v>
      </c>
      <c r="K21" s="2940" t="s">
        <v>3148</v>
      </c>
      <c r="L21" s="2940" t="s">
        <v>3149</v>
      </c>
      <c r="M21" s="2940" t="s">
        <v>3116</v>
      </c>
      <c r="N21" s="2940">
        <v>32080</v>
      </c>
      <c r="O21" s="2940">
        <v>165.34</v>
      </c>
      <c r="P21" s="2940">
        <v>1240.03</v>
      </c>
      <c r="Q21" s="2940">
        <v>0</v>
      </c>
      <c r="R21" s="2940" t="s">
        <v>3068</v>
      </c>
    </row>
    <row r="22" spans="1:18" hidden="1">
      <c r="A22" s="2940" t="s">
        <v>3150</v>
      </c>
      <c r="B22" s="2940" t="s">
        <v>3056</v>
      </c>
      <c r="C22" s="2940" t="s">
        <v>3057</v>
      </c>
      <c r="D22" s="2940" t="s">
        <v>2817</v>
      </c>
      <c r="E22" s="2940" t="s">
        <v>3150</v>
      </c>
      <c r="F22" s="2940">
        <v>17094</v>
      </c>
      <c r="G22" s="2940" t="s">
        <v>3058</v>
      </c>
      <c r="H22" s="2940">
        <v>39603</v>
      </c>
      <c r="I22" s="2940">
        <v>79206</v>
      </c>
      <c r="J22" s="2940" t="s">
        <v>3147</v>
      </c>
      <c r="K22" s="2940" t="s">
        <v>3148</v>
      </c>
      <c r="L22" s="2940" t="s">
        <v>3149</v>
      </c>
      <c r="M22" s="2940" t="s">
        <v>3116</v>
      </c>
      <c r="N22" s="2940">
        <v>10060</v>
      </c>
      <c r="O22" s="2940">
        <v>169.35</v>
      </c>
      <c r="P22" s="2940">
        <v>1270.0999999999999</v>
      </c>
      <c r="Q22" s="2940">
        <v>0</v>
      </c>
      <c r="R22" s="2940" t="s">
        <v>3068</v>
      </c>
    </row>
    <row r="23" spans="1:18" hidden="1">
      <c r="A23" s="2940" t="s">
        <v>3151</v>
      </c>
      <c r="B23" s="2940" t="s">
        <v>3056</v>
      </c>
      <c r="C23" s="2940" t="s">
        <v>3057</v>
      </c>
      <c r="D23" s="2940" t="s">
        <v>2817</v>
      </c>
      <c r="E23" s="2940" t="s">
        <v>3151</v>
      </c>
      <c r="F23" s="2940">
        <v>17093</v>
      </c>
      <c r="G23" s="2940" t="s">
        <v>3058</v>
      </c>
      <c r="H23" s="2940">
        <v>9359</v>
      </c>
      <c r="I23" s="2940">
        <v>18718</v>
      </c>
      <c r="J23" s="2940" t="s">
        <v>3147</v>
      </c>
      <c r="K23" s="2940" t="s">
        <v>3148</v>
      </c>
      <c r="L23" s="2940" t="s">
        <v>3149</v>
      </c>
      <c r="M23" s="2940" t="s">
        <v>3116</v>
      </c>
      <c r="N23" s="2940">
        <v>2331</v>
      </c>
      <c r="O23" s="2940">
        <v>166.04</v>
      </c>
      <c r="P23" s="2940">
        <v>1245.32</v>
      </c>
      <c r="Q23" s="2940">
        <v>0</v>
      </c>
      <c r="R23" s="2940" t="s">
        <v>3068</v>
      </c>
    </row>
    <row r="24" spans="1:18" hidden="1">
      <c r="A24" s="2940" t="s">
        <v>3152</v>
      </c>
      <c r="B24" s="2940" t="s">
        <v>3056</v>
      </c>
      <c r="C24" s="2940" t="s">
        <v>3057</v>
      </c>
      <c r="D24" s="2940" t="s">
        <v>2817</v>
      </c>
      <c r="E24" s="2940" t="s">
        <v>3152</v>
      </c>
      <c r="F24" s="2940">
        <v>17095</v>
      </c>
      <c r="G24" s="2940" t="s">
        <v>3058</v>
      </c>
      <c r="H24" s="2940">
        <v>42744</v>
      </c>
      <c r="I24" s="2940">
        <v>85488</v>
      </c>
      <c r="J24" s="2940" t="s">
        <v>3147</v>
      </c>
      <c r="K24" s="2940" t="s">
        <v>3148</v>
      </c>
      <c r="L24" s="2940" t="s">
        <v>3149</v>
      </c>
      <c r="M24" s="2940" t="s">
        <v>3116</v>
      </c>
      <c r="N24" s="2940">
        <v>10644</v>
      </c>
      <c r="O24" s="2940">
        <v>166.01</v>
      </c>
      <c r="P24" s="2940">
        <v>1245.08</v>
      </c>
      <c r="Q24" s="2940">
        <v>0</v>
      </c>
      <c r="R24" s="2940" t="s">
        <v>3068</v>
      </c>
    </row>
    <row r="25" spans="1:18" hidden="1">
      <c r="A25" s="2940" t="s">
        <v>3153</v>
      </c>
      <c r="B25" s="2940" t="s">
        <v>3056</v>
      </c>
      <c r="C25" s="2940" t="s">
        <v>3086</v>
      </c>
      <c r="D25" s="2940" t="s">
        <v>2817</v>
      </c>
      <c r="E25" s="2940" t="s">
        <v>3153</v>
      </c>
      <c r="F25" s="2940">
        <v>17097</v>
      </c>
      <c r="G25" s="2940" t="s">
        <v>3141</v>
      </c>
      <c r="H25" s="2940">
        <v>46746</v>
      </c>
      <c r="I25" s="2940">
        <v>168286</v>
      </c>
      <c r="J25" s="2940" t="s">
        <v>3154</v>
      </c>
      <c r="K25" s="2940" t="s">
        <v>3148</v>
      </c>
      <c r="L25" s="2940" t="s">
        <v>3149</v>
      </c>
      <c r="M25" s="2940" t="s">
        <v>3155</v>
      </c>
      <c r="N25" s="2940">
        <v>42072</v>
      </c>
      <c r="O25" s="2940">
        <v>600.01</v>
      </c>
      <c r="P25" s="2940">
        <v>2500.0300000000002</v>
      </c>
      <c r="Q25" s="2940">
        <v>0</v>
      </c>
      <c r="R25" s="2940" t="s">
        <v>3068</v>
      </c>
    </row>
    <row r="26" spans="1:18" s="3191" customFormat="1">
      <c r="A26" s="3190" t="s">
        <v>3156</v>
      </c>
      <c r="B26" s="3190" t="s">
        <v>3056</v>
      </c>
      <c r="C26" s="3190" t="s">
        <v>3057</v>
      </c>
      <c r="D26" s="3190" t="s">
        <v>2817</v>
      </c>
      <c r="E26" s="3190" t="s">
        <v>3156</v>
      </c>
      <c r="F26" s="3190">
        <v>17090</v>
      </c>
      <c r="G26" s="3190" t="s">
        <v>3058</v>
      </c>
      <c r="H26" s="3190">
        <v>89257</v>
      </c>
      <c r="I26" s="3190">
        <v>223142.5</v>
      </c>
      <c r="J26" s="3190" t="s">
        <v>3157</v>
      </c>
      <c r="K26" s="3190" t="s">
        <v>3158</v>
      </c>
      <c r="L26" s="3190" t="s">
        <v>3159</v>
      </c>
      <c r="M26" s="3190" t="s">
        <v>3119</v>
      </c>
      <c r="N26" s="3190">
        <v>72000</v>
      </c>
      <c r="O26" s="3190">
        <v>537.77</v>
      </c>
      <c r="P26" s="3190">
        <v>3226.63</v>
      </c>
      <c r="Q26" s="3190">
        <v>0.64</v>
      </c>
      <c r="R26" s="3190" t="s">
        <v>3068</v>
      </c>
    </row>
    <row r="27" spans="1:18" s="3191" customFormat="1">
      <c r="A27" s="3190" t="s">
        <v>3160</v>
      </c>
      <c r="B27" s="3190" t="s">
        <v>3056</v>
      </c>
      <c r="C27" s="3190" t="s">
        <v>3086</v>
      </c>
      <c r="D27" s="3190" t="s">
        <v>2817</v>
      </c>
      <c r="E27" s="3190" t="s">
        <v>3160</v>
      </c>
      <c r="F27" s="3190">
        <v>17088</v>
      </c>
      <c r="G27" s="3190" t="s">
        <v>3161</v>
      </c>
      <c r="H27" s="3190">
        <v>63909</v>
      </c>
      <c r="I27" s="3190">
        <v>121816</v>
      </c>
      <c r="J27" s="3190" t="s">
        <v>3162</v>
      </c>
      <c r="K27" s="3190" t="s">
        <v>3158</v>
      </c>
      <c r="L27" s="3190" t="s">
        <v>3159</v>
      </c>
      <c r="M27" s="3190" t="s">
        <v>3163</v>
      </c>
      <c r="N27" s="3190">
        <v>39400</v>
      </c>
      <c r="O27" s="3190">
        <v>411</v>
      </c>
      <c r="P27" s="3190">
        <v>3234.38</v>
      </c>
      <c r="Q27" s="3190">
        <v>0.88</v>
      </c>
      <c r="R27" s="3190" t="s">
        <v>3068</v>
      </c>
    </row>
    <row r="28" spans="1:18" s="3191" customFormat="1">
      <c r="A28" s="3190" t="s">
        <v>3164</v>
      </c>
      <c r="B28" s="3190" t="s">
        <v>3056</v>
      </c>
      <c r="C28" s="3190" t="s">
        <v>3086</v>
      </c>
      <c r="D28" s="3190" t="s">
        <v>2817</v>
      </c>
      <c r="E28" s="3190" t="s">
        <v>3164</v>
      </c>
      <c r="F28" s="3190">
        <v>17089</v>
      </c>
      <c r="G28" s="3190" t="s">
        <v>3161</v>
      </c>
      <c r="H28" s="3190">
        <v>157427</v>
      </c>
      <c r="I28" s="3190">
        <v>366953</v>
      </c>
      <c r="J28" s="3190" t="s">
        <v>3165</v>
      </c>
      <c r="K28" s="3190" t="s">
        <v>3158</v>
      </c>
      <c r="L28" s="3190" t="s">
        <v>3159</v>
      </c>
      <c r="M28" s="3190" t="s">
        <v>3166</v>
      </c>
      <c r="N28" s="3190">
        <v>113500</v>
      </c>
      <c r="O28" s="3190">
        <v>480.65</v>
      </c>
      <c r="P28" s="3190">
        <v>3093.03</v>
      </c>
      <c r="Q28" s="3190">
        <v>0.87</v>
      </c>
      <c r="R28" s="3190" t="s">
        <v>3068</v>
      </c>
    </row>
    <row r="29" spans="1:18" hidden="1">
      <c r="A29" s="2940" t="s">
        <v>3167</v>
      </c>
      <c r="B29" s="2940" t="s">
        <v>3056</v>
      </c>
      <c r="C29" s="2940" t="s">
        <v>3086</v>
      </c>
      <c r="D29" s="2940" t="s">
        <v>2817</v>
      </c>
      <c r="E29" s="2940" t="s">
        <v>3167</v>
      </c>
      <c r="F29" s="2940">
        <v>17072</v>
      </c>
      <c r="G29" s="2940" t="s">
        <v>3087</v>
      </c>
      <c r="H29" s="2940">
        <v>148251</v>
      </c>
      <c r="I29" s="2940">
        <v>427467</v>
      </c>
      <c r="J29" s="2940" t="s">
        <v>3168</v>
      </c>
      <c r="K29" s="2940" t="s">
        <v>3169</v>
      </c>
      <c r="L29" s="2940" t="s">
        <v>3170</v>
      </c>
      <c r="M29" s="2940" t="s">
        <v>3171</v>
      </c>
      <c r="N29" s="2940">
        <v>192361</v>
      </c>
      <c r="O29" s="2940">
        <v>865.02</v>
      </c>
      <c r="P29" s="2940">
        <v>4500.0200000000004</v>
      </c>
      <c r="Q29" s="2940">
        <v>0</v>
      </c>
      <c r="R29" s="2940" t="s">
        <v>3068</v>
      </c>
    </row>
    <row r="30" spans="1:18" hidden="1">
      <c r="A30" s="2940" t="s">
        <v>3172</v>
      </c>
      <c r="B30" s="2940" t="s">
        <v>3056</v>
      </c>
      <c r="C30" s="2940" t="s">
        <v>3086</v>
      </c>
      <c r="D30" s="2940" t="s">
        <v>2817</v>
      </c>
      <c r="E30" s="2940" t="s">
        <v>3172</v>
      </c>
      <c r="F30" s="2940">
        <v>17074</v>
      </c>
      <c r="G30" s="2940" t="s">
        <v>3087</v>
      </c>
      <c r="H30" s="2940">
        <v>131528</v>
      </c>
      <c r="I30" s="2940">
        <v>263056</v>
      </c>
      <c r="J30" s="2940" t="s">
        <v>3147</v>
      </c>
      <c r="K30" s="2940" t="s">
        <v>3169</v>
      </c>
      <c r="L30" s="2940" t="s">
        <v>3170</v>
      </c>
      <c r="M30" s="2940" t="s">
        <v>3173</v>
      </c>
      <c r="N30" s="2940">
        <v>79500</v>
      </c>
      <c r="O30" s="2940">
        <v>402.96</v>
      </c>
      <c r="P30" s="2940">
        <v>3022.17</v>
      </c>
      <c r="Q30" s="2940">
        <v>0.74</v>
      </c>
      <c r="R30" s="2940" t="s">
        <v>3068</v>
      </c>
    </row>
    <row r="31" spans="1:18" hidden="1">
      <c r="A31" s="2940" t="s">
        <v>3174</v>
      </c>
      <c r="B31" s="2940" t="s">
        <v>3056</v>
      </c>
      <c r="C31" s="2940" t="s">
        <v>3086</v>
      </c>
      <c r="D31" s="2940" t="s">
        <v>2817</v>
      </c>
      <c r="E31" s="2940" t="s">
        <v>2817</v>
      </c>
      <c r="F31" s="2940">
        <v>17067</v>
      </c>
      <c r="G31" s="2940" t="s">
        <v>3087</v>
      </c>
      <c r="H31" s="2940">
        <v>179607</v>
      </c>
      <c r="I31" s="2940">
        <v>419754</v>
      </c>
      <c r="J31" s="2940" t="s">
        <v>3175</v>
      </c>
      <c r="K31" s="2940" t="s">
        <v>3176</v>
      </c>
      <c r="L31" s="2940" t="s">
        <v>2817</v>
      </c>
      <c r="M31" s="2940" t="s">
        <v>3177</v>
      </c>
      <c r="N31" s="2940">
        <v>211000</v>
      </c>
      <c r="O31" s="2940">
        <v>783.19</v>
      </c>
      <c r="P31" s="2940">
        <v>5026.75</v>
      </c>
      <c r="Q31" s="2940">
        <v>0.54</v>
      </c>
      <c r="R31" s="2940" t="s">
        <v>2817</v>
      </c>
    </row>
    <row r="32" spans="1:18" hidden="1">
      <c r="A32" s="2940" t="s">
        <v>3178</v>
      </c>
      <c r="B32" s="2940" t="s">
        <v>3056</v>
      </c>
      <c r="C32" s="2940" t="s">
        <v>3086</v>
      </c>
      <c r="D32" s="2940" t="s">
        <v>2817</v>
      </c>
      <c r="E32" s="2940" t="s">
        <v>2817</v>
      </c>
      <c r="F32" s="2940">
        <v>17066</v>
      </c>
      <c r="G32" s="2940" t="s">
        <v>3087</v>
      </c>
      <c r="H32" s="2940">
        <v>113365</v>
      </c>
      <c r="I32" s="2940">
        <v>340095</v>
      </c>
      <c r="J32" s="2940" t="s">
        <v>3179</v>
      </c>
      <c r="K32" s="2940" t="s">
        <v>3176</v>
      </c>
      <c r="L32" s="2940" t="s">
        <v>2817</v>
      </c>
      <c r="M32" s="2940" t="s">
        <v>3119</v>
      </c>
      <c r="N32" s="2940">
        <v>154000</v>
      </c>
      <c r="O32" s="2940">
        <v>905.63</v>
      </c>
      <c r="P32" s="2940">
        <v>4528.1400000000003</v>
      </c>
      <c r="Q32" s="2940">
        <v>0.63</v>
      </c>
      <c r="R32" s="2940" t="s">
        <v>2817</v>
      </c>
    </row>
    <row r="33" spans="1:18" hidden="1">
      <c r="A33" s="2940" t="s">
        <v>3180</v>
      </c>
      <c r="B33" s="2940" t="s">
        <v>3056</v>
      </c>
      <c r="C33" s="2940" t="s">
        <v>3057</v>
      </c>
      <c r="D33" s="2940" t="s">
        <v>2817</v>
      </c>
      <c r="E33" s="2940" t="s">
        <v>2817</v>
      </c>
      <c r="F33" s="2940">
        <v>17064</v>
      </c>
      <c r="G33" s="2940" t="s">
        <v>3058</v>
      </c>
      <c r="H33" s="2940">
        <v>24736</v>
      </c>
      <c r="I33" s="2940">
        <v>72305.350000000006</v>
      </c>
      <c r="J33" s="2940" t="s">
        <v>3181</v>
      </c>
      <c r="K33" s="2940" t="s">
        <v>3176</v>
      </c>
      <c r="L33" s="2940" t="s">
        <v>2817</v>
      </c>
      <c r="M33" s="2940" t="s">
        <v>3163</v>
      </c>
      <c r="N33" s="2940">
        <v>25306.86</v>
      </c>
      <c r="O33" s="2940">
        <v>682.05</v>
      </c>
      <c r="P33" s="2940">
        <v>3500</v>
      </c>
      <c r="Q33" s="2940">
        <v>0</v>
      </c>
      <c r="R33" s="2940" t="s">
        <v>2817</v>
      </c>
    </row>
    <row r="34" spans="1:18" hidden="1">
      <c r="A34" s="2940" t="s">
        <v>3182</v>
      </c>
      <c r="B34" s="2940" t="s">
        <v>3056</v>
      </c>
      <c r="C34" s="2940" t="s">
        <v>3057</v>
      </c>
      <c r="D34" s="2940" t="s">
        <v>2817</v>
      </c>
      <c r="E34" s="2940" t="s">
        <v>2817</v>
      </c>
      <c r="F34" s="2940">
        <v>17065</v>
      </c>
      <c r="G34" s="2940" t="s">
        <v>3058</v>
      </c>
      <c r="H34" s="2940">
        <v>134793</v>
      </c>
      <c r="I34" s="2940">
        <v>322793</v>
      </c>
      <c r="J34" s="2940" t="s">
        <v>3183</v>
      </c>
      <c r="K34" s="2940" t="s">
        <v>3176</v>
      </c>
      <c r="L34" s="2940" t="s">
        <v>2817</v>
      </c>
      <c r="M34" s="2940" t="s">
        <v>3092</v>
      </c>
      <c r="N34" s="2940">
        <v>163000</v>
      </c>
      <c r="O34" s="2940">
        <v>806.17</v>
      </c>
      <c r="P34" s="2940">
        <v>5049.68</v>
      </c>
      <c r="Q34" s="2940">
        <v>0.99</v>
      </c>
      <c r="R34" s="2940" t="s">
        <v>2817</v>
      </c>
    </row>
    <row r="35" spans="1:18" hidden="1">
      <c r="A35" s="2940" t="s">
        <v>3184</v>
      </c>
      <c r="B35" s="2940" t="s">
        <v>3056</v>
      </c>
      <c r="C35" s="2940" t="s">
        <v>3057</v>
      </c>
      <c r="D35" s="2940" t="s">
        <v>2817</v>
      </c>
      <c r="E35" s="2940" t="s">
        <v>2817</v>
      </c>
      <c r="F35" s="2940">
        <v>17063</v>
      </c>
      <c r="G35" s="2940" t="s">
        <v>3058</v>
      </c>
      <c r="H35" s="2940">
        <v>77280</v>
      </c>
      <c r="I35" s="2940">
        <v>77281</v>
      </c>
      <c r="J35" s="2940" t="s">
        <v>3185</v>
      </c>
      <c r="K35" s="2940" t="s">
        <v>3176</v>
      </c>
      <c r="L35" s="2940" t="s">
        <v>3186</v>
      </c>
      <c r="M35" s="2940" t="s">
        <v>3187</v>
      </c>
      <c r="N35" s="2940">
        <v>42504.55</v>
      </c>
      <c r="O35" s="2940">
        <v>366.67</v>
      </c>
      <c r="P35" s="2940">
        <v>5500</v>
      </c>
      <c r="Q35" s="2940">
        <v>0</v>
      </c>
      <c r="R35" s="2940" t="s">
        <v>2817</v>
      </c>
    </row>
    <row r="36" spans="1:18" hidden="1">
      <c r="A36" s="2940" t="s">
        <v>3188</v>
      </c>
      <c r="B36" s="2940" t="s">
        <v>3056</v>
      </c>
      <c r="C36" s="2940" t="s">
        <v>3086</v>
      </c>
      <c r="D36" s="2940" t="s">
        <v>2817</v>
      </c>
      <c r="E36" s="2940" t="s">
        <v>2817</v>
      </c>
      <c r="F36" s="2940">
        <v>17062</v>
      </c>
      <c r="G36" s="2940" t="s">
        <v>3104</v>
      </c>
      <c r="H36" s="2940">
        <v>63884</v>
      </c>
      <c r="I36" s="2940">
        <v>208169</v>
      </c>
      <c r="J36" s="2940" t="s">
        <v>3189</v>
      </c>
      <c r="K36" s="2940" t="s">
        <v>3176</v>
      </c>
      <c r="L36" s="2940" t="s">
        <v>2817</v>
      </c>
      <c r="M36" s="2940" t="s">
        <v>3190</v>
      </c>
      <c r="N36" s="2940">
        <v>84000</v>
      </c>
      <c r="O36" s="2940">
        <v>876.59</v>
      </c>
      <c r="P36" s="2940">
        <v>4035.17</v>
      </c>
      <c r="Q36" s="2940">
        <v>0.88</v>
      </c>
      <c r="R36" s="2940" t="s">
        <v>3191</v>
      </c>
    </row>
    <row r="37" spans="1:18" hidden="1">
      <c r="A37" s="2940" t="s">
        <v>3192</v>
      </c>
      <c r="B37" s="2940" t="s">
        <v>3056</v>
      </c>
      <c r="C37" s="2940" t="s">
        <v>3086</v>
      </c>
      <c r="D37" s="2940" t="s">
        <v>2817</v>
      </c>
      <c r="E37" s="2940" t="s">
        <v>3192</v>
      </c>
      <c r="F37" s="2940">
        <v>17050</v>
      </c>
      <c r="G37" s="2940" t="s">
        <v>3193</v>
      </c>
      <c r="H37" s="2940">
        <v>40290</v>
      </c>
      <c r="I37" s="2940">
        <v>100725</v>
      </c>
      <c r="J37" s="2940" t="s">
        <v>3157</v>
      </c>
      <c r="K37" s="2940" t="s">
        <v>3194</v>
      </c>
      <c r="L37" s="2940" t="s">
        <v>3195</v>
      </c>
      <c r="M37" s="2940" t="s">
        <v>3196</v>
      </c>
      <c r="N37" s="2940">
        <v>7000</v>
      </c>
      <c r="O37" s="2940">
        <v>115.83</v>
      </c>
      <c r="P37" s="2940">
        <v>694.96</v>
      </c>
      <c r="Q37" s="2940">
        <v>0.94</v>
      </c>
      <c r="R37" s="2940" t="s">
        <v>3068</v>
      </c>
    </row>
    <row r="38" spans="1:18" hidden="1">
      <c r="A38" s="2940" t="s">
        <v>3197</v>
      </c>
      <c r="B38" s="2940" t="s">
        <v>3056</v>
      </c>
      <c r="C38" s="2940" t="s">
        <v>3057</v>
      </c>
      <c r="D38" s="2940" t="s">
        <v>2817</v>
      </c>
      <c r="E38" s="2940" t="s">
        <v>3197</v>
      </c>
      <c r="F38" s="2940">
        <v>17044</v>
      </c>
      <c r="G38" s="2940" t="s">
        <v>3058</v>
      </c>
      <c r="H38" s="2940">
        <v>55336</v>
      </c>
      <c r="I38" s="2940">
        <v>127273</v>
      </c>
      <c r="J38" s="2940" t="s">
        <v>3198</v>
      </c>
      <c r="K38" s="2940" t="s">
        <v>3199</v>
      </c>
      <c r="L38" s="2940" t="s">
        <v>3200</v>
      </c>
      <c r="M38" s="2940" t="s">
        <v>3201</v>
      </c>
      <c r="N38" s="2940">
        <v>41800</v>
      </c>
      <c r="O38" s="2940">
        <v>503.59</v>
      </c>
      <c r="P38" s="2940">
        <v>3284.28</v>
      </c>
      <c r="Q38" s="2940">
        <v>118.95</v>
      </c>
      <c r="R38" s="2940">
        <v>40</v>
      </c>
    </row>
    <row r="39" spans="1:18" hidden="1">
      <c r="A39" s="2940" t="s">
        <v>3202</v>
      </c>
      <c r="B39" s="2940" t="s">
        <v>3056</v>
      </c>
      <c r="C39" s="2940" t="s">
        <v>3057</v>
      </c>
      <c r="D39" s="2940" t="s">
        <v>2817</v>
      </c>
      <c r="E39" s="2940" t="s">
        <v>3202</v>
      </c>
      <c r="F39" s="2940">
        <v>17045</v>
      </c>
      <c r="G39" s="2940" t="s">
        <v>3058</v>
      </c>
      <c r="H39" s="2940">
        <v>117541</v>
      </c>
      <c r="I39" s="2940">
        <v>235082</v>
      </c>
      <c r="J39" s="2940" t="s">
        <v>3078</v>
      </c>
      <c r="K39" s="2940" t="s">
        <v>3199</v>
      </c>
      <c r="L39" s="2940" t="s">
        <v>3200</v>
      </c>
      <c r="M39" s="2940" t="s">
        <v>3203</v>
      </c>
      <c r="N39" s="2940">
        <v>145500</v>
      </c>
      <c r="O39" s="2940">
        <v>825.24</v>
      </c>
      <c r="P39" s="2940">
        <v>6189.32</v>
      </c>
      <c r="Q39" s="2940">
        <v>87.55</v>
      </c>
      <c r="R39" s="2940">
        <v>40</v>
      </c>
    </row>
    <row r="40" spans="1:18" hidden="1">
      <c r="A40" s="2940" t="s">
        <v>3204</v>
      </c>
      <c r="B40" s="2940" t="s">
        <v>3056</v>
      </c>
      <c r="C40" s="2940" t="s">
        <v>3057</v>
      </c>
      <c r="D40" s="2940" t="s">
        <v>2817</v>
      </c>
      <c r="E40" s="2940" t="s">
        <v>3204</v>
      </c>
      <c r="F40" s="2940">
        <v>17033</v>
      </c>
      <c r="G40" s="2940" t="s">
        <v>3058</v>
      </c>
      <c r="H40" s="2940">
        <v>6859</v>
      </c>
      <c r="I40" s="2940">
        <v>9603</v>
      </c>
      <c r="J40" s="2940">
        <v>1.4</v>
      </c>
      <c r="K40" s="2940" t="s">
        <v>3205</v>
      </c>
      <c r="L40" s="2940" t="s">
        <v>3206</v>
      </c>
      <c r="M40" s="2940" t="s">
        <v>3207</v>
      </c>
      <c r="N40" s="2940">
        <v>3600</v>
      </c>
      <c r="O40" s="2940">
        <v>349.91</v>
      </c>
      <c r="P40" s="2940">
        <v>3748.82</v>
      </c>
      <c r="Q40" s="2940">
        <v>53.39</v>
      </c>
      <c r="R40" s="2940" t="s">
        <v>3208</v>
      </c>
    </row>
    <row r="41" spans="1:18" hidden="1">
      <c r="A41" s="2940" t="s">
        <v>3209</v>
      </c>
      <c r="B41" s="2940" t="s">
        <v>3056</v>
      </c>
      <c r="C41" s="2940" t="s">
        <v>3086</v>
      </c>
      <c r="D41" s="2940" t="s">
        <v>2817</v>
      </c>
      <c r="E41" s="2940" t="s">
        <v>3209</v>
      </c>
      <c r="F41" s="2940">
        <v>17010</v>
      </c>
      <c r="G41" s="2940" t="s">
        <v>3087</v>
      </c>
      <c r="H41" s="2940">
        <v>35104</v>
      </c>
      <c r="I41" s="2940">
        <v>70208</v>
      </c>
      <c r="J41" s="2940" t="s">
        <v>3210</v>
      </c>
      <c r="K41" s="2940" t="s">
        <v>3211</v>
      </c>
      <c r="L41" s="2940" t="s">
        <v>3212</v>
      </c>
      <c r="M41" s="2940" t="s">
        <v>3213</v>
      </c>
      <c r="N41" s="2940">
        <v>4432</v>
      </c>
      <c r="O41" s="2940">
        <v>84.17</v>
      </c>
      <c r="P41" s="2940">
        <v>631.26</v>
      </c>
      <c r="Q41" s="2940">
        <v>0</v>
      </c>
      <c r="R41" s="2940" t="s">
        <v>3214</v>
      </c>
    </row>
    <row r="42" spans="1:18" hidden="1">
      <c r="A42" s="2940" t="s">
        <v>3215</v>
      </c>
      <c r="B42" s="2940" t="s">
        <v>3056</v>
      </c>
      <c r="C42" s="2940" t="s">
        <v>3057</v>
      </c>
      <c r="D42" s="2940" t="s">
        <v>2817</v>
      </c>
      <c r="E42" s="2940" t="s">
        <v>3215</v>
      </c>
      <c r="F42" s="2940">
        <v>16096</v>
      </c>
      <c r="G42" s="2940" t="s">
        <v>3058</v>
      </c>
      <c r="H42" s="2940">
        <v>153710</v>
      </c>
      <c r="I42" s="2940">
        <v>353533</v>
      </c>
      <c r="J42" s="2940" t="s">
        <v>3216</v>
      </c>
      <c r="K42" s="2940" t="s">
        <v>3217</v>
      </c>
      <c r="L42" s="2940" t="s">
        <v>3218</v>
      </c>
      <c r="M42" s="2940" t="s">
        <v>3219</v>
      </c>
      <c r="N42" s="2940">
        <v>68500</v>
      </c>
      <c r="O42" s="2940">
        <v>297.10000000000002</v>
      </c>
      <c r="P42" s="2940">
        <v>1937.57</v>
      </c>
      <c r="Q42" s="2940">
        <v>7.04</v>
      </c>
      <c r="R42" s="2940" t="s">
        <v>3220</v>
      </c>
    </row>
    <row r="43" spans="1:18" hidden="1">
      <c r="A43" s="2940" t="s">
        <v>3221</v>
      </c>
      <c r="B43" s="2940" t="s">
        <v>3056</v>
      </c>
      <c r="C43" s="2940" t="s">
        <v>3057</v>
      </c>
      <c r="D43" s="2940" t="s">
        <v>2817</v>
      </c>
      <c r="E43" s="2940" t="s">
        <v>3221</v>
      </c>
      <c r="F43" s="2940">
        <v>16095</v>
      </c>
      <c r="G43" s="2940" t="s">
        <v>3058</v>
      </c>
      <c r="H43" s="2940">
        <v>99713</v>
      </c>
      <c r="I43" s="2940">
        <v>229340</v>
      </c>
      <c r="J43" s="2940" t="s">
        <v>3216</v>
      </c>
      <c r="K43" s="2940" t="s">
        <v>3217</v>
      </c>
      <c r="L43" s="2940" t="s">
        <v>3222</v>
      </c>
      <c r="M43" s="2940" t="s">
        <v>3219</v>
      </c>
      <c r="N43" s="2940">
        <v>44500</v>
      </c>
      <c r="O43" s="2940">
        <v>297.52</v>
      </c>
      <c r="P43" s="2940">
        <v>1940.34</v>
      </c>
      <c r="Q43" s="2940">
        <v>7.58</v>
      </c>
      <c r="R43" s="2940" t="s">
        <v>3220</v>
      </c>
    </row>
    <row r="44" spans="1:18" hidden="1">
      <c r="A44" s="2940" t="s">
        <v>3223</v>
      </c>
      <c r="B44" s="2940" t="s">
        <v>3056</v>
      </c>
      <c r="C44" s="2940" t="s">
        <v>3086</v>
      </c>
      <c r="D44" s="2940" t="s">
        <v>2817</v>
      </c>
      <c r="E44" s="2940" t="s">
        <v>3223</v>
      </c>
      <c r="F44" s="2940">
        <v>16094</v>
      </c>
      <c r="G44" s="2940" t="s">
        <v>3087</v>
      </c>
      <c r="H44" s="2940">
        <v>34787</v>
      </c>
      <c r="I44" s="2940">
        <v>86968</v>
      </c>
      <c r="J44" s="2940" t="s">
        <v>3224</v>
      </c>
      <c r="K44" s="2940" t="s">
        <v>3217</v>
      </c>
      <c r="L44" s="2940" t="s">
        <v>3225</v>
      </c>
      <c r="M44" s="2940" t="s">
        <v>3226</v>
      </c>
      <c r="N44" s="2940">
        <v>17498</v>
      </c>
      <c r="O44" s="2940">
        <v>335.34</v>
      </c>
      <c r="P44" s="2940">
        <v>2012</v>
      </c>
      <c r="Q44" s="2940">
        <v>0</v>
      </c>
      <c r="R44" s="2940" t="s">
        <v>3214</v>
      </c>
    </row>
    <row r="45" spans="1:18" hidden="1">
      <c r="A45" s="2940" t="s">
        <v>3227</v>
      </c>
      <c r="B45" s="2940" t="s">
        <v>3056</v>
      </c>
      <c r="C45" s="2940" t="s">
        <v>3086</v>
      </c>
      <c r="D45" s="2940" t="s">
        <v>2817</v>
      </c>
      <c r="E45" s="2940" t="s">
        <v>3227</v>
      </c>
      <c r="F45" s="2940">
        <v>16091</v>
      </c>
      <c r="G45" s="2940" t="s">
        <v>3228</v>
      </c>
      <c r="H45" s="2940">
        <v>280043</v>
      </c>
      <c r="I45" s="2940">
        <v>539057</v>
      </c>
      <c r="J45" s="2940" t="s">
        <v>3229</v>
      </c>
      <c r="K45" s="2940" t="s">
        <v>3230</v>
      </c>
      <c r="L45" s="2940" t="s">
        <v>3231</v>
      </c>
      <c r="M45" s="2940" t="s">
        <v>3232</v>
      </c>
      <c r="N45" s="2940">
        <v>117232</v>
      </c>
      <c r="O45" s="2940">
        <v>279.08</v>
      </c>
      <c r="P45" s="2940">
        <v>2174.7600000000002</v>
      </c>
      <c r="Q45" s="2940">
        <v>0</v>
      </c>
      <c r="R45" s="2940" t="s">
        <v>3214</v>
      </c>
    </row>
    <row r="46" spans="1:18" hidden="1">
      <c r="A46" s="2940" t="s">
        <v>3233</v>
      </c>
      <c r="B46" s="2940" t="s">
        <v>3056</v>
      </c>
      <c r="C46" s="2940" t="s">
        <v>3057</v>
      </c>
      <c r="D46" s="2940" t="s">
        <v>2817</v>
      </c>
      <c r="E46" s="2940" t="s">
        <v>3233</v>
      </c>
      <c r="F46" s="2940">
        <v>16092</v>
      </c>
      <c r="G46" s="2940" t="s">
        <v>3058</v>
      </c>
      <c r="H46" s="2940">
        <v>138364</v>
      </c>
      <c r="I46" s="2940">
        <v>308271</v>
      </c>
      <c r="J46" s="2940" t="s">
        <v>3234</v>
      </c>
      <c r="K46" s="2940" t="s">
        <v>3230</v>
      </c>
      <c r="L46" s="2940" t="s">
        <v>3235</v>
      </c>
      <c r="M46" s="2940" t="s">
        <v>3232</v>
      </c>
      <c r="N46" s="2940">
        <v>88000</v>
      </c>
      <c r="O46" s="2940">
        <v>424</v>
      </c>
      <c r="P46" s="2940">
        <v>2854.63</v>
      </c>
      <c r="Q46" s="2940">
        <v>25.14</v>
      </c>
      <c r="R46" s="2940" t="s">
        <v>3220</v>
      </c>
    </row>
    <row r="47" spans="1:18" hidden="1">
      <c r="A47" s="2940" t="s">
        <v>3236</v>
      </c>
      <c r="B47" s="2940" t="s">
        <v>3056</v>
      </c>
      <c r="C47" s="2940" t="s">
        <v>3086</v>
      </c>
      <c r="D47" s="2940" t="s">
        <v>2817</v>
      </c>
      <c r="E47" s="2940" t="s">
        <v>3236</v>
      </c>
      <c r="F47" s="2940">
        <v>16088</v>
      </c>
      <c r="G47" s="2940" t="s">
        <v>3104</v>
      </c>
      <c r="H47" s="2940">
        <v>209198</v>
      </c>
      <c r="I47" s="2940">
        <v>402188</v>
      </c>
      <c r="J47" s="2940" t="s">
        <v>3237</v>
      </c>
      <c r="K47" s="2940" t="s">
        <v>3238</v>
      </c>
      <c r="L47" s="2940" t="s">
        <v>3239</v>
      </c>
      <c r="M47" s="2940" t="s">
        <v>3240</v>
      </c>
      <c r="N47" s="2940">
        <v>106500</v>
      </c>
      <c r="O47" s="2940">
        <v>339.39</v>
      </c>
      <c r="P47" s="2940">
        <v>2648.01</v>
      </c>
      <c r="Q47" s="2940">
        <v>10.34</v>
      </c>
      <c r="R47" s="2940" t="s">
        <v>3241</v>
      </c>
    </row>
    <row r="48" spans="1:18" hidden="1">
      <c r="A48" s="2940" t="s">
        <v>3242</v>
      </c>
      <c r="B48" s="2940" t="s">
        <v>3056</v>
      </c>
      <c r="C48" s="2940" t="s">
        <v>3086</v>
      </c>
      <c r="D48" s="2940" t="s">
        <v>2817</v>
      </c>
      <c r="E48" s="2940" t="s">
        <v>3242</v>
      </c>
      <c r="F48" s="2940">
        <v>16085</v>
      </c>
      <c r="G48" s="2940" t="s">
        <v>3104</v>
      </c>
      <c r="H48" s="2940">
        <v>25205</v>
      </c>
      <c r="I48" s="2940">
        <v>37808</v>
      </c>
      <c r="J48" s="2940" t="s">
        <v>3243</v>
      </c>
      <c r="K48" s="2940" t="s">
        <v>3244</v>
      </c>
      <c r="L48" s="2940" t="s">
        <v>3245</v>
      </c>
      <c r="M48" s="2940" t="s">
        <v>3246</v>
      </c>
      <c r="N48" s="2940">
        <v>7563</v>
      </c>
      <c r="O48" s="2940">
        <v>200.04</v>
      </c>
      <c r="P48" s="2940">
        <v>2000.36</v>
      </c>
      <c r="Q48" s="2940">
        <v>0</v>
      </c>
      <c r="R48" s="2940" t="s">
        <v>3214</v>
      </c>
    </row>
    <row r="49" spans="1:18" hidden="1">
      <c r="A49" s="2940" t="s">
        <v>3247</v>
      </c>
      <c r="B49" s="2940" t="s">
        <v>3056</v>
      </c>
      <c r="C49" s="2940" t="s">
        <v>3057</v>
      </c>
      <c r="D49" s="2940" t="s">
        <v>2817</v>
      </c>
      <c r="E49" s="2940" t="s">
        <v>3247</v>
      </c>
      <c r="F49" s="2940">
        <v>16084</v>
      </c>
      <c r="G49" s="2940" t="s">
        <v>3058</v>
      </c>
      <c r="H49" s="2940">
        <v>178836</v>
      </c>
      <c r="I49" s="2940">
        <v>375556</v>
      </c>
      <c r="J49" s="2940" t="s">
        <v>3248</v>
      </c>
      <c r="K49" s="2940" t="s">
        <v>3244</v>
      </c>
      <c r="L49" s="2940" t="s">
        <v>3249</v>
      </c>
      <c r="M49" s="2940" t="s">
        <v>3250</v>
      </c>
      <c r="N49" s="2940">
        <v>46006</v>
      </c>
      <c r="O49" s="2940">
        <v>171.5</v>
      </c>
      <c r="P49" s="2940">
        <v>1225</v>
      </c>
      <c r="Q49" s="2940">
        <v>0</v>
      </c>
      <c r="R49" s="2940" t="s">
        <v>3220</v>
      </c>
    </row>
    <row r="50" spans="1:18" hidden="1">
      <c r="A50" s="2940" t="s">
        <v>3251</v>
      </c>
      <c r="B50" s="2940" t="s">
        <v>3056</v>
      </c>
      <c r="C50" s="2940" t="s">
        <v>3086</v>
      </c>
      <c r="D50" s="2940" t="s">
        <v>2817</v>
      </c>
      <c r="E50" s="2940" t="s">
        <v>3251</v>
      </c>
      <c r="F50" s="2940">
        <v>16077</v>
      </c>
      <c r="G50" s="2940" t="s">
        <v>3252</v>
      </c>
      <c r="H50" s="2940">
        <v>38695</v>
      </c>
      <c r="I50" s="2940">
        <v>123037</v>
      </c>
      <c r="J50" s="2940" t="s">
        <v>3253</v>
      </c>
      <c r="K50" s="2940" t="s">
        <v>3254</v>
      </c>
      <c r="L50" s="2940" t="s">
        <v>3255</v>
      </c>
      <c r="M50" s="2940" t="s">
        <v>3256</v>
      </c>
      <c r="N50" s="2940">
        <v>32000</v>
      </c>
      <c r="O50" s="2940">
        <v>551.32000000000005</v>
      </c>
      <c r="P50" s="2940">
        <v>2600.84</v>
      </c>
      <c r="Q50" s="2940">
        <v>32.880000000000003</v>
      </c>
      <c r="R50" s="2940" t="s">
        <v>3214</v>
      </c>
    </row>
    <row r="51" spans="1:18" hidden="1">
      <c r="A51" s="2940" t="s">
        <v>3257</v>
      </c>
      <c r="B51" s="2940" t="s">
        <v>3056</v>
      </c>
      <c r="C51" s="2940" t="s">
        <v>3057</v>
      </c>
      <c r="D51" s="2940" t="s">
        <v>2817</v>
      </c>
      <c r="E51" s="2940" t="s">
        <v>3257</v>
      </c>
      <c r="F51" s="2940">
        <v>16072</v>
      </c>
      <c r="G51" s="2940" t="s">
        <v>3058</v>
      </c>
      <c r="H51" s="2940">
        <v>149452</v>
      </c>
      <c r="I51" s="2940">
        <v>298904</v>
      </c>
      <c r="J51" s="2940" t="s">
        <v>3210</v>
      </c>
      <c r="K51" s="2940" t="s">
        <v>3258</v>
      </c>
      <c r="L51" s="2940" t="s">
        <v>3259</v>
      </c>
      <c r="M51" s="2940" t="s">
        <v>3260</v>
      </c>
      <c r="N51" s="2940">
        <v>23913</v>
      </c>
      <c r="O51" s="2940">
        <v>106.67</v>
      </c>
      <c r="P51" s="2940">
        <v>800.01</v>
      </c>
      <c r="Q51" s="2940">
        <v>0</v>
      </c>
      <c r="R51" s="2940" t="s">
        <v>3220</v>
      </c>
    </row>
  </sheetData>
  <autoFilter ref="A1:R51"/>
  <phoneticPr fontId="23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4" t="s">
        <v>2039</v>
      </c>
      <c r="B1" s="3264"/>
      <c r="C1" s="3264"/>
      <c r="D1" s="3264"/>
      <c r="E1" s="3264"/>
      <c r="F1" s="3264"/>
      <c r="G1" s="3264"/>
      <c r="H1" s="3264"/>
      <c r="I1" s="3264"/>
      <c r="J1" s="3264"/>
      <c r="K1" s="3264"/>
      <c r="L1" s="3264"/>
      <c r="M1" s="3264"/>
      <c r="N1" s="3264"/>
      <c r="O1" s="3264"/>
      <c r="P1" s="3264"/>
      <c r="Q1" s="3264"/>
      <c r="R1" s="3264"/>
    </row>
    <row r="2" spans="1:18">
      <c r="A2" s="1808" t="s">
        <v>2041</v>
      </c>
      <c r="B2" s="1808"/>
      <c r="C2" s="1808"/>
      <c r="D2" s="1808"/>
      <c r="E2" s="1808"/>
      <c r="F2" s="1808"/>
      <c r="G2" s="1808"/>
      <c r="H2" s="1808"/>
      <c r="I2" s="1809"/>
      <c r="J2" s="1809"/>
      <c r="K2" s="1810" t="str">
        <f>"估价期日："&amp;TEXT(项目基本情况!D3,"yyyy年m月d日;;")</f>
        <v>估价期日：2018年11月22日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65" t="s">
        <v>2030</v>
      </c>
      <c r="B3" s="3265" t="s">
        <v>2730</v>
      </c>
      <c r="C3" s="3266" t="s">
        <v>2031</v>
      </c>
      <c r="D3" s="3265" t="s">
        <v>2734</v>
      </c>
      <c r="E3" s="3268" t="s">
        <v>2032</v>
      </c>
      <c r="F3" s="3268"/>
      <c r="G3" s="3268"/>
      <c r="H3" s="3268" t="s">
        <v>2033</v>
      </c>
      <c r="I3" s="3268"/>
      <c r="J3" s="3268"/>
      <c r="K3" s="3266" t="s">
        <v>2034</v>
      </c>
      <c r="L3" s="3266" t="s">
        <v>2035</v>
      </c>
      <c r="M3" s="3265" t="s">
        <v>2731</v>
      </c>
      <c r="N3" s="3267" t="str">
        <f>"（分摊）"&amp;项目基本情况!B16&amp;"国有建设用地使用权面积/㎡"</f>
        <v>（分摊）出让国有建设用地使用权面积/㎡</v>
      </c>
      <c r="O3" s="3265" t="s">
        <v>2064</v>
      </c>
      <c r="P3" s="3266" t="s">
        <v>2044</v>
      </c>
      <c r="Q3" s="3266" t="s">
        <v>2065</v>
      </c>
      <c r="R3" s="3266" t="s">
        <v>2036</v>
      </c>
    </row>
    <row r="4" spans="1:18" ht="36.75" customHeight="1">
      <c r="A4" s="3265"/>
      <c r="B4" s="3265"/>
      <c r="C4" s="3266"/>
      <c r="D4" s="3265"/>
      <c r="E4" s="2650" t="s">
        <v>2043</v>
      </c>
      <c r="F4" s="2650" t="s">
        <v>2743</v>
      </c>
      <c r="G4" s="2650" t="s">
        <v>2037</v>
      </c>
      <c r="H4" s="2650" t="s">
        <v>2038</v>
      </c>
      <c r="I4" s="2650" t="s">
        <v>2744</v>
      </c>
      <c r="J4" s="2650" t="s">
        <v>2037</v>
      </c>
      <c r="K4" s="3266"/>
      <c r="L4" s="3266"/>
      <c r="M4" s="3265"/>
      <c r="N4" s="3267"/>
      <c r="O4" s="3265"/>
      <c r="P4" s="3266"/>
      <c r="Q4" s="3266"/>
      <c r="R4" s="3266"/>
    </row>
    <row r="5" spans="1:18" ht="135" customHeight="1">
      <c r="A5" s="1944" t="s">
        <v>2654</v>
      </c>
      <c r="B5" s="2868" t="s">
        <v>2652</v>
      </c>
      <c r="C5" s="2649">
        <v>22</v>
      </c>
      <c r="D5" s="2648" t="s">
        <v>2653</v>
      </c>
      <c r="E5" s="1811" t="str">
        <f>项目基本情况!B12</f>
        <v>二类居住用地</v>
      </c>
      <c r="F5" s="2648">
        <v>258</v>
      </c>
      <c r="G5" s="1811" t="str">
        <f>项目基本情况!B13</f>
        <v>住宅、商业</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35272</v>
      </c>
      <c r="O5" s="1811">
        <f>项目基本情况!C21</f>
        <v>56435</v>
      </c>
      <c r="P5" s="1811">
        <f ca="1">结果表!E42</f>
        <v>7976</v>
      </c>
      <c r="Q5" s="1811">
        <f ca="1">结果表!D42</f>
        <v>4985</v>
      </c>
      <c r="R5" s="1812">
        <f ca="1">结果表!C42</f>
        <v>28132</v>
      </c>
    </row>
    <row r="6" spans="1:18">
      <c r="A6" s="3261" t="str">
        <f>IF(项目基本情况!B9="市场价格","——","抵押价格")</f>
        <v>抵押价格</v>
      </c>
      <c r="B6" s="3262"/>
      <c r="C6" s="3262"/>
      <c r="D6" s="3262"/>
      <c r="E6" s="3262"/>
      <c r="F6" s="3262"/>
      <c r="G6" s="3262"/>
      <c r="H6" s="3262"/>
      <c r="I6" s="3262"/>
      <c r="J6" s="3262"/>
      <c r="K6" s="3262"/>
      <c r="L6" s="3262"/>
      <c r="M6" s="3262"/>
      <c r="N6" s="3262"/>
      <c r="O6" s="3262"/>
      <c r="P6" s="3262"/>
      <c r="Q6" s="3263"/>
      <c r="R6" s="1813">
        <f ca="1">结果表!O39</f>
        <v>28132</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13" t="str">
        <f>结果表!O40</f>
        <v>——</v>
      </c>
    </row>
    <row r="8" spans="1:18">
      <c r="A8" s="3261" t="str">
        <f>IF(项目基本情况!B9="市场价格","——",项目基本情况!E9)</f>
        <v>抵押净值</v>
      </c>
      <c r="B8" s="3262"/>
      <c r="C8" s="3262"/>
      <c r="D8" s="3262"/>
      <c r="E8" s="3262"/>
      <c r="F8" s="3262"/>
      <c r="G8" s="3262"/>
      <c r="H8" s="3262"/>
      <c r="I8" s="3262"/>
      <c r="J8" s="3262"/>
      <c r="K8" s="3262"/>
      <c r="L8" s="3262"/>
      <c r="M8" s="3262"/>
      <c r="N8" s="3262"/>
      <c r="O8" s="3262"/>
      <c r="P8" s="3262"/>
      <c r="Q8" s="3263"/>
      <c r="R8" s="1813">
        <f ca="1">结果表!O41</f>
        <v>21643</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9" t="s">
        <v>2066</v>
      </c>
      <c r="B1" s="3269"/>
      <c r="C1" s="3269"/>
      <c r="D1" s="3269"/>
    </row>
    <row r="2" spans="1:4" ht="47.25" customHeight="1">
      <c r="A2" s="3273" t="str">
        <f>"1.权利限制："&amp;项目基本情况!L24&amp;"未设定租赁等其他他项权利。"</f>
        <v>1.权利限制：根据估价对象《不动产权证书》原件、《国有土地使用权》复印件，截至估价期日，估价对象已设定抵押。未设定租赁等其他他项权利。</v>
      </c>
      <c r="B2" s="3273"/>
      <c r="C2" s="3273"/>
      <c r="D2" s="3273"/>
    </row>
    <row r="3" spans="1:4" ht="48" customHeight="1">
      <c r="A3" s="326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9"/>
      <c r="C3" s="3269"/>
      <c r="D3" s="3269"/>
    </row>
    <row r="4" spans="1:4" ht="36.75" customHeight="1">
      <c r="A4" s="3269" t="str">
        <f>"3.估价规划限制条件：详见"&amp;项目基本情况!E21&amp;"。"</f>
        <v>3.估价规划限制条件：详见《国有建设用地使用权出让合同》[电子监管号：5001132013B00515]及附件。</v>
      </c>
      <c r="B4" s="3269"/>
      <c r="C4" s="3269"/>
      <c r="D4" s="3269"/>
    </row>
    <row r="5" spans="1:4">
      <c r="A5" s="3272" t="s">
        <v>2067</v>
      </c>
      <c r="B5" s="3272"/>
      <c r="C5" s="3272"/>
      <c r="D5" s="3272"/>
    </row>
    <row r="6" spans="1:4">
      <c r="A6" s="3269" t="s">
        <v>2045</v>
      </c>
      <c r="B6" s="3269"/>
      <c r="C6" s="3269"/>
      <c r="D6" s="3269"/>
    </row>
    <row r="7" spans="1:4" ht="33" customHeight="1">
      <c r="A7" s="3269" t="s">
        <v>2574</v>
      </c>
      <c r="B7" s="3269"/>
      <c r="C7" s="3269"/>
      <c r="D7" s="3269"/>
    </row>
    <row r="8" spans="1:4" ht="32.25" customHeight="1">
      <c r="A8" s="326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9"/>
      <c r="C8" s="3269"/>
      <c r="D8" s="3269"/>
    </row>
    <row r="9" spans="1:4" ht="33.75" customHeight="1">
      <c r="A9" s="326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9"/>
      <c r="C9" s="3269"/>
      <c r="D9" s="3269"/>
    </row>
    <row r="10" spans="1:4">
      <c r="A10" s="3269" t="str">
        <f>IF(项目基本情况!B8="抵押","4.估价师所知悉的法定优先受偿款情况为：","——")</f>
        <v>4.估价师所知悉的法定优先受偿款情况为：</v>
      </c>
      <c r="B10" s="3269"/>
      <c r="C10" s="3269"/>
      <c r="D10" s="3269"/>
    </row>
    <row r="11" spans="1:4" ht="37.5" customHeight="1">
      <c r="A11" s="3271"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1"/>
      <c r="C11" s="3271"/>
      <c r="D11" s="3271"/>
    </row>
    <row r="12" spans="1:4" ht="168" customHeight="1">
      <c r="A12" s="3272" t="s">
        <v>2069</v>
      </c>
      <c r="B12" s="3272"/>
      <c r="C12" s="3272"/>
      <c r="D12" s="3272"/>
    </row>
    <row r="13" spans="1:4">
      <c r="A13" s="3270" t="s">
        <v>2745</v>
      </c>
      <c r="B13" s="3270"/>
      <c r="C13" s="3270"/>
      <c r="D13" s="3270"/>
    </row>
    <row r="14" spans="1:4">
      <c r="A14" s="3271" t="str">
        <f>IF(项目基本情况!B8="抵押","综上，"&amp;结果表!K47,"——")</f>
        <v>综上，本次评估不存在估价师知悉的法定优先受偿款</v>
      </c>
      <c r="B14" s="3271"/>
      <c r="C14" s="3271"/>
      <c r="D14" s="3271"/>
    </row>
    <row r="15" spans="1:4" ht="58.5" customHeight="1">
      <c r="A15" s="326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9"/>
      <c r="C15" s="3269"/>
      <c r="D15" s="3269"/>
    </row>
    <row r="16" spans="1:4" ht="70.5" customHeight="1">
      <c r="A16" s="326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9"/>
      <c r="C16" s="3269"/>
      <c r="D16" s="3269"/>
    </row>
    <row r="17" spans="1:4">
      <c r="A17" s="3269" t="s">
        <v>2701</v>
      </c>
      <c r="B17" s="3269"/>
      <c r="C17" s="3269"/>
      <c r="D17" s="3269"/>
    </row>
    <row r="18" spans="1:4">
      <c r="A18" s="3269" t="s">
        <v>2693</v>
      </c>
      <c r="B18" s="3269"/>
      <c r="C18" s="3269"/>
      <c r="D18" s="3269"/>
    </row>
    <row r="19" spans="1:4">
      <c r="A19" s="2869" t="s">
        <v>2694</v>
      </c>
      <c r="B19" s="2869" t="s">
        <v>2695</v>
      </c>
      <c r="C19" s="2869" t="s">
        <v>2696</v>
      </c>
      <c r="D19" s="2869" t="s">
        <v>2697</v>
      </c>
    </row>
    <row r="20" spans="1:4">
      <c r="A20" s="2869" t="str">
        <f>项目基本情况!B4</f>
        <v>土地估价师</v>
      </c>
      <c r="B20" s="2869">
        <f>项目基本情况!C4</f>
        <v>0</v>
      </c>
      <c r="C20" s="2871"/>
      <c r="D20" s="1801" t="s">
        <v>2702</v>
      </c>
    </row>
    <row r="21" spans="1:4">
      <c r="A21" s="2869" t="str">
        <f>项目基本情况!D4</f>
        <v>土地估价师</v>
      </c>
      <c r="B21" s="2869">
        <f>项目基本情况!E4</f>
        <v>0</v>
      </c>
      <c r="C21" s="2871"/>
      <c r="D21" s="1801" t="s">
        <v>2703</v>
      </c>
    </row>
    <row r="23" spans="1:4">
      <c r="A23" s="3269" t="s">
        <v>2698</v>
      </c>
      <c r="B23" s="3269"/>
      <c r="C23" s="3269"/>
      <c r="D23" s="3269"/>
    </row>
    <row r="24" spans="1:4">
      <c r="A24" s="2869" t="s">
        <v>2694</v>
      </c>
      <c r="B24" s="2869" t="s">
        <v>2699</v>
      </c>
      <c r="C24" s="2869" t="s">
        <v>2696</v>
      </c>
      <c r="D24" s="2869" t="s">
        <v>2697</v>
      </c>
    </row>
    <row r="25" spans="1:4">
      <c r="A25" s="2872" t="s">
        <v>2700</v>
      </c>
      <c r="B25" s="2869" t="s">
        <v>951</v>
      </c>
      <c r="C25" s="2871"/>
      <c r="D25" s="1801" t="s">
        <v>2703</v>
      </c>
    </row>
    <row r="29" spans="1:4">
      <c r="D29" s="2870" t="s">
        <v>2040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81" t="s">
        <v>53</v>
      </c>
      <c r="B15" s="3282" t="s">
        <v>845</v>
      </c>
      <c r="C15" s="3278"/>
    </row>
    <row r="16" spans="1:7" ht="14.25">
      <c r="A16" s="3281"/>
      <c r="B16" s="3279" t="s">
        <v>54</v>
      </c>
      <c r="C16" s="1172" t="s">
        <v>53</v>
      </c>
    </row>
    <row r="17" spans="1:3" ht="14.25">
      <c r="A17" s="3281"/>
      <c r="B17" s="3279"/>
      <c r="C17" s="1172" t="s">
        <v>55</v>
      </c>
    </row>
    <row r="18" spans="1:3" ht="14.25">
      <c r="A18" s="3281"/>
      <c r="B18" s="3279"/>
      <c r="C18" s="1172" t="s">
        <v>56</v>
      </c>
    </row>
    <row r="19" spans="1:3" ht="14.25">
      <c r="A19" s="3281"/>
      <c r="B19" s="3277" t="s">
        <v>57</v>
      </c>
      <c r="C19" s="3278"/>
    </row>
    <row r="20" spans="1:3" ht="14.25">
      <c r="A20" s="1173" t="s">
        <v>58</v>
      </c>
      <c r="B20" s="1174"/>
      <c r="C20" s="1175"/>
    </row>
    <row r="21" spans="1:3" ht="14.25">
      <c r="A21" s="3280" t="s">
        <v>59</v>
      </c>
      <c r="B21" s="3277" t="s">
        <v>60</v>
      </c>
      <c r="C21" s="3278"/>
    </row>
    <row r="22" spans="1:3" ht="14.25">
      <c r="A22" s="3280"/>
      <c r="B22" s="3277" t="s">
        <v>61</v>
      </c>
      <c r="C22" s="3278"/>
    </row>
    <row r="23" spans="1:3" ht="14.25">
      <c r="A23" s="3280"/>
      <c r="B23" s="3277" t="s">
        <v>62</v>
      </c>
      <c r="C23" s="3278"/>
    </row>
    <row r="24" spans="1:3" ht="14.25">
      <c r="A24" s="3280"/>
      <c r="B24" s="3283" t="s">
        <v>63</v>
      </c>
      <c r="C24" s="1176" t="s">
        <v>836</v>
      </c>
    </row>
    <row r="25" spans="1:3" ht="14.25">
      <c r="A25" s="3280"/>
      <c r="B25" s="3284"/>
      <c r="C25" s="1176" t="s">
        <v>837</v>
      </c>
    </row>
    <row r="26" spans="1:3" ht="14.25">
      <c r="A26" s="3280"/>
      <c r="B26" s="3284"/>
      <c r="C26" s="1176" t="s">
        <v>838</v>
      </c>
    </row>
    <row r="27" spans="1:3" ht="14.25">
      <c r="A27" s="3280"/>
      <c r="B27" s="3284"/>
      <c r="C27" s="1176" t="s">
        <v>839</v>
      </c>
    </row>
    <row r="28" spans="1:3" ht="14.25">
      <c r="A28" s="3280"/>
      <c r="B28" s="3284"/>
      <c r="C28" s="1176" t="s">
        <v>840</v>
      </c>
    </row>
    <row r="29" spans="1:3" ht="14.25">
      <c r="A29" s="3280"/>
      <c r="B29" s="3284"/>
      <c r="C29" s="1176" t="s">
        <v>841</v>
      </c>
    </row>
    <row r="30" spans="1:3" ht="14.25">
      <c r="A30" s="3280"/>
      <c r="B30" s="3284"/>
      <c r="C30" s="1176" t="s">
        <v>842</v>
      </c>
    </row>
    <row r="31" spans="1:3" ht="14.25">
      <c r="A31" s="3280"/>
      <c r="B31" s="3284"/>
      <c r="C31" s="1176" t="s">
        <v>843</v>
      </c>
    </row>
    <row r="32" spans="1:3" ht="14.25">
      <c r="A32" s="3280"/>
      <c r="B32" s="3284"/>
      <c r="C32" s="1176" t="s">
        <v>1646</v>
      </c>
    </row>
    <row r="33" spans="1:3" ht="14.25">
      <c r="A33" s="3280"/>
      <c r="B33" s="3274" t="s">
        <v>1652</v>
      </c>
      <c r="C33" s="1176" t="s">
        <v>1647</v>
      </c>
    </row>
    <row r="34" spans="1:3" ht="14.25">
      <c r="A34" s="3280"/>
      <c r="B34" s="3275"/>
      <c r="C34" s="1181" t="s">
        <v>1648</v>
      </c>
    </row>
    <row r="35" spans="1:3" ht="14.25">
      <c r="A35" s="3280"/>
      <c r="B35" s="3275"/>
      <c r="C35" s="1182" t="s">
        <v>1649</v>
      </c>
    </row>
    <row r="36" spans="1:3" ht="14.25">
      <c r="A36" s="3280"/>
      <c r="B36" s="3275"/>
      <c r="C36" s="1182" t="s">
        <v>1650</v>
      </c>
    </row>
    <row r="37" spans="1:3" ht="14.25">
      <c r="A37" s="3280"/>
      <c r="B37" s="327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43658</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t="str">
        <f ca="1">IF(C10&lt;B2,"已过期",1120060040)</f>
        <v>已过期</v>
      </c>
      <c r="C10" s="3007">
        <v>43483</v>
      </c>
      <c r="D10" s="2344" t="s">
        <v>1920</v>
      </c>
      <c r="E10" s="2344">
        <f ca="1">IF(F10&lt;B2,"已过期",2004110096)</f>
        <v>2004110096</v>
      </c>
      <c r="F10" s="3008">
        <v>47118</v>
      </c>
    </row>
    <row r="11" spans="1:6" ht="20.25" customHeight="1">
      <c r="A11" s="2344" t="s">
        <v>1921</v>
      </c>
      <c r="B11" s="2344" t="str">
        <f ca="1">IF(C11&lt;B2,"已过期",1120100036)</f>
        <v>已过期</v>
      </c>
      <c r="C11" s="3007">
        <v>43622</v>
      </c>
      <c r="D11" s="2344" t="s">
        <v>1921</v>
      </c>
      <c r="E11" s="2344">
        <f ca="1">IF(F11&lt;B2,"已过期",2010110070)</f>
        <v>2010110070</v>
      </c>
      <c r="F11" s="3008">
        <v>47907</v>
      </c>
    </row>
    <row r="12" spans="1:6" ht="20.25" customHeight="1">
      <c r="A12" s="2344" t="s">
        <v>2970</v>
      </c>
      <c r="B12" s="2344">
        <v>1120110054</v>
      </c>
      <c r="C12" s="3007">
        <v>43937</v>
      </c>
      <c r="D12" s="2344" t="s">
        <v>2970</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t="str">
        <f ca="1">IF(C14&lt;B2,"已过期",1120130020)</f>
        <v>已过期</v>
      </c>
      <c r="C14" s="3007">
        <v>43622</v>
      </c>
      <c r="D14" s="2344"/>
      <c r="E14" s="2344"/>
      <c r="F14" s="2344"/>
    </row>
    <row r="15" spans="1:6" ht="20.25" customHeight="1">
      <c r="A15" s="2344" t="s">
        <v>2573</v>
      </c>
      <c r="B15" s="2344">
        <v>1120070085</v>
      </c>
      <c r="C15" s="3007">
        <v>43814</v>
      </c>
      <c r="D15" s="2344" t="s">
        <v>2573</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85" t="s">
        <v>1928</v>
      </c>
      <c r="B25" s="3285"/>
      <c r="C25" s="3285"/>
      <c r="D25" s="3285"/>
      <c r="E25" s="3285"/>
      <c r="F25" s="3285"/>
      <c r="G25" s="3285"/>
    </row>
    <row r="26" spans="1:7" ht="20.25" customHeight="1">
      <c r="A26" s="3286" t="s">
        <v>1929</v>
      </c>
      <c r="B26" s="3286"/>
      <c r="C26" s="3286"/>
      <c r="D26" s="3286" t="s">
        <v>1930</v>
      </c>
      <c r="E26" s="3286"/>
      <c r="F26" s="328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2544</v>
      </c>
      <c r="R1" s="2583"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4" t="s">
        <v>2948</v>
      </c>
      <c r="C18" s="1555"/>
    </row>
    <row r="19" spans="1:3">
      <c r="A19" s="8" t="s">
        <v>120</v>
      </c>
      <c r="B19" s="3114" t="s">
        <v>2956</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融创启阳置业有限公司拟使用重庆市巴南区南泉鹿角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87"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22日，在规划利用条件下、设定土地开发程度为红线外“七通”、宗地内场地，设定用途为住宅、商业，剩余土地使用年限为的出让国有建设用地使用权价格。</v>
      </c>
      <c r="D53" s="1768"/>
      <c r="E53" s="1768"/>
    </row>
    <row r="54" spans="1:5">
      <c r="A54" s="3287"/>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7"/>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7"/>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7"/>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年期修正系数</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2019-07-12T06:13:48Z</dcterms:modified>
</cp:coreProperties>
</file>