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E:\2025\进行中\2025-1-0447-F01-房山区怡和北路5号院14号楼2层201-吴姐浦发\"/>
    </mc:Choice>
  </mc:AlternateContent>
  <xr:revisionPtr revIDLastSave="0" documentId="13_ncr:1_{376C2C19-0CC2-4BB7-BE7A-910C9551AA85}" xr6:coauthVersionLast="47" xr6:coauthVersionMax="47" xr10:uidLastSave="{00000000-0000-0000-0000-000000000000}"/>
  <bookViews>
    <workbookView xWindow="-108" yWindow="-108" windowWidth="20376" windowHeight="12216" tabRatio="899" firstSheet="11"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售价案例" sheetId="82" r:id="rId35"/>
    <sheet name="租金案例" sheetId="83" r:id="rId36"/>
    <sheet name="零贷估值" sheetId="84" r:id="rId37"/>
    <sheet name="信息" sheetId="80" r:id="rId38"/>
    <sheet name="成本法 (元)" sheetId="69" r:id="rId39"/>
    <sheet name="基准地价修正" sheetId="43"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r:id="rId47"/>
    <sheet name="区片价" sheetId="44" r:id="rId48"/>
    <sheet name="存贷款利率" sheetId="73" r:id="rId49"/>
  </sheets>
  <externalReferences>
    <externalReference r:id="rId50"/>
  </externalReferences>
  <definedNames>
    <definedName name="_xlnm._FilterDatabase" localSheetId="19"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38">'成本法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9">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concurrentManualCount="16"/>
</workbook>
</file>

<file path=xl/calcChain.xml><?xml version="1.0" encoding="utf-8"?>
<calcChain xmlns="http://schemas.openxmlformats.org/spreadsheetml/2006/main">
  <c r="G48" i="34" l="1"/>
  <c r="G34" i="34"/>
  <c r="R5" i="82"/>
  <c r="R4" i="82"/>
  <c r="I48" i="34"/>
  <c r="E48" i="34"/>
  <c r="I34" i="34"/>
  <c r="E34" i="34"/>
  <c r="F67" i="34"/>
  <c r="E67" i="34" s="1"/>
  <c r="D67" i="34" s="1"/>
  <c r="C67" i="34" s="1"/>
  <c r="D3" i="4"/>
  <c r="J49" i="67"/>
  <c r="C19" i="6"/>
  <c r="B59" i="1"/>
  <c r="B21" i="1" l="1"/>
  <c r="N19" i="1"/>
  <c r="N6" i="1" s="1"/>
  <c r="G14" i="73"/>
  <c r="F14" i="73"/>
  <c r="E14" i="73"/>
  <c r="C37" i="34" l="1"/>
  <c r="Y6" i="1"/>
  <c r="I12" i="79"/>
  <c r="I37" i="34" l="1"/>
  <c r="E37" i="34"/>
  <c r="G37" i="34"/>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Z3" i="79"/>
  <c r="S34" i="79"/>
  <c r="AG34" i="79" s="1"/>
  <c r="S33" i="79"/>
  <c r="AG33" i="79" s="1"/>
  <c r="S35" i="79"/>
  <c r="AG35" i="79" s="1"/>
  <c r="AR18" i="79"/>
  <c r="AR19" i="79" s="1"/>
  <c r="AR20" i="79" s="1"/>
  <c r="AR21" i="79" s="1"/>
  <c r="AR22" i="79" s="1"/>
  <c r="AR23" i="79" s="1"/>
  <c r="AR24" i="79" s="1"/>
  <c r="T33" i="79"/>
  <c r="T35" i="79"/>
  <c r="T34" i="79"/>
  <c r="W22" i="79"/>
  <c r="AK22" i="79" s="1"/>
  <c r="AH22" i="79"/>
  <c r="AD38" i="79"/>
  <c r="AD37" i="79"/>
  <c r="AD36" i="79"/>
  <c r="AR40" i="79"/>
  <c r="AR41" i="79" s="1"/>
  <c r="AR42" i="79" s="1"/>
  <c r="AR43" i="79" s="1"/>
  <c r="AR44" i="79" s="1"/>
  <c r="AR45" i="79" s="1"/>
  <c r="AR46" i="79" s="1"/>
  <c r="AR47" i="79" s="1"/>
  <c r="AR48" i="79" s="1"/>
  <c r="AR49" i="79" s="1"/>
  <c r="AR50" i="79" s="1"/>
  <c r="AR51" i="79" s="1"/>
  <c r="AR52" i="79" s="1"/>
  <c r="AA31" i="79"/>
  <c r="AD31" i="79" s="1"/>
  <c r="T40" i="79"/>
  <c r="U46" i="79"/>
  <c r="AI46" i="79" s="1"/>
  <c r="AD47" i="79"/>
  <c r="S48" i="79"/>
  <c r="AG48" i="79" s="1"/>
  <c r="U50" i="79"/>
  <c r="AI50" i="79" s="1"/>
  <c r="AD51" i="79"/>
  <c r="N31" i="79"/>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5" i="79" l="1"/>
  <c r="AK15" i="79" s="1"/>
  <c r="AH15" i="79"/>
  <c r="W13" i="79"/>
  <c r="AK13" i="79" s="1"/>
  <c r="AH13" i="79"/>
  <c r="W48" i="79"/>
  <c r="AK48" i="79" s="1"/>
  <c r="AH48" i="79"/>
  <c r="W49" i="79"/>
  <c r="AK49" i="79" s="1"/>
  <c r="AH49" i="79"/>
  <c r="W43" i="79"/>
  <c r="AK43" i="79" s="1"/>
  <c r="AH43" i="79"/>
  <c r="W38" i="79"/>
  <c r="AK38" i="79" s="1"/>
  <c r="AH38" i="79"/>
  <c r="W40" i="79"/>
  <c r="AK40" i="79" s="1"/>
  <c r="AH40" i="79"/>
  <c r="AH34" i="79"/>
  <c r="W34" i="79"/>
  <c r="AK34" i="79" s="1"/>
  <c r="W23" i="79"/>
  <c r="AK23" i="79" s="1"/>
  <c r="AH23" i="79"/>
  <c r="W12" i="79"/>
  <c r="AK12" i="79" s="1"/>
  <c r="AH12" i="79"/>
  <c r="W21" i="79"/>
  <c r="AK21" i="79" s="1"/>
  <c r="AH21" i="79"/>
  <c r="W47" i="79"/>
  <c r="AK47" i="79" s="1"/>
  <c r="AH47" i="79"/>
  <c r="W45" i="79"/>
  <c r="AK45" i="79" s="1"/>
  <c r="AH45" i="79"/>
  <c r="W35" i="79"/>
  <c r="AK35" i="79" s="1"/>
  <c r="AH35" i="79"/>
  <c r="W39" i="79"/>
  <c r="AK39" i="79" s="1"/>
  <c r="W17" i="79"/>
  <c r="AK17" i="79" s="1"/>
  <c r="AH17" i="79"/>
  <c r="W20" i="79"/>
  <c r="AK20" i="79" s="1"/>
  <c r="AH20" i="79"/>
  <c r="W33" i="79"/>
  <c r="AK33" i="79" s="1"/>
  <c r="AH33" i="79"/>
  <c r="W11" i="79"/>
  <c r="AK11" i="79" s="1"/>
  <c r="AH11" i="79"/>
  <c r="W10" i="79"/>
  <c r="AK10" i="79" s="1"/>
  <c r="AH10" i="79"/>
  <c r="W18" i="79"/>
  <c r="AK18" i="79" s="1"/>
  <c r="AH18"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D32" i="77" s="1"/>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AA20" i="71" s="1"/>
  <c r="O20" i="71"/>
  <c r="Y19" i="71" s="1"/>
  <c r="Z19" i="71" s="1"/>
  <c r="N20" i="71"/>
  <c r="L3" i="71"/>
  <c r="AH3" i="71" s="1"/>
  <c r="K3" i="71"/>
  <c r="AG3" i="71" s="1"/>
  <c r="J3" i="71"/>
  <c r="AE3" i="71" s="1"/>
  <c r="I3" i="71"/>
  <c r="AD3" i="71" s="1"/>
  <c r="AH21" i="71"/>
  <c r="AG21" i="71"/>
  <c r="AE21" i="71"/>
  <c r="AF21" i="71" s="1"/>
  <c r="AD21" i="71"/>
  <c r="Q21" i="71"/>
  <c r="Q22" i="71"/>
  <c r="P21" i="71"/>
  <c r="P22" i="71"/>
  <c r="O21" i="71"/>
  <c r="O22" i="71"/>
  <c r="N21" i="71"/>
  <c r="N22" i="71"/>
  <c r="N23" i="71"/>
  <c r="X23" i="71" s="1"/>
  <c r="AH22" i="71"/>
  <c r="AG22" i="71"/>
  <c r="AE22" i="71"/>
  <c r="AF22" i="71" s="1"/>
  <c r="AD22" i="71"/>
  <c r="Q23" i="71"/>
  <c r="P23" i="71"/>
  <c r="O23" i="71"/>
  <c r="D25" i="71"/>
  <c r="AH23" i="71"/>
  <c r="AG23" i="71"/>
  <c r="AE23" i="71"/>
  <c r="AF23" i="71" s="1"/>
  <c r="AD23" i="71"/>
  <c r="AD24" i="71"/>
  <c r="AG24" i="71"/>
  <c r="AH24" i="71"/>
  <c r="AE24" i="71"/>
  <c r="AF24" i="71" s="1"/>
  <c r="N24" i="71"/>
  <c r="B24" i="71" s="1"/>
  <c r="Q24" i="71"/>
  <c r="F24" i="71" s="1"/>
  <c r="F23" i="71" s="1"/>
  <c r="F22" i="71" s="1"/>
  <c r="F21" i="71" s="1"/>
  <c r="F20" i="71" s="1"/>
  <c r="F19" i="71" s="1"/>
  <c r="F18" i="71" s="1"/>
  <c r="F17"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B17" i="72" s="1"/>
  <c r="A21" i="51"/>
  <c r="B16" i="72" s="1"/>
  <c r="A20" i="51"/>
  <c r="B15" i="72" s="1"/>
  <c r="A14" i="62"/>
  <c r="A13" i="62"/>
  <c r="B59" i="72" s="1"/>
  <c r="A19" i="62"/>
  <c r="B65" i="72" s="1"/>
  <c r="A12" i="62"/>
  <c r="B58" i="72" s="1"/>
  <c r="A120" i="9"/>
  <c r="H2" i="52"/>
  <c r="A1" i="52"/>
  <c r="A3" i="53"/>
  <c r="Q26" i="71"/>
  <c r="P26" i="71"/>
  <c r="O26" i="71"/>
  <c r="N26" i="71"/>
  <c r="A15" i="51"/>
  <c r="B12" i="72" s="1"/>
  <c r="C76" i="9"/>
  <c r="I107" i="40"/>
  <c r="K6" i="4"/>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E109" i="9"/>
  <c r="A124" i="9" s="1"/>
  <c r="A10" i="52" s="1"/>
  <c r="B55" i="72" s="1"/>
  <c r="B44" i="72"/>
  <c r="B42" i="72"/>
  <c r="B69" i="72"/>
  <c r="B68" i="72"/>
  <c r="B63" i="72"/>
  <c r="B62" i="72"/>
  <c r="B60" i="72"/>
  <c r="B10" i="72"/>
  <c r="C53" i="10"/>
  <c r="B51" i="10"/>
  <c r="A18" i="51"/>
  <c r="B13" i="72" s="1"/>
  <c r="C8" i="68"/>
  <c r="B49" i="48"/>
  <c r="B5" i="72" s="1"/>
  <c r="D89" i="71"/>
  <c r="F88" i="71"/>
  <c r="F87" i="71" s="1"/>
  <c r="F86" i="71" s="1"/>
  <c r="E88" i="71"/>
  <c r="E87" i="71" s="1"/>
  <c r="E86" i="71" s="1"/>
  <c r="C88" i="71"/>
  <c r="B88" i="71"/>
  <c r="B87" i="71"/>
  <c r="B86" i="71" s="1"/>
  <c r="D85" i="71"/>
  <c r="F84" i="71"/>
  <c r="F83" i="71" s="1"/>
  <c r="F82" i="71" s="1"/>
  <c r="E84" i="71"/>
  <c r="E83" i="71" s="1"/>
  <c r="E82" i="71" s="1"/>
  <c r="C84" i="71"/>
  <c r="D84" i="71" s="1"/>
  <c r="B84" i="71"/>
  <c r="B83" i="71" s="1"/>
  <c r="B82" i="71" s="1"/>
  <c r="D81" i="71"/>
  <c r="Q80" i="71"/>
  <c r="P80" i="71"/>
  <c r="O80" i="71"/>
  <c r="N80" i="71"/>
  <c r="F80" i="71"/>
  <c r="F79" i="71" s="1"/>
  <c r="F78" i="71" s="1"/>
  <c r="E80" i="71"/>
  <c r="C80" i="71"/>
  <c r="B80" i="71"/>
  <c r="Q79" i="71"/>
  <c r="P79" i="71"/>
  <c r="O79" i="71"/>
  <c r="N79" i="71"/>
  <c r="Q78" i="71"/>
  <c r="P78" i="71"/>
  <c r="O78" i="71"/>
  <c r="N78" i="71"/>
  <c r="Q77" i="71"/>
  <c r="P77" i="71"/>
  <c r="O77" i="71"/>
  <c r="N77" i="71"/>
  <c r="D77" i="71"/>
  <c r="Q76" i="71"/>
  <c r="P76" i="71"/>
  <c r="O76" i="71"/>
  <c r="N76" i="71"/>
  <c r="F76" i="71"/>
  <c r="V76" i="71" s="1"/>
  <c r="E76" i="71"/>
  <c r="U76" i="71" s="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C71" i="71" s="1"/>
  <c r="B72" i="71"/>
  <c r="B71" i="71" s="1"/>
  <c r="B70" i="71" s="1"/>
  <c r="Q71" i="71"/>
  <c r="P71" i="71"/>
  <c r="O71" i="71"/>
  <c r="N71" i="71"/>
  <c r="Q70" i="71"/>
  <c r="P70" i="71"/>
  <c r="O70" i="71"/>
  <c r="N70" i="71"/>
  <c r="Q69" i="71"/>
  <c r="P69" i="71"/>
  <c r="O69" i="71"/>
  <c r="N69" i="71"/>
  <c r="D69" i="71"/>
  <c r="F68" i="71"/>
  <c r="V68" i="71"/>
  <c r="E68" i="71"/>
  <c r="E67" i="71" s="1"/>
  <c r="C68" i="71"/>
  <c r="D68" i="71" s="1"/>
  <c r="B68" i="7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P57" i="71"/>
  <c r="E58" i="7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O53" i="71"/>
  <c r="C54" i="71" s="1"/>
  <c r="N53" i="71"/>
  <c r="B54" i="71" s="1"/>
  <c r="D53" i="71"/>
  <c r="Q52" i="71"/>
  <c r="P52" i="71"/>
  <c r="O52" i="71"/>
  <c r="N52" i="71"/>
  <c r="Q51" i="71"/>
  <c r="P51" i="71"/>
  <c r="O51" i="71"/>
  <c r="N51" i="71"/>
  <c r="Q50" i="71"/>
  <c r="P50" i="71"/>
  <c r="O50" i="71"/>
  <c r="N50" i="71"/>
  <c r="Q49" i="71"/>
  <c r="F50" i="71" s="1"/>
  <c r="P49" i="71"/>
  <c r="E50" i="71" s="1"/>
  <c r="O49" i="71"/>
  <c r="C50" i="71" s="1"/>
  <c r="D50" i="71" s="1"/>
  <c r="N49" i="71"/>
  <c r="B50" i="71" s="1"/>
  <c r="D49" i="71"/>
  <c r="T48" i="71"/>
  <c r="Q48" i="71"/>
  <c r="P48" i="71"/>
  <c r="O48" i="71"/>
  <c r="N48" i="71"/>
  <c r="D48" i="71"/>
  <c r="Q47" i="71"/>
  <c r="P47" i="71"/>
  <c r="O47" i="71"/>
  <c r="N47" i="71"/>
  <c r="Q46" i="71"/>
  <c r="P46" i="71"/>
  <c r="O46" i="71"/>
  <c r="N46" i="71"/>
  <c r="Q45" i="71"/>
  <c r="F46" i="71" s="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P41" i="71"/>
  <c r="E42" i="71"/>
  <c r="O41" i="71"/>
  <c r="C42" i="71" s="1"/>
  <c r="D42" i="71" s="1"/>
  <c r="N41" i="71"/>
  <c r="B42" i="71" s="1"/>
  <c r="D41" i="71"/>
  <c r="Q40" i="71"/>
  <c r="P40" i="71"/>
  <c r="O40" i="71"/>
  <c r="N40" i="71"/>
  <c r="Q39" i="71"/>
  <c r="AB39" i="71" s="1"/>
  <c r="P39" i="71"/>
  <c r="AA39" i="71"/>
  <c r="O39" i="71"/>
  <c r="N39" i="71"/>
  <c r="X39" i="71"/>
  <c r="Q38" i="71"/>
  <c r="P38" i="71"/>
  <c r="O38" i="71"/>
  <c r="N38" i="71"/>
  <c r="F38" i="71"/>
  <c r="F39" i="71" s="1"/>
  <c r="Q37" i="71"/>
  <c r="P37" i="71"/>
  <c r="O37" i="71"/>
  <c r="N37" i="71"/>
  <c r="D37" i="71"/>
  <c r="Q36" i="71"/>
  <c r="P36" i="71"/>
  <c r="O36" i="71"/>
  <c r="N36" i="71"/>
  <c r="Q35" i="71"/>
  <c r="P35" i="71"/>
  <c r="O35" i="71"/>
  <c r="N35" i="71"/>
  <c r="Q34" i="71"/>
  <c r="P34" i="71"/>
  <c r="O34" i="71"/>
  <c r="N34" i="71"/>
  <c r="Q33" i="71"/>
  <c r="P33" i="71"/>
  <c r="O33" i="71"/>
  <c r="C34" i="71" s="1"/>
  <c r="N33" i="71"/>
  <c r="B34" i="71" s="1"/>
  <c r="B35" i="71" s="1"/>
  <c r="B36" i="71" s="1"/>
  <c r="S36" i="71" s="1"/>
  <c r="D33" i="71"/>
  <c r="Q32" i="71"/>
  <c r="P32" i="71"/>
  <c r="O32" i="71"/>
  <c r="N32" i="71"/>
  <c r="Q31" i="71"/>
  <c r="P31" i="71"/>
  <c r="O31" i="71"/>
  <c r="N31" i="71"/>
  <c r="Q30" i="71"/>
  <c r="AB26" i="71" s="1"/>
  <c r="P30" i="71"/>
  <c r="O30" i="71"/>
  <c r="N30" i="71"/>
  <c r="Q29" i="71"/>
  <c r="F30" i="71" s="1"/>
  <c r="P29" i="71"/>
  <c r="O29" i="71"/>
  <c r="N29" i="71"/>
  <c r="D29" i="71"/>
  <c r="O28" i="71"/>
  <c r="N28" i="71"/>
  <c r="B28" i="71" s="1"/>
  <c r="B30" i="71"/>
  <c r="X38" i="71"/>
  <c r="C28" i="71"/>
  <c r="C43" i="71"/>
  <c r="C44" i="71" s="1"/>
  <c r="P28" i="71"/>
  <c r="E28" i="71" s="1"/>
  <c r="Q28" i="71"/>
  <c r="F28" i="71" s="1"/>
  <c r="F27" i="71" s="1"/>
  <c r="F26" i="71" s="1"/>
  <c r="E71" i="71"/>
  <c r="E70" i="71" s="1"/>
  <c r="C75" i="71"/>
  <c r="E75" i="71"/>
  <c r="E74" i="71" s="1"/>
  <c r="C83" i="71"/>
  <c r="D83" i="71" s="1"/>
  <c r="C82" i="71"/>
  <c r="D82"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E81" i="21" s="1"/>
  <c r="G20" i="20"/>
  <c r="C25" i="40" s="1"/>
  <c r="C22" i="20"/>
  <c r="B77" i="43" s="1"/>
  <c r="H25" i="40"/>
  <c r="J25" i="40"/>
  <c r="H29" i="39"/>
  <c r="J29" i="39"/>
  <c r="J18" i="36"/>
  <c r="H18" i="35"/>
  <c r="AB18" i="35" s="1"/>
  <c r="J18" i="35"/>
  <c r="H21" i="37"/>
  <c r="AB21" i="37" s="1"/>
  <c r="F21" i="37"/>
  <c r="H21" i="34"/>
  <c r="H21" i="33"/>
  <c r="F21" i="33"/>
  <c r="H1" i="69"/>
  <c r="AA21" i="33"/>
  <c r="S21" i="33"/>
  <c r="J21" i="37"/>
  <c r="J21" i="34"/>
  <c r="W21" i="34" s="1"/>
  <c r="J21" i="33"/>
  <c r="W21" i="33" s="1"/>
  <c r="H21" i="21"/>
  <c r="U21" i="21" s="1"/>
  <c r="F38" i="69"/>
  <c r="E37" i="69"/>
  <c r="F36" i="69"/>
  <c r="F35" i="69"/>
  <c r="F21" i="69"/>
  <c r="F20" i="69"/>
  <c r="F39" i="69" s="1"/>
  <c r="E10" i="69"/>
  <c r="E9"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A9" i="1"/>
  <c r="A10" i="1"/>
  <c r="A11" i="1"/>
  <c r="B11" i="1" s="1"/>
  <c r="E11" i="1" s="1"/>
  <c r="A12" i="1"/>
  <c r="K12" i="1" s="1"/>
  <c r="M12" i="1" s="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L100" i="3" s="1"/>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L91" i="3" s="1"/>
  <c r="BN91" i="3"/>
  <c r="BM91" i="3"/>
  <c r="BK91" i="3"/>
  <c r="BJ91" i="3"/>
  <c r="BI91" i="3"/>
  <c r="BH91" i="3"/>
  <c r="BG91" i="3"/>
  <c r="BF91" i="3"/>
  <c r="BE91" i="3"/>
  <c r="BD91" i="3"/>
  <c r="BA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T5" i="3" s="1"/>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G5" i="3" s="1"/>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K5" i="3" s="1"/>
  <c r="BJ19" i="3"/>
  <c r="BI19" i="3"/>
  <c r="BH19" i="3"/>
  <c r="BG19" i="3"/>
  <c r="BF19" i="3"/>
  <c r="BE19" i="3"/>
  <c r="BD19" i="3"/>
  <c r="BC19" i="3"/>
  <c r="BB19" i="3"/>
  <c r="AX19" i="3"/>
  <c r="AW19" i="3"/>
  <c r="AV19" i="3"/>
  <c r="AC19" i="3"/>
  <c r="H19" i="3"/>
  <c r="G19" i="3" s="1"/>
  <c r="BT18" i="3"/>
  <c r="BS18" i="3"/>
  <c r="BS5" i="3" s="1"/>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H205" i="3"/>
  <c r="BT204" i="3"/>
  <c r="BS204" i="3"/>
  <c r="BR204" i="3"/>
  <c r="BQ204" i="3"/>
  <c r="BL204" i="3" s="1"/>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s="1"/>
  <c r="BT188" i="3"/>
  <c r="BS188" i="3"/>
  <c r="BR188" i="3"/>
  <c r="BL188" i="3" s="1"/>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A187" i="3" s="1"/>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L184" i="3" s="1"/>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H5" i="3" s="1"/>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L176" i="3" s="1"/>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A175" i="3" s="1"/>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L173" i="3" s="1"/>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G157" i="3" s="1"/>
  <c r="H157" i="3"/>
  <c r="BT156" i="3"/>
  <c r="BS156" i="3"/>
  <c r="BR156" i="3"/>
  <c r="BQ156" i="3"/>
  <c r="BP156" i="3"/>
  <c r="BO156" i="3"/>
  <c r="BN156" i="3"/>
  <c r="BL156" i="3" s="1"/>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A155" i="3" s="1"/>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A151" i="3" s="1"/>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G149" i="3" s="1"/>
  <c r="H149" i="3"/>
  <c r="BT148" i="3"/>
  <c r="BS148" i="3"/>
  <c r="BR148" i="3"/>
  <c r="BQ148" i="3"/>
  <c r="BP148" i="3"/>
  <c r="BO148" i="3"/>
  <c r="BN148" i="3"/>
  <c r="BL148" i="3" s="1"/>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A147" i="3" s="1"/>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L136" i="3" s="1"/>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L135" i="3" s="1"/>
  <c r="BR135" i="3"/>
  <c r="BQ135" i="3"/>
  <c r="BP135" i="3"/>
  <c r="BO135" i="3"/>
  <c r="BN135" i="3"/>
  <c r="BM135" i="3"/>
  <c r="BK135" i="3"/>
  <c r="BJ135" i="3"/>
  <c r="BI135" i="3"/>
  <c r="BH135" i="3"/>
  <c r="BG135" i="3"/>
  <c r="BF135" i="3"/>
  <c r="BE135" i="3"/>
  <c r="BD135" i="3"/>
  <c r="BC135" i="3"/>
  <c r="BA135" i="3" s="1"/>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L132" i="3" s="1"/>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N127" i="3"/>
  <c r="BM127" i="3"/>
  <c r="BK127" i="3"/>
  <c r="BJ127" i="3"/>
  <c r="BA127" i="3" s="1"/>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G125" i="3" s="1"/>
  <c r="BT124" i="3"/>
  <c r="BS124" i="3"/>
  <c r="BR124" i="3"/>
  <c r="BQ124" i="3"/>
  <c r="BL124" i="3" s="1"/>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A123" i="3" s="1"/>
  <c r="BF123" i="3"/>
  <c r="BE123" i="3"/>
  <c r="BD123" i="3"/>
  <c r="BC123" i="3"/>
  <c r="BB123" i="3"/>
  <c r="AX123" i="3"/>
  <c r="AW123" i="3"/>
  <c r="AV123" i="3"/>
  <c r="AC123" i="3"/>
  <c r="H123" i="3"/>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M5" i="3" s="1"/>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A119" i="3" s="1"/>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L116" i="3" s="1"/>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O5"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A257" i="3" s="1"/>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A250" i="3" s="1"/>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L242" i="3" s="1"/>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A231" i="3" s="1"/>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A220" i="3" s="1"/>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A217" i="3" s="1"/>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G212" i="3" s="1"/>
  <c r="H212" i="3"/>
  <c r="BT211" i="3"/>
  <c r="BS211" i="3"/>
  <c r="BR211" i="3"/>
  <c r="BQ211" i="3"/>
  <c r="BL211" i="3" s="1"/>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L394" i="3" s="1"/>
  <c r="BS394" i="3"/>
  <c r="BR394" i="3"/>
  <c r="BQ394" i="3"/>
  <c r="BP394" i="3"/>
  <c r="BO394" i="3"/>
  <c r="BN394" i="3"/>
  <c r="BM394" i="3"/>
  <c r="BK394" i="3"/>
  <c r="BJ394" i="3"/>
  <c r="BI394" i="3"/>
  <c r="BH394" i="3"/>
  <c r="BG394" i="3"/>
  <c r="BF394" i="3"/>
  <c r="BE394" i="3"/>
  <c r="BD394" i="3"/>
  <c r="BA394" i="3" s="1"/>
  <c r="BC394" i="3"/>
  <c r="BB394" i="3"/>
  <c r="AX394" i="3"/>
  <c r="AW394" i="3"/>
  <c r="AV394" i="3"/>
  <c r="AC394" i="3"/>
  <c r="H394" i="3"/>
  <c r="BT393" i="3"/>
  <c r="BS393" i="3"/>
  <c r="BR393" i="3"/>
  <c r="BQ393" i="3"/>
  <c r="BP393" i="3"/>
  <c r="BO393" i="3"/>
  <c r="BN393" i="3"/>
  <c r="BM393" i="3"/>
  <c r="BK393" i="3"/>
  <c r="BA393" i="3" s="1"/>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A391" i="3" s="1"/>
  <c r="AZ391" i="3" s="1"/>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s="1"/>
  <c r="BT389" i="3"/>
  <c r="BS389" i="3"/>
  <c r="BR389" i="3"/>
  <c r="BQ389" i="3"/>
  <c r="BP389" i="3"/>
  <c r="BO389" i="3"/>
  <c r="BN389" i="3"/>
  <c r="BM389" i="3"/>
  <c r="BK389" i="3"/>
  <c r="BJ389" i="3"/>
  <c r="BI389" i="3"/>
  <c r="BH389" i="3"/>
  <c r="BG389" i="3"/>
  <c r="BA389" i="3" s="1"/>
  <c r="AZ389" i="3" s="1"/>
  <c r="BF389" i="3"/>
  <c r="BE389" i="3"/>
  <c r="BD389" i="3"/>
  <c r="BC389" i="3"/>
  <c r="BB389" i="3"/>
  <c r="AX389" i="3"/>
  <c r="AW389" i="3"/>
  <c r="AV389" i="3"/>
  <c r="AC389" i="3"/>
  <c r="H389" i="3"/>
  <c r="G389" i="3" s="1"/>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BT382" i="3"/>
  <c r="BS382" i="3"/>
  <c r="BR382" i="3"/>
  <c r="BQ382" i="3"/>
  <c r="BP382" i="3"/>
  <c r="BO382" i="3"/>
  <c r="BN382" i="3"/>
  <c r="BM382" i="3"/>
  <c r="BK382" i="3"/>
  <c r="BJ382" i="3"/>
  <c r="BI382" i="3"/>
  <c r="BH382" i="3"/>
  <c r="BA382" i="3" s="1"/>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L377" i="3" s="1"/>
  <c r="BK377" i="3"/>
  <c r="BJ377" i="3"/>
  <c r="BI377" i="3"/>
  <c r="BH377" i="3"/>
  <c r="BG377" i="3"/>
  <c r="BF377" i="3"/>
  <c r="BE377" i="3"/>
  <c r="BD377" i="3"/>
  <c r="BC377" i="3"/>
  <c r="BB377" i="3"/>
  <c r="AX377" i="3"/>
  <c r="AW377" i="3"/>
  <c r="AV377" i="3"/>
  <c r="AC377" i="3"/>
  <c r="H377" i="3"/>
  <c r="BT376" i="3"/>
  <c r="BS376" i="3"/>
  <c r="BL376" i="3" s="1"/>
  <c r="BR376" i="3"/>
  <c r="BQ376" i="3"/>
  <c r="BP376" i="3"/>
  <c r="BO376" i="3"/>
  <c r="BN376" i="3"/>
  <c r="BM376" i="3"/>
  <c r="BK376" i="3"/>
  <c r="BJ376" i="3"/>
  <c r="BI376" i="3"/>
  <c r="BH376" i="3"/>
  <c r="BG376" i="3"/>
  <c r="BF376" i="3"/>
  <c r="BE376" i="3"/>
  <c r="BD376" i="3"/>
  <c r="BC376" i="3"/>
  <c r="BB376" i="3"/>
  <c r="BA376" i="3" s="1"/>
  <c r="AZ376" i="3" s="1"/>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L373" i="3" s="1"/>
  <c r="AZ373" i="3" s="1"/>
  <c r="BN373" i="3"/>
  <c r="BM373" i="3"/>
  <c r="BK373" i="3"/>
  <c r="BJ373" i="3"/>
  <c r="BI373" i="3"/>
  <c r="BH373" i="3"/>
  <c r="BG373" i="3"/>
  <c r="BF373" i="3"/>
  <c r="BE373" i="3"/>
  <c r="BD373" i="3"/>
  <c r="BC373" i="3"/>
  <c r="BB373" i="3"/>
  <c r="AX373" i="3"/>
  <c r="AW373" i="3"/>
  <c r="AV373" i="3"/>
  <c r="AC373" i="3"/>
  <c r="G373" i="3" s="1"/>
  <c r="H373" i="3"/>
  <c r="BT372" i="3"/>
  <c r="BS372" i="3"/>
  <c r="BR372" i="3"/>
  <c r="BQ372" i="3"/>
  <c r="BP372" i="3"/>
  <c r="BO372" i="3"/>
  <c r="BL372" i="3" s="1"/>
  <c r="BN372" i="3"/>
  <c r="BM372" i="3"/>
  <c r="BK372" i="3"/>
  <c r="BJ372" i="3"/>
  <c r="BI372" i="3"/>
  <c r="BH372" i="3"/>
  <c r="BG372" i="3"/>
  <c r="BF372" i="3"/>
  <c r="BE372" i="3"/>
  <c r="BD372" i="3"/>
  <c r="BC372" i="3"/>
  <c r="BB372" i="3"/>
  <c r="AX372" i="3"/>
  <c r="AW372" i="3"/>
  <c r="AV372" i="3"/>
  <c r="AC372" i="3"/>
  <c r="G372" i="3" s="1"/>
  <c r="H372" i="3"/>
  <c r="BT371" i="3"/>
  <c r="BS371" i="3"/>
  <c r="BR371" i="3"/>
  <c r="BQ371" i="3"/>
  <c r="BP371" i="3"/>
  <c r="BO371" i="3"/>
  <c r="BN371" i="3"/>
  <c r="BM371" i="3"/>
  <c r="BL371" i="3" s="1"/>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L370" i="3" s="1"/>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A369" i="3" s="1"/>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G361" i="3" s="1"/>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A359" i="3" s="1"/>
  <c r="AZ359" i="3" s="1"/>
  <c r="BI359" i="3"/>
  <c r="BH359" i="3"/>
  <c r="BG359" i="3"/>
  <c r="BF359" i="3"/>
  <c r="BE359" i="3"/>
  <c r="BD359" i="3"/>
  <c r="BC359" i="3"/>
  <c r="BB359" i="3"/>
  <c r="AX359" i="3"/>
  <c r="AW359" i="3"/>
  <c r="AV359" i="3"/>
  <c r="AC359" i="3"/>
  <c r="H359" i="3"/>
  <c r="BT358" i="3"/>
  <c r="BS358" i="3"/>
  <c r="BR358" i="3"/>
  <c r="BL358" i="3" s="1"/>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A357" i="3" s="1"/>
  <c r="BG357" i="3"/>
  <c r="BF357" i="3"/>
  <c r="BE357" i="3"/>
  <c r="BD357" i="3"/>
  <c r="BC357" i="3"/>
  <c r="BB357" i="3"/>
  <c r="AX357" i="3"/>
  <c r="AW357" i="3"/>
  <c r="AV357" i="3"/>
  <c r="AC357" i="3"/>
  <c r="H357" i="3"/>
  <c r="BT356" i="3"/>
  <c r="BS356" i="3"/>
  <c r="BR356" i="3"/>
  <c r="BQ356" i="3"/>
  <c r="BP356" i="3"/>
  <c r="BL356" i="3" s="1"/>
  <c r="AZ356" i="3" s="1"/>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A355" i="3" s="1"/>
  <c r="AZ355" i="3" s="1"/>
  <c r="BE355" i="3"/>
  <c r="BD355" i="3"/>
  <c r="BC355" i="3"/>
  <c r="BB355" i="3"/>
  <c r="AX355" i="3"/>
  <c r="AW355" i="3"/>
  <c r="AV355" i="3"/>
  <c r="AC355" i="3"/>
  <c r="H355" i="3"/>
  <c r="G355" i="3" s="1"/>
  <c r="BT354" i="3"/>
  <c r="BS354" i="3"/>
  <c r="BR354" i="3"/>
  <c r="BQ354" i="3"/>
  <c r="BP354" i="3"/>
  <c r="BO354" i="3"/>
  <c r="BN354" i="3"/>
  <c r="BM354" i="3"/>
  <c r="BK354" i="3"/>
  <c r="BJ354" i="3"/>
  <c r="BI354" i="3"/>
  <c r="BH354" i="3"/>
  <c r="BG354" i="3"/>
  <c r="BF354" i="3"/>
  <c r="BE354" i="3"/>
  <c r="BD354" i="3"/>
  <c r="BC354" i="3"/>
  <c r="BB354" i="3"/>
  <c r="AX354" i="3"/>
  <c r="AW354" i="3"/>
  <c r="AV354" i="3"/>
  <c r="AC354" i="3"/>
  <c r="H354" i="3"/>
  <c r="G354" i="3" s="1"/>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L352" i="3" s="1"/>
  <c r="BK352" i="3"/>
  <c r="BJ352" i="3"/>
  <c r="BI352" i="3"/>
  <c r="BH352" i="3"/>
  <c r="BG352" i="3"/>
  <c r="BF352" i="3"/>
  <c r="BE352" i="3"/>
  <c r="BD352" i="3"/>
  <c r="BC352" i="3"/>
  <c r="BB352" i="3"/>
  <c r="AX352" i="3"/>
  <c r="AW352" i="3"/>
  <c r="AV352" i="3"/>
  <c r="AC352" i="3"/>
  <c r="H352" i="3"/>
  <c r="G352" i="3" s="1"/>
  <c r="BT351" i="3"/>
  <c r="BS351" i="3"/>
  <c r="BL351" i="3" s="1"/>
  <c r="BR351" i="3"/>
  <c r="BQ351" i="3"/>
  <c r="BP351" i="3"/>
  <c r="BO351" i="3"/>
  <c r="BN351" i="3"/>
  <c r="BM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L347" i="3" s="1"/>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A346" i="3" s="1"/>
  <c r="BD346" i="3"/>
  <c r="BC346" i="3"/>
  <c r="BB346" i="3"/>
  <c r="AX346" i="3"/>
  <c r="AW346" i="3"/>
  <c r="AV346" i="3"/>
  <c r="AC346" i="3"/>
  <c r="H346" i="3"/>
  <c r="BT345" i="3"/>
  <c r="BS345" i="3"/>
  <c r="BR345" i="3"/>
  <c r="BQ345" i="3"/>
  <c r="BP345" i="3"/>
  <c r="BO345" i="3"/>
  <c r="BN345" i="3"/>
  <c r="BM345" i="3"/>
  <c r="BL345" i="3" s="1"/>
  <c r="AZ345" i="3" s="1"/>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L343" i="3" s="1"/>
  <c r="BK343" i="3"/>
  <c r="BJ343" i="3"/>
  <c r="BA343" i="3" s="1"/>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L341" i="3" s="1"/>
  <c r="BO341" i="3"/>
  <c r="BN341" i="3"/>
  <c r="BM341" i="3"/>
  <c r="BK341" i="3"/>
  <c r="BJ341" i="3"/>
  <c r="BI341" i="3"/>
  <c r="BH341" i="3"/>
  <c r="BA341" i="3" s="1"/>
  <c r="AZ341" i="3" s="1"/>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L338" i="3" s="1"/>
  <c r="BM338" i="3"/>
  <c r="BK338" i="3"/>
  <c r="BJ338" i="3"/>
  <c r="BI338" i="3"/>
  <c r="BH338" i="3"/>
  <c r="BG338" i="3"/>
  <c r="BF338" i="3"/>
  <c r="BE338" i="3"/>
  <c r="BD338" i="3"/>
  <c r="BA338" i="3" s="1"/>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A337" i="3" s="1"/>
  <c r="BC337" i="3"/>
  <c r="BB337" i="3"/>
  <c r="AX337" i="3"/>
  <c r="AW337" i="3"/>
  <c r="AV337" i="3"/>
  <c r="AC337" i="3"/>
  <c r="H337" i="3"/>
  <c r="BT336" i="3"/>
  <c r="BS336" i="3"/>
  <c r="BR336" i="3"/>
  <c r="BQ336" i="3"/>
  <c r="BP336" i="3"/>
  <c r="BO336" i="3"/>
  <c r="BN336" i="3"/>
  <c r="BM336" i="3"/>
  <c r="BL336" i="3" s="1"/>
  <c r="BK336" i="3"/>
  <c r="BJ336" i="3"/>
  <c r="BI336" i="3"/>
  <c r="BH336" i="3"/>
  <c r="BG336" i="3"/>
  <c r="BF336" i="3"/>
  <c r="BE336" i="3"/>
  <c r="BD336" i="3"/>
  <c r="BC336" i="3"/>
  <c r="BB336" i="3"/>
  <c r="BA336" i="3" s="1"/>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L334" i="3" s="1"/>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L331" i="3" s="1"/>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A330" i="3" s="1"/>
  <c r="BD330" i="3"/>
  <c r="BC330" i="3"/>
  <c r="BB330" i="3"/>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A329" i="3" s="1"/>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A328" i="3" s="1"/>
  <c r="BB328" i="3"/>
  <c r="AX328" i="3"/>
  <c r="AW328" i="3"/>
  <c r="AV328" i="3"/>
  <c r="AC328" i="3"/>
  <c r="H328" i="3"/>
  <c r="BT327" i="3"/>
  <c r="BS327" i="3"/>
  <c r="BR327" i="3"/>
  <c r="BQ327" i="3"/>
  <c r="BP327" i="3"/>
  <c r="BO327" i="3"/>
  <c r="BN327" i="3"/>
  <c r="BM327" i="3"/>
  <c r="BL327" i="3" s="1"/>
  <c r="BK327" i="3"/>
  <c r="BJ327" i="3"/>
  <c r="BA327" i="3" s="1"/>
  <c r="BI327" i="3"/>
  <c r="BH327" i="3"/>
  <c r="BG327" i="3"/>
  <c r="BF327" i="3"/>
  <c r="BE327" i="3"/>
  <c r="BD327" i="3"/>
  <c r="BC327" i="3"/>
  <c r="BB327" i="3"/>
  <c r="AX327" i="3"/>
  <c r="AW327" i="3"/>
  <c r="AV327" i="3"/>
  <c r="AC327" i="3"/>
  <c r="H327" i="3"/>
  <c r="BT326" i="3"/>
  <c r="BS326" i="3"/>
  <c r="BR326" i="3"/>
  <c r="BL326" i="3" s="1"/>
  <c r="BQ326" i="3"/>
  <c r="BP326" i="3"/>
  <c r="BO326" i="3"/>
  <c r="BN326" i="3"/>
  <c r="BM326" i="3"/>
  <c r="BK326" i="3"/>
  <c r="BJ326" i="3"/>
  <c r="BI326" i="3"/>
  <c r="BH326" i="3"/>
  <c r="BG326" i="3"/>
  <c r="BF326" i="3"/>
  <c r="BE326" i="3"/>
  <c r="BD326" i="3"/>
  <c r="BC326" i="3"/>
  <c r="BB326" i="3"/>
  <c r="BA326" i="3" s="1"/>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L323" i="3" s="1"/>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G322" i="3" s="1"/>
  <c r="BT321" i="3"/>
  <c r="BS321" i="3"/>
  <c r="BR321" i="3"/>
  <c r="BQ321" i="3"/>
  <c r="BP321" i="3"/>
  <c r="BO321" i="3"/>
  <c r="BN321" i="3"/>
  <c r="BM321" i="3"/>
  <c r="BK321" i="3"/>
  <c r="BJ321" i="3"/>
  <c r="BI321" i="3"/>
  <c r="BH321" i="3"/>
  <c r="BG321" i="3"/>
  <c r="BF321" i="3"/>
  <c r="BE321" i="3"/>
  <c r="BD321" i="3"/>
  <c r="BA321" i="3" s="1"/>
  <c r="BC321" i="3"/>
  <c r="BB321" i="3"/>
  <c r="AX321" i="3"/>
  <c r="AW321" i="3"/>
  <c r="AV321" i="3"/>
  <c r="AC321" i="3"/>
  <c r="H321" i="3"/>
  <c r="BT320" i="3"/>
  <c r="BS320" i="3"/>
  <c r="BR320" i="3"/>
  <c r="BQ320" i="3"/>
  <c r="BP320" i="3"/>
  <c r="BO320" i="3"/>
  <c r="BN320" i="3"/>
  <c r="BM320" i="3"/>
  <c r="BK320" i="3"/>
  <c r="BA320" i="3" s="1"/>
  <c r="AZ320" i="3" s="1"/>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G316" i="3" s="1"/>
  <c r="H316" i="3"/>
  <c r="BT315" i="3"/>
  <c r="BS315" i="3"/>
  <c r="BR315" i="3"/>
  <c r="BQ315" i="3"/>
  <c r="BP315" i="3"/>
  <c r="BO315" i="3"/>
  <c r="BL315" i="3" s="1"/>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A314" i="3" s="1"/>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A313" i="3" s="1"/>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A312" i="3" s="1"/>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A309" i="3" s="1"/>
  <c r="AZ309" i="3" s="1"/>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A308" i="3" s="1"/>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L306" i="3" s="1"/>
  <c r="BM306" i="3"/>
  <c r="BK306" i="3"/>
  <c r="BJ306" i="3"/>
  <c r="BI306" i="3"/>
  <c r="BH306" i="3"/>
  <c r="BG306" i="3"/>
  <c r="BF306" i="3"/>
  <c r="BE306" i="3"/>
  <c r="BD306" i="3"/>
  <c r="BA306" i="3" s="1"/>
  <c r="BC306" i="3"/>
  <c r="BB306" i="3"/>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L304" i="3" s="1"/>
  <c r="BK304" i="3"/>
  <c r="BJ304" i="3"/>
  <c r="BI304" i="3"/>
  <c r="BH304" i="3"/>
  <c r="BG304" i="3"/>
  <c r="BF304" i="3"/>
  <c r="BE304" i="3"/>
  <c r="BD304" i="3"/>
  <c r="BC304" i="3"/>
  <c r="BB304" i="3"/>
  <c r="AX304" i="3"/>
  <c r="AW304" i="3"/>
  <c r="AV304" i="3"/>
  <c r="AC304" i="3"/>
  <c r="H304" i="3"/>
  <c r="G304" i="3" s="1"/>
  <c r="BT303" i="3"/>
  <c r="BS303" i="3"/>
  <c r="BL303" i="3" s="1"/>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L490" i="3" s="1"/>
  <c r="BO490" i="3"/>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A448" i="3" s="1"/>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A419" i="3" s="1"/>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A407" i="3" s="1"/>
  <c r="BE407" i="3"/>
  <c r="BD407" i="3"/>
  <c r="BC407" i="3"/>
  <c r="BB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G400" i="3" s="1"/>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S26" i="31" s="1"/>
  <c r="R27" i="31"/>
  <c r="R28" i="31"/>
  <c r="R29" i="31"/>
  <c r="R30" i="31"/>
  <c r="R31" i="31"/>
  <c r="S31" i="31" s="1"/>
  <c r="R32" i="31"/>
  <c r="R33" i="31"/>
  <c r="R34" i="31"/>
  <c r="R35" i="31"/>
  <c r="R36" i="31"/>
  <c r="R37" i="31"/>
  <c r="R38" i="31"/>
  <c r="S38" i="31" s="1"/>
  <c r="R39" i="31"/>
  <c r="S39" i="31" s="1"/>
  <c r="R40" i="31"/>
  <c r="S40" i="31" s="1"/>
  <c r="R41" i="31"/>
  <c r="R42" i="31"/>
  <c r="S42" i="31" s="1"/>
  <c r="R43" i="31"/>
  <c r="S43" i="31" s="1"/>
  <c r="R44" i="31"/>
  <c r="S44" i="31" s="1"/>
  <c r="R45" i="31"/>
  <c r="R46" i="31"/>
  <c r="R47" i="31"/>
  <c r="S47" i="31" s="1"/>
  <c r="R48" i="31"/>
  <c r="S48" i="31" s="1"/>
  <c r="R49" i="31"/>
  <c r="R50" i="31"/>
  <c r="R51" i="31"/>
  <c r="R52" i="31"/>
  <c r="R53" i="31"/>
  <c r="R54" i="31"/>
  <c r="R55" i="31"/>
  <c r="S55" i="31" s="1"/>
  <c r="R56" i="31"/>
  <c r="R57" i="31"/>
  <c r="S57" i="31" s="1"/>
  <c r="R58" i="31"/>
  <c r="S58" i="31" s="1"/>
  <c r="R59" i="31"/>
  <c r="R60" i="31"/>
  <c r="R61" i="31"/>
  <c r="R62" i="31"/>
  <c r="R63" i="31"/>
  <c r="R64" i="31"/>
  <c r="R65" i="31"/>
  <c r="R66" i="31"/>
  <c r="R67" i="31"/>
  <c r="R68" i="31"/>
  <c r="R69" i="31"/>
  <c r="R70" i="31"/>
  <c r="S70" i="31" s="1"/>
  <c r="R71" i="31"/>
  <c r="S71" i="31" s="1"/>
  <c r="R72" i="31"/>
  <c r="R73" i="31"/>
  <c r="S73" i="31" s="1"/>
  <c r="R74" i="31"/>
  <c r="S74" i="31" s="1"/>
  <c r="R75" i="31"/>
  <c r="R76" i="31"/>
  <c r="R77" i="31"/>
  <c r="R78" i="31"/>
  <c r="R79" i="31"/>
  <c r="S79" i="31" s="1"/>
  <c r="R80" i="31"/>
  <c r="R81" i="31"/>
  <c r="S81" i="31" s="1"/>
  <c r="R82" i="31"/>
  <c r="R83" i="31"/>
  <c r="R84" i="31"/>
  <c r="R85" i="31"/>
  <c r="R86" i="31"/>
  <c r="S86" i="31" s="1"/>
  <c r="R87" i="31"/>
  <c r="S87" i="31" s="1"/>
  <c r="R88" i="31"/>
  <c r="R89" i="31"/>
  <c r="R90" i="31"/>
  <c r="R91" i="31"/>
  <c r="R92" i="31"/>
  <c r="R93" i="31"/>
  <c r="R94" i="31"/>
  <c r="R95" i="31"/>
  <c r="R96" i="31"/>
  <c r="S96" i="31" s="1"/>
  <c r="R97" i="31"/>
  <c r="R98" i="31"/>
  <c r="R99" i="31"/>
  <c r="R100" i="31"/>
  <c r="R101" i="31"/>
  <c r="R102" i="31"/>
  <c r="S102" i="31" s="1"/>
  <c r="R103" i="31"/>
  <c r="S103" i="31" s="1"/>
  <c r="R104" i="31"/>
  <c r="R105" i="31"/>
  <c r="R106" i="31"/>
  <c r="R107" i="31"/>
  <c r="R108" i="31"/>
  <c r="R109" i="31"/>
  <c r="R110" i="31"/>
  <c r="R111" i="31"/>
  <c r="S111" i="31" s="1"/>
  <c r="R112" i="31"/>
  <c r="S112" i="31" s="1"/>
  <c r="R113" i="31"/>
  <c r="R114" i="31"/>
  <c r="R115" i="31"/>
  <c r="R116" i="31"/>
  <c r="R117" i="31"/>
  <c r="R118" i="31"/>
  <c r="S118" i="31" s="1"/>
  <c r="R119" i="31"/>
  <c r="S119" i="31" s="1"/>
  <c r="R120" i="31"/>
  <c r="R121" i="31"/>
  <c r="R122" i="31"/>
  <c r="R123" i="31"/>
  <c r="R124" i="31"/>
  <c r="R125" i="31"/>
  <c r="R126" i="31"/>
  <c r="R127" i="31"/>
  <c r="R128" i="31"/>
  <c r="S128" i="31" s="1"/>
  <c r="R129" i="31"/>
  <c r="S129" i="31" s="1"/>
  <c r="R130" i="31"/>
  <c r="R131" i="31"/>
  <c r="R132" i="31"/>
  <c r="R133" i="31"/>
  <c r="R134" i="31"/>
  <c r="S134" i="31" s="1"/>
  <c r="R135" i="31"/>
  <c r="S135" i="31" s="1"/>
  <c r="R136" i="31"/>
  <c r="S136" i="31" s="1"/>
  <c r="R137" i="31"/>
  <c r="S137" i="31" s="1"/>
  <c r="R138" i="31"/>
  <c r="R139" i="31"/>
  <c r="R140" i="31"/>
  <c r="R141" i="31"/>
  <c r="R142" i="31"/>
  <c r="R143" i="31"/>
  <c r="R144" i="31"/>
  <c r="S144" i="31" s="1"/>
  <c r="R145" i="31"/>
  <c r="S145" i="31" s="1"/>
  <c r="R146" i="31"/>
  <c r="R147" i="31"/>
  <c r="R148" i="31"/>
  <c r="R149" i="31"/>
  <c r="R150" i="31"/>
  <c r="R151" i="31"/>
  <c r="R152" i="31"/>
  <c r="R153" i="31"/>
  <c r="R154" i="31"/>
  <c r="S154" i="31" s="1"/>
  <c r="R155" i="31"/>
  <c r="R156" i="31"/>
  <c r="R157" i="31"/>
  <c r="R158" i="31"/>
  <c r="R159" i="31"/>
  <c r="R160" i="31"/>
  <c r="S160" i="31" s="1"/>
  <c r="R161" i="31"/>
  <c r="S161" i="31" s="1"/>
  <c r="R162" i="31"/>
  <c r="R163" i="31"/>
  <c r="R164" i="31"/>
  <c r="R165" i="31"/>
  <c r="R166" i="31"/>
  <c r="R167" i="31"/>
  <c r="R168" i="31"/>
  <c r="R169" i="31"/>
  <c r="R170" i="31"/>
  <c r="R171" i="31"/>
  <c r="R172" i="31"/>
  <c r="R173" i="31"/>
  <c r="R174" i="31"/>
  <c r="R175" i="31"/>
  <c r="S175" i="31" s="1"/>
  <c r="R176" i="31"/>
  <c r="S176" i="31" s="1"/>
  <c r="R177" i="31"/>
  <c r="S177" i="31" s="1"/>
  <c r="R178" i="31"/>
  <c r="R179" i="31"/>
  <c r="R180" i="31"/>
  <c r="R181" i="31"/>
  <c r="R182" i="31"/>
  <c r="R183" i="31"/>
  <c r="S183" i="31" s="1"/>
  <c r="R184" i="31"/>
  <c r="R185" i="31"/>
  <c r="R186" i="31"/>
  <c r="R187" i="31"/>
  <c r="R188" i="31"/>
  <c r="R189" i="31"/>
  <c r="R190" i="31"/>
  <c r="R191" i="31"/>
  <c r="S191" i="31" s="1"/>
  <c r="R192" i="31"/>
  <c r="S192" i="31" s="1"/>
  <c r="R193" i="31"/>
  <c r="S193" i="31" s="1"/>
  <c r="R194" i="31"/>
  <c r="R195" i="31"/>
  <c r="R196" i="31"/>
  <c r="R197" i="31"/>
  <c r="R198" i="31"/>
  <c r="R199" i="31"/>
  <c r="S199" i="31" s="1"/>
  <c r="R200" i="31"/>
  <c r="R201" i="31"/>
  <c r="R202" i="31"/>
  <c r="R203" i="31"/>
  <c r="R204" i="31"/>
  <c r="R205" i="31"/>
  <c r="R206" i="31"/>
  <c r="R207" i="31"/>
  <c r="R208" i="31"/>
  <c r="S208" i="31" s="1"/>
  <c r="R209" i="31"/>
  <c r="S209" i="31" s="1"/>
  <c r="R210" i="31"/>
  <c r="R211" i="31"/>
  <c r="R212" i="31"/>
  <c r="R213" i="31"/>
  <c r="R214" i="31"/>
  <c r="S214" i="31" s="1"/>
  <c r="R215" i="31"/>
  <c r="S215" i="31" s="1"/>
  <c r="R216" i="31"/>
  <c r="R217" i="31"/>
  <c r="R218" i="31"/>
  <c r="S218" i="31" s="1"/>
  <c r="R219" i="31"/>
  <c r="R220" i="31"/>
  <c r="R221" i="31"/>
  <c r="R222" i="31"/>
  <c r="R223" i="31"/>
  <c r="S223" i="31" s="1"/>
  <c r="R224" i="31"/>
  <c r="S224" i="31" s="1"/>
  <c r="R225" i="31"/>
  <c r="R226" i="31"/>
  <c r="R227" i="31"/>
  <c r="R228" i="31"/>
  <c r="R229" i="31"/>
  <c r="R230" i="31"/>
  <c r="S230" i="31" s="1"/>
  <c r="R231" i="31"/>
  <c r="S231" i="31" s="1"/>
  <c r="R232" i="31"/>
  <c r="R233" i="31"/>
  <c r="R234" i="31"/>
  <c r="R235" i="31"/>
  <c r="S235" i="31" s="1"/>
  <c r="R236" i="31"/>
  <c r="S236" i="31" s="1"/>
  <c r="R237" i="31"/>
  <c r="R238" i="31"/>
  <c r="R239" i="31"/>
  <c r="R240" i="31"/>
  <c r="R241" i="31"/>
  <c r="S241" i="31" s="1"/>
  <c r="R242" i="31"/>
  <c r="R243" i="31"/>
  <c r="R244" i="31"/>
  <c r="R245" i="31"/>
  <c r="R246" i="31"/>
  <c r="S246" i="31" s="1"/>
  <c r="R247" i="31"/>
  <c r="S247" i="31" s="1"/>
  <c r="R248" i="31"/>
  <c r="R249" i="31"/>
  <c r="R250" i="31"/>
  <c r="R251" i="31"/>
  <c r="S251" i="31" s="1"/>
  <c r="R252" i="31"/>
  <c r="S252" i="31" s="1"/>
  <c r="R253" i="31"/>
  <c r="R254" i="31"/>
  <c r="R255" i="31"/>
  <c r="S255" i="31" s="1"/>
  <c r="R256" i="31"/>
  <c r="R257" i="31"/>
  <c r="S257" i="31" s="1"/>
  <c r="R258" i="31"/>
  <c r="R259" i="31"/>
  <c r="S259" i="31" s="1"/>
  <c r="R260" i="31"/>
  <c r="R261" i="31"/>
  <c r="S261" i="31" s="1"/>
  <c r="R262" i="31"/>
  <c r="R263" i="31"/>
  <c r="S263" i="31" s="1"/>
  <c r="R264" i="31"/>
  <c r="S264" i="31" s="1"/>
  <c r="R265" i="31"/>
  <c r="S265" i="31" s="1"/>
  <c r="R266" i="31"/>
  <c r="S266" i="31" s="1"/>
  <c r="R267" i="31"/>
  <c r="S267" i="31" s="1"/>
  <c r="R268" i="31"/>
  <c r="R269" i="31"/>
  <c r="S269" i="31" s="1"/>
  <c r="R270" i="31"/>
  <c r="R271" i="31"/>
  <c r="S271" i="31" s="1"/>
  <c r="R272" i="31"/>
  <c r="R273" i="31"/>
  <c r="S273" i="31" s="1"/>
  <c r="R274" i="31"/>
  <c r="R275" i="31"/>
  <c r="S275" i="31" s="1"/>
  <c r="R276" i="31"/>
  <c r="R277" i="31"/>
  <c r="S277" i="31" s="1"/>
  <c r="R278" i="31"/>
  <c r="S278" i="31" s="1"/>
  <c r="R279" i="31"/>
  <c r="S279" i="31" s="1"/>
  <c r="R280" i="31"/>
  <c r="S280" i="31" s="1"/>
  <c r="R281" i="31"/>
  <c r="S281" i="31" s="1"/>
  <c r="R282" i="31"/>
  <c r="S282" i="31" s="1"/>
  <c r="R283" i="31"/>
  <c r="S283" i="31" s="1"/>
  <c r="R284" i="31"/>
  <c r="R285" i="31"/>
  <c r="S285" i="31"/>
  <c r="R286" i="31"/>
  <c r="R287" i="31"/>
  <c r="S287" i="31" s="1"/>
  <c r="R288" i="31"/>
  <c r="S288" i="31" s="1"/>
  <c r="R289" i="31"/>
  <c r="S289" i="31" s="1"/>
  <c r="R290" i="31"/>
  <c r="R291" i="31"/>
  <c r="S291" i="31" s="1"/>
  <c r="R292" i="31"/>
  <c r="R293" i="31"/>
  <c r="S293" i="31"/>
  <c r="R294" i="3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R309" i="31"/>
  <c r="S309" i="31" s="1"/>
  <c r="R310" i="31"/>
  <c r="R311" i="31"/>
  <c r="S311" i="31" s="1"/>
  <c r="R312" i="31"/>
  <c r="S312" i="31" s="1"/>
  <c r="R313" i="31"/>
  <c r="S313" i="31" s="1"/>
  <c r="R314" i="31"/>
  <c r="S314" i="31" s="1"/>
  <c r="R315" i="31"/>
  <c r="S315" i="31" s="1"/>
  <c r="R316" i="31"/>
  <c r="R317" i="31"/>
  <c r="S317" i="31" s="1"/>
  <c r="R318" i="31"/>
  <c r="R319" i="31"/>
  <c r="S319" i="31" s="1"/>
  <c r="R320" i="31"/>
  <c r="R321" i="31"/>
  <c r="S321" i="31" s="1"/>
  <c r="R322" i="31"/>
  <c r="R323" i="31"/>
  <c r="S323" i="31" s="1"/>
  <c r="R324" i="31"/>
  <c r="S324" i="31" s="1"/>
  <c r="R325" i="31"/>
  <c r="S325" i="31" s="1"/>
  <c r="R326" i="31"/>
  <c r="R327" i="31"/>
  <c r="S327" i="31" s="1"/>
  <c r="R328" i="31"/>
  <c r="R329" i="31"/>
  <c r="S329" i="31" s="1"/>
  <c r="R330" i="31"/>
  <c r="R331" i="31"/>
  <c r="S331" i="31" s="1"/>
  <c r="R332" i="31"/>
  <c r="R333" i="31"/>
  <c r="S333" i="31" s="1"/>
  <c r="R334" i="31"/>
  <c r="S334" i="31" s="1"/>
  <c r="R335" i="31"/>
  <c r="S335" i="31" s="1"/>
  <c r="R336" i="31"/>
  <c r="R337" i="31"/>
  <c r="S337" i="31" s="1"/>
  <c r="R338" i="31"/>
  <c r="R339" i="31"/>
  <c r="S339" i="31" s="1"/>
  <c r="R340" i="31"/>
  <c r="S340" i="31" s="1"/>
  <c r="R341" i="31"/>
  <c r="S341" i="31" s="1"/>
  <c r="R342" i="31"/>
  <c r="S342" i="31" s="1"/>
  <c r="R343" i="31"/>
  <c r="S343" i="31" s="1"/>
  <c r="R344" i="31"/>
  <c r="S344" i="31" s="1"/>
  <c r="R345" i="31"/>
  <c r="S345" i="31" s="1"/>
  <c r="R346" i="31"/>
  <c r="R347" i="31"/>
  <c r="S347" i="31" s="1"/>
  <c r="R348" i="31"/>
  <c r="R349" i="31"/>
  <c r="S349" i="31" s="1"/>
  <c r="R350" i="31"/>
  <c r="R351" i="31"/>
  <c r="S351" i="31" s="1"/>
  <c r="R352" i="31"/>
  <c r="R353" i="31"/>
  <c r="S353" i="31" s="1"/>
  <c r="R354" i="31"/>
  <c r="R355" i="31"/>
  <c r="S355" i="31" s="1"/>
  <c r="R356" i="31"/>
  <c r="S356" i="31" s="1"/>
  <c r="R357" i="31"/>
  <c r="S357" i="31" s="1"/>
  <c r="R358" i="31"/>
  <c r="R359" i="31"/>
  <c r="S359" i="31" s="1"/>
  <c r="R360" i="31"/>
  <c r="R361" i="31"/>
  <c r="S361" i="31" s="1"/>
  <c r="R362" i="31"/>
  <c r="R363" i="31"/>
  <c r="S363" i="31"/>
  <c r="R364" i="31"/>
  <c r="S364" i="31" s="1"/>
  <c r="R365" i="31"/>
  <c r="S365" i="31" s="1"/>
  <c r="R366" i="31"/>
  <c r="S366" i="31" s="1"/>
  <c r="R367" i="31"/>
  <c r="S367" i="31" s="1"/>
  <c r="R368" i="31"/>
  <c r="R369" i="31"/>
  <c r="S369" i="31" s="1"/>
  <c r="R370" i="31"/>
  <c r="R371" i="31"/>
  <c r="S371" i="31" s="1"/>
  <c r="R372" i="31"/>
  <c r="S372" i="31" s="1"/>
  <c r="R373" i="31"/>
  <c r="S373" i="31" s="1"/>
  <c r="R374" i="31"/>
  <c r="S374" i="31" s="1"/>
  <c r="R375" i="31"/>
  <c r="S375" i="31" s="1"/>
  <c r="R376" i="31"/>
  <c r="S376" i="31" s="1"/>
  <c r="R377" i="31"/>
  <c r="S377" i="31" s="1"/>
  <c r="R378" i="31"/>
  <c r="R379" i="31"/>
  <c r="S379" i="31" s="1"/>
  <c r="R380" i="31"/>
  <c r="S380" i="31" s="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S404" i="31" s="1"/>
  <c r="R405" i="31"/>
  <c r="S405" i="31" s="1"/>
  <c r="R406" i="31"/>
  <c r="S406" i="31" s="1"/>
  <c r="R407" i="31"/>
  <c r="S407" i="31" s="1"/>
  <c r="R408" i="31"/>
  <c r="S408" i="31" s="1"/>
  <c r="R409" i="31"/>
  <c r="S409" i="31" s="1"/>
  <c r="R410" i="31"/>
  <c r="R411" i="31"/>
  <c r="S411" i="31" s="1"/>
  <c r="R412" i="31"/>
  <c r="S412" i="31" s="1"/>
  <c r="R413" i="31"/>
  <c r="S413" i="31" s="1"/>
  <c r="R414" i="31"/>
  <c r="R415" i="31"/>
  <c r="S415" i="31" s="1"/>
  <c r="R416" i="31"/>
  <c r="R417" i="31"/>
  <c r="S417" i="31" s="1"/>
  <c r="R418" i="31"/>
  <c r="R419" i="31"/>
  <c r="S419" i="31" s="1"/>
  <c r="R420" i="31"/>
  <c r="R421" i="31"/>
  <c r="S421" i="31" s="1"/>
  <c r="R422" i="31"/>
  <c r="R423" i="31"/>
  <c r="S423" i="31" s="1"/>
  <c r="R424" i="31"/>
  <c r="R425" i="31"/>
  <c r="R426" i="31"/>
  <c r="S426" i="31" s="1"/>
  <c r="R427" i="31"/>
  <c r="S427" i="31" s="1"/>
  <c r="R428" i="31"/>
  <c r="R429" i="31"/>
  <c r="R430" i="31"/>
  <c r="R431" i="31"/>
  <c r="R432" i="31"/>
  <c r="R433" i="31"/>
  <c r="R434" i="31"/>
  <c r="R435" i="31"/>
  <c r="S435" i="31" s="1"/>
  <c r="R436" i="31"/>
  <c r="R437" i="31"/>
  <c r="S437" i="31" s="1"/>
  <c r="R438" i="31"/>
  <c r="R439" i="31"/>
  <c r="R440" i="31"/>
  <c r="R441" i="31"/>
  <c r="R442" i="31"/>
  <c r="R443" i="31"/>
  <c r="R444" i="31"/>
  <c r="R445" i="31"/>
  <c r="S445" i="31" s="1"/>
  <c r="R446" i="31"/>
  <c r="S446" i="31" s="1"/>
  <c r="R447" i="31"/>
  <c r="R448" i="31"/>
  <c r="R449" i="31"/>
  <c r="R450" i="31"/>
  <c r="R451" i="31"/>
  <c r="R452" i="31"/>
  <c r="S452" i="31" s="1"/>
  <c r="R453" i="31"/>
  <c r="S453" i="31" s="1"/>
  <c r="R454" i="31"/>
  <c r="S454" i="31" s="1"/>
  <c r="R455" i="31"/>
  <c r="S455" i="31" s="1"/>
  <c r="R456" i="31"/>
  <c r="R457" i="31"/>
  <c r="R458" i="31"/>
  <c r="R459" i="31"/>
  <c r="R460" i="31"/>
  <c r="R461" i="31"/>
  <c r="R462" i="31"/>
  <c r="S462" i="31" s="1"/>
  <c r="R463" i="31"/>
  <c r="R464" i="31"/>
  <c r="R465" i="31"/>
  <c r="R466" i="31"/>
  <c r="R467" i="31"/>
  <c r="R468" i="31"/>
  <c r="S468" i="31" s="1"/>
  <c r="R469" i="31"/>
  <c r="R470" i="31"/>
  <c r="R471" i="31"/>
  <c r="S471" i="31" s="1"/>
  <c r="R472" i="31"/>
  <c r="S472" i="31" s="1"/>
  <c r="R473" i="31"/>
  <c r="R474" i="31"/>
  <c r="R475" i="31"/>
  <c r="R476" i="31"/>
  <c r="S476" i="31" s="1"/>
  <c r="R477" i="31"/>
  <c r="R478" i="31"/>
  <c r="S478" i="31" s="1"/>
  <c r="R479" i="31"/>
  <c r="R480" i="31"/>
  <c r="R481" i="31"/>
  <c r="R482" i="31"/>
  <c r="R483" i="31"/>
  <c r="R484" i="31"/>
  <c r="R485" i="31"/>
  <c r="R486" i="31"/>
  <c r="R487" i="31"/>
  <c r="S487" i="31" s="1"/>
  <c r="R488" i="31"/>
  <c r="S488" i="31" s="1"/>
  <c r="R489" i="31"/>
  <c r="R490" i="31"/>
  <c r="R491" i="31"/>
  <c r="R492" i="31"/>
  <c r="R493" i="31"/>
  <c r="S493" i="31" s="1"/>
  <c r="R494" i="31"/>
  <c r="S494" i="31" s="1"/>
  <c r="R495" i="31"/>
  <c r="R496" i="31"/>
  <c r="R497" i="31"/>
  <c r="R498" i="31"/>
  <c r="R499" i="31"/>
  <c r="R500" i="31"/>
  <c r="R501" i="31"/>
  <c r="R502" i="31"/>
  <c r="S502" i="31" s="1"/>
  <c r="R503" i="31"/>
  <c r="R504" i="31"/>
  <c r="S504" i="31" s="1"/>
  <c r="R505" i="31"/>
  <c r="R506" i="31"/>
  <c r="R507" i="31"/>
  <c r="R508" i="31"/>
  <c r="S508" i="31" s="1"/>
  <c r="R509" i="31"/>
  <c r="S509" i="31" s="1"/>
  <c r="R510" i="31"/>
  <c r="R511" i="31"/>
  <c r="R512" i="31"/>
  <c r="R513" i="31"/>
  <c r="R514" i="31"/>
  <c r="R515" i="31"/>
  <c r="R516" i="31"/>
  <c r="S516" i="31" s="1"/>
  <c r="R517" i="31"/>
  <c r="S517" i="31" s="1"/>
  <c r="R518" i="31"/>
  <c r="R519" i="31"/>
  <c r="R520" i="31"/>
  <c r="R521" i="31"/>
  <c r="R522" i="31"/>
  <c r="R523" i="31"/>
  <c r="R524" i="31"/>
  <c r="R25" i="31"/>
  <c r="S25"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R35" i="4"/>
  <c r="Q35" i="4"/>
  <c r="P35" i="4"/>
  <c r="O35" i="4"/>
  <c r="N35" i="4"/>
  <c r="M35" i="4"/>
  <c r="L35" i="4"/>
  <c r="K34" i="4"/>
  <c r="T34" i="4" s="1"/>
  <c r="G13" i="1"/>
  <c r="H15" i="4"/>
  <c r="G15" i="4"/>
  <c r="F12" i="1" s="1"/>
  <c r="G12" i="1" s="1"/>
  <c r="F15" i="4"/>
  <c r="F11" i="1" s="1"/>
  <c r="G11" i="1" s="1"/>
  <c r="D15" i="4"/>
  <c r="F7" i="1" s="1"/>
  <c r="G7" i="1" s="1"/>
  <c r="C15" i="4"/>
  <c r="L21" i="4"/>
  <c r="F19" i="4"/>
  <c r="F2" i="52"/>
  <c r="B50" i="72" s="1"/>
  <c r="D2" i="52"/>
  <c r="B46" i="72" s="1"/>
  <c r="B8" i="53"/>
  <c r="B23" i="72" s="1"/>
  <c r="L4" i="9"/>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F23" i="15"/>
  <c r="E22" i="6"/>
  <c r="E23" i="6"/>
  <c r="K10" i="1" s="1"/>
  <c r="M10" i="1" s="1"/>
  <c r="O10" i="1" s="1"/>
  <c r="P10" i="1" s="1"/>
  <c r="E24" i="6"/>
  <c r="E25" i="6"/>
  <c r="E26" i="6"/>
  <c r="BB13" i="3"/>
  <c r="BC13" i="3"/>
  <c r="BD13" i="3"/>
  <c r="BE13" i="3"/>
  <c r="BF13" i="3"/>
  <c r="BG13" i="3"/>
  <c r="BH13" i="3"/>
  <c r="BI13" i="3"/>
  <c r="BJ13" i="3"/>
  <c r="BK13" i="3"/>
  <c r="BB14" i="3"/>
  <c r="BA14" i="3" s="1"/>
  <c r="BC14" i="3"/>
  <c r="BD14" i="3"/>
  <c r="BE14" i="3"/>
  <c r="BF14" i="3"/>
  <c r="BG14" i="3"/>
  <c r="BH14" i="3"/>
  <c r="BI14" i="3"/>
  <c r="BJ14" i="3"/>
  <c r="BK14" i="3"/>
  <c r="BB15" i="3"/>
  <c r="BC15" i="3"/>
  <c r="BD15" i="3"/>
  <c r="BE15" i="3"/>
  <c r="BF15" i="3"/>
  <c r="BG15" i="3"/>
  <c r="BH15" i="3"/>
  <c r="BA15" i="3" s="1"/>
  <c r="BI15" i="3"/>
  <c r="BJ15" i="3"/>
  <c r="BK15" i="3"/>
  <c r="BB16" i="3"/>
  <c r="BA16" i="3" s="1"/>
  <c r="BC16" i="3"/>
  <c r="BD16" i="3"/>
  <c r="BE16" i="3"/>
  <c r="BF16" i="3"/>
  <c r="BG16" i="3"/>
  <c r="BH16" i="3"/>
  <c r="BI16" i="3"/>
  <c r="BJ16" i="3"/>
  <c r="BK16" i="3"/>
  <c r="BB17" i="3"/>
  <c r="BC17" i="3"/>
  <c r="BD17" i="3"/>
  <c r="BD5" i="3" s="1"/>
  <c r="BE17" i="3"/>
  <c r="BF17" i="3"/>
  <c r="BG17" i="3"/>
  <c r="BH17" i="3"/>
  <c r="BI17" i="3"/>
  <c r="BJ17" i="3"/>
  <c r="BK17" i="3"/>
  <c r="BC10" i="3"/>
  <c r="BD10" i="3"/>
  <c r="BB10" i="3"/>
  <c r="H13" i="3"/>
  <c r="AC13" i="3"/>
  <c r="H14" i="3"/>
  <c r="AC14" i="3"/>
  <c r="H15" i="3"/>
  <c r="AC15" i="3"/>
  <c r="G15" i="3" s="1"/>
  <c r="H16" i="3"/>
  <c r="H5" i="3" s="1"/>
  <c r="AC16" i="3"/>
  <c r="H17" i="3"/>
  <c r="AC17" i="3"/>
  <c r="AT5" i="3"/>
  <c r="I5" i="3"/>
  <c r="AD5" i="3"/>
  <c r="AH5" i="3"/>
  <c r="AL5" i="3"/>
  <c r="AP5" i="3"/>
  <c r="F35" i="11"/>
  <c r="F36" i="11"/>
  <c r="F38" i="11"/>
  <c r="E37" i="11"/>
  <c r="F20" i="11"/>
  <c r="F21" i="1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0" i="31"/>
  <c r="S402" i="31"/>
  <c r="S400" i="31"/>
  <c r="S398" i="31"/>
  <c r="S396" i="31"/>
  <c r="S394" i="31"/>
  <c r="S392" i="31"/>
  <c r="S390" i="31"/>
  <c r="S388" i="31"/>
  <c r="S386" i="31"/>
  <c r="S384" i="31"/>
  <c r="S382" i="31"/>
  <c r="S378" i="31"/>
  <c r="S370" i="31"/>
  <c r="S368" i="31"/>
  <c r="S362" i="31"/>
  <c r="S360" i="31"/>
  <c r="S358" i="31"/>
  <c r="S354" i="31"/>
  <c r="S352" i="31"/>
  <c r="S350" i="31"/>
  <c r="S348" i="31"/>
  <c r="S346" i="31"/>
  <c r="S338" i="31"/>
  <c r="S336" i="31"/>
  <c r="S332" i="31"/>
  <c r="S330" i="31"/>
  <c r="S328" i="31"/>
  <c r="S326" i="31"/>
  <c r="S322" i="31"/>
  <c r="S424" i="31"/>
  <c r="S320" i="31"/>
  <c r="S318" i="31"/>
  <c r="S316" i="31"/>
  <c r="S310" i="31"/>
  <c r="S308" i="31"/>
  <c r="S306" i="31"/>
  <c r="S304" i="31"/>
  <c r="S300" i="31"/>
  <c r="S298" i="31"/>
  <c r="S296" i="31"/>
  <c r="S294" i="31"/>
  <c r="S292" i="31"/>
  <c r="S290" i="31"/>
  <c r="S286" i="31"/>
  <c r="S284" i="31"/>
  <c r="S276" i="31"/>
  <c r="S274" i="31"/>
  <c r="S272" i="31"/>
  <c r="S270" i="31"/>
  <c r="S268" i="31"/>
  <c r="S262" i="31"/>
  <c r="S260" i="31"/>
  <c r="S258" i="31"/>
  <c r="S256" i="31"/>
  <c r="S254" i="31"/>
  <c r="S253" i="31"/>
  <c r="S250" i="31"/>
  <c r="S249" i="31"/>
  <c r="S248" i="31"/>
  <c r="S245" i="31"/>
  <c r="S244" i="31"/>
  <c r="S243" i="31"/>
  <c r="S242" i="31"/>
  <c r="S240" i="31"/>
  <c r="S239" i="31"/>
  <c r="S238" i="31"/>
  <c r="S237" i="31"/>
  <c r="S234" i="31"/>
  <c r="S233" i="31"/>
  <c r="S232" i="31"/>
  <c r="S229" i="31"/>
  <c r="S228" i="31"/>
  <c r="S227" i="31"/>
  <c r="S226" i="31"/>
  <c r="S225" i="31"/>
  <c r="S429" i="31"/>
  <c r="S428" i="31"/>
  <c r="S425" i="31"/>
  <c r="S222" i="31"/>
  <c r="S221" i="31"/>
  <c r="S220" i="31"/>
  <c r="S219" i="31"/>
  <c r="S217" i="31"/>
  <c r="S216" i="31"/>
  <c r="S213" i="31"/>
  <c r="S212" i="31"/>
  <c r="S211" i="31"/>
  <c r="S210" i="31"/>
  <c r="S207" i="31"/>
  <c r="S206" i="31"/>
  <c r="S205" i="31"/>
  <c r="S204" i="31"/>
  <c r="S203" i="31"/>
  <c r="S202" i="31"/>
  <c r="S201" i="31"/>
  <c r="S200" i="31"/>
  <c r="S198" i="31"/>
  <c r="S197" i="31"/>
  <c r="S196" i="31"/>
  <c r="S195" i="31"/>
  <c r="S194" i="31"/>
  <c r="S190" i="31"/>
  <c r="S189" i="31"/>
  <c r="S188" i="31"/>
  <c r="S187" i="31"/>
  <c r="S186" i="31"/>
  <c r="S185" i="31"/>
  <c r="S184" i="31"/>
  <c r="S182" i="31"/>
  <c r="S181" i="31"/>
  <c r="S180" i="31"/>
  <c r="S179" i="31"/>
  <c r="S178" i="31"/>
  <c r="S174" i="31"/>
  <c r="S173" i="31"/>
  <c r="S172" i="31"/>
  <c r="S171" i="31"/>
  <c r="S170" i="31"/>
  <c r="S169" i="31"/>
  <c r="S168" i="31"/>
  <c r="S167" i="31"/>
  <c r="S166" i="31"/>
  <c r="S165" i="31"/>
  <c r="S164" i="31"/>
  <c r="S163" i="31"/>
  <c r="S162" i="31"/>
  <c r="S159" i="31"/>
  <c r="S158" i="31"/>
  <c r="S157" i="31"/>
  <c r="S156" i="31"/>
  <c r="S155" i="31"/>
  <c r="S153" i="31"/>
  <c r="S152" i="31"/>
  <c r="S151" i="31"/>
  <c r="S150" i="31"/>
  <c r="S149" i="31"/>
  <c r="S148" i="31"/>
  <c r="S147" i="31"/>
  <c r="S146" i="31"/>
  <c r="S143" i="31"/>
  <c r="S142" i="31"/>
  <c r="S141" i="31"/>
  <c r="S140" i="31"/>
  <c r="S139" i="31"/>
  <c r="S138" i="31"/>
  <c r="S133" i="31"/>
  <c r="S132" i="31"/>
  <c r="S131" i="31"/>
  <c r="S130" i="31"/>
  <c r="S127" i="31"/>
  <c r="S126" i="31"/>
  <c r="S125" i="31"/>
  <c r="S124" i="31"/>
  <c r="S123" i="31"/>
  <c r="S497" i="31"/>
  <c r="S496" i="31"/>
  <c r="S495" i="31"/>
  <c r="S492" i="31"/>
  <c r="S491" i="31"/>
  <c r="S490" i="31"/>
  <c r="S489" i="31"/>
  <c r="S486" i="31"/>
  <c r="S485" i="31"/>
  <c r="S484" i="31"/>
  <c r="S483" i="31"/>
  <c r="S482" i="31"/>
  <c r="S481" i="31"/>
  <c r="S480" i="31"/>
  <c r="S479" i="31"/>
  <c r="S477" i="31"/>
  <c r="S475" i="31"/>
  <c r="S474" i="31"/>
  <c r="S473" i="31"/>
  <c r="S470" i="31"/>
  <c r="S469" i="31"/>
  <c r="S444" i="31"/>
  <c r="S443" i="31"/>
  <c r="S442" i="31"/>
  <c r="S441" i="31"/>
  <c r="S440" i="31"/>
  <c r="S439" i="31"/>
  <c r="S438" i="31"/>
  <c r="S436" i="31"/>
  <c r="S434" i="31"/>
  <c r="S433" i="31"/>
  <c r="S432" i="31"/>
  <c r="S431" i="31"/>
  <c r="S430" i="31"/>
  <c r="S122" i="31"/>
  <c r="S121" i="31"/>
  <c r="S120" i="31"/>
  <c r="S117" i="31"/>
  <c r="S116" i="31"/>
  <c r="S115" i="31"/>
  <c r="S114" i="31"/>
  <c r="S113" i="31"/>
  <c r="S506" i="31"/>
  <c r="S500" i="31"/>
  <c r="S498" i="31"/>
  <c r="S467" i="31"/>
  <c r="S466" i="31"/>
  <c r="S465" i="31"/>
  <c r="S464" i="31"/>
  <c r="S463" i="31"/>
  <c r="S461" i="31"/>
  <c r="S460" i="31"/>
  <c r="S459" i="31"/>
  <c r="S458" i="31"/>
  <c r="S457" i="31"/>
  <c r="S456" i="31"/>
  <c r="S451" i="31"/>
  <c r="S450" i="31"/>
  <c r="S54" i="31"/>
  <c r="S53" i="31"/>
  <c r="S52" i="31"/>
  <c r="S51" i="31"/>
  <c r="S50" i="31"/>
  <c r="S49" i="31"/>
  <c r="S46" i="31"/>
  <c r="S45" i="31"/>
  <c r="S41" i="31"/>
  <c r="S37" i="31"/>
  <c r="S36" i="31"/>
  <c r="S35" i="31"/>
  <c r="S34" i="31"/>
  <c r="S33" i="31"/>
  <c r="S32" i="31"/>
  <c r="S77" i="31"/>
  <c r="S76" i="31"/>
  <c r="S75" i="31"/>
  <c r="S72" i="31"/>
  <c r="S69" i="31"/>
  <c r="S68" i="31"/>
  <c r="S67" i="31"/>
  <c r="S66" i="31"/>
  <c r="S65" i="31"/>
  <c r="S64" i="31"/>
  <c r="S63" i="31"/>
  <c r="S62" i="31"/>
  <c r="S61" i="31"/>
  <c r="S60" i="31"/>
  <c r="S59" i="31"/>
  <c r="S56" i="31"/>
  <c r="S24" i="31"/>
  <c r="S97" i="31"/>
  <c r="S95" i="31"/>
  <c r="S94" i="31"/>
  <c r="S93" i="31"/>
  <c r="S92" i="31"/>
  <c r="S91" i="31"/>
  <c r="S90" i="31"/>
  <c r="S89" i="31"/>
  <c r="S88" i="31"/>
  <c r="S85" i="31"/>
  <c r="S84" i="31"/>
  <c r="S83" i="31"/>
  <c r="S82" i="31"/>
  <c r="S80" i="31"/>
  <c r="S78" i="31"/>
  <c r="S30" i="31"/>
  <c r="S29" i="31"/>
  <c r="S98" i="31"/>
  <c r="S99" i="31"/>
  <c r="S100" i="31"/>
  <c r="S101" i="31"/>
  <c r="S104" i="31"/>
  <c r="S105" i="31"/>
  <c r="S106" i="31"/>
  <c r="S107" i="31"/>
  <c r="S108" i="31"/>
  <c r="S109" i="31"/>
  <c r="S110" i="31"/>
  <c r="S447" i="31"/>
  <c r="S448" i="31"/>
  <c r="S449" i="31"/>
  <c r="S507"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A494" i="3" s="1"/>
  <c r="AZ494" i="3" s="1"/>
  <c r="BC494" i="3"/>
  <c r="BD494" i="3"/>
  <c r="BE494" i="3"/>
  <c r="BF494" i="3"/>
  <c r="BG494" i="3"/>
  <c r="BH494" i="3"/>
  <c r="BI494" i="3"/>
  <c r="BJ494" i="3"/>
  <c r="BK494" i="3"/>
  <c r="BM494" i="3"/>
  <c r="BN494" i="3"/>
  <c r="BO494" i="3"/>
  <c r="BP494" i="3"/>
  <c r="BL494" i="3" s="1"/>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A498" i="3" s="1"/>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L500" i="3" s="1"/>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A502" i="3" s="1"/>
  <c r="BD502" i="3"/>
  <c r="BE502" i="3"/>
  <c r="BF502" i="3"/>
  <c r="BG502" i="3"/>
  <c r="BH502" i="3"/>
  <c r="BI502" i="3"/>
  <c r="BJ502" i="3"/>
  <c r="BK502" i="3"/>
  <c r="BM502" i="3"/>
  <c r="BN502" i="3"/>
  <c r="BO502" i="3"/>
  <c r="BP502" i="3"/>
  <c r="BQ502" i="3"/>
  <c r="BL502" i="3" s="1"/>
  <c r="BR502" i="3"/>
  <c r="BS502" i="3"/>
  <c r="BT502" i="3"/>
  <c r="H503" i="3"/>
  <c r="AC503" i="3"/>
  <c r="BB503" i="3"/>
  <c r="BA503" i="3" s="1"/>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A504" i="3" s="1"/>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A505" i="3" s="1"/>
  <c r="BM505" i="3"/>
  <c r="BN505" i="3"/>
  <c r="BO505" i="3"/>
  <c r="BP505" i="3"/>
  <c r="BR505" i="3"/>
  <c r="BS505" i="3"/>
  <c r="BT505" i="3"/>
  <c r="H506" i="3"/>
  <c r="AC506" i="3"/>
  <c r="BB506" i="3"/>
  <c r="BA506" i="3" s="1"/>
  <c r="BC506" i="3"/>
  <c r="BD506" i="3"/>
  <c r="BE506" i="3"/>
  <c r="BF506" i="3"/>
  <c r="BG506" i="3"/>
  <c r="BH506" i="3"/>
  <c r="BI506" i="3"/>
  <c r="BJ506" i="3"/>
  <c r="BK506" i="3"/>
  <c r="BM506" i="3"/>
  <c r="BN506" i="3"/>
  <c r="BO506" i="3"/>
  <c r="BP506" i="3"/>
  <c r="BQ506" i="3"/>
  <c r="BR506" i="3"/>
  <c r="BS506" i="3"/>
  <c r="BL506" i="3" s="1"/>
  <c r="BT506" i="3"/>
  <c r="H507" i="3"/>
  <c r="AC507" i="3"/>
  <c r="G507" i="3" s="1"/>
  <c r="BB507" i="3"/>
  <c r="BC507" i="3"/>
  <c r="BD507" i="3"/>
  <c r="BA507" i="3" s="1"/>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A508" i="3" s="1"/>
  <c r="BM508" i="3"/>
  <c r="BN508" i="3"/>
  <c r="BO508" i="3"/>
  <c r="BP508" i="3"/>
  <c r="BQ508" i="3"/>
  <c r="BR508" i="3"/>
  <c r="BS508" i="3"/>
  <c r="BT508" i="3"/>
  <c r="H509" i="3"/>
  <c r="BB509" i="3"/>
  <c r="BC509" i="3"/>
  <c r="BD509" i="3"/>
  <c r="BE509" i="3"/>
  <c r="BF509" i="3"/>
  <c r="BG509" i="3"/>
  <c r="BH509" i="3"/>
  <c r="BA509" i="3" s="1"/>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A511" i="3" s="1"/>
  <c r="BH511" i="3"/>
  <c r="BI511" i="3"/>
  <c r="BJ511" i="3"/>
  <c r="BK511" i="3"/>
  <c r="BM511" i="3"/>
  <c r="BN511" i="3"/>
  <c r="BO511" i="3"/>
  <c r="BP511" i="3"/>
  <c r="BR511" i="3"/>
  <c r="BS511" i="3"/>
  <c r="BT511" i="3"/>
  <c r="H512" i="3"/>
  <c r="AC512" i="3"/>
  <c r="G512" i="3" s="1"/>
  <c r="BB512" i="3"/>
  <c r="BC512" i="3"/>
  <c r="BD512" i="3"/>
  <c r="BA512" i="3" s="1"/>
  <c r="BE512" i="3"/>
  <c r="BF512" i="3"/>
  <c r="BG512" i="3"/>
  <c r="BH512" i="3"/>
  <c r="BI512" i="3"/>
  <c r="BJ512" i="3"/>
  <c r="BK512" i="3"/>
  <c r="BM512" i="3"/>
  <c r="BN512" i="3"/>
  <c r="BO512" i="3"/>
  <c r="BL512" i="3" s="1"/>
  <c r="BP512" i="3"/>
  <c r="BQ512" i="3"/>
  <c r="BR512" i="3"/>
  <c r="BS512" i="3"/>
  <c r="BT512" i="3"/>
  <c r="H513" i="3"/>
  <c r="G513" i="3" s="1"/>
  <c r="AC513" i="3"/>
  <c r="BB513" i="3"/>
  <c r="BC513" i="3"/>
  <c r="BD513" i="3"/>
  <c r="BE513" i="3"/>
  <c r="BF513" i="3"/>
  <c r="BG513" i="3"/>
  <c r="BH513" i="3"/>
  <c r="BI513" i="3"/>
  <c r="BJ513" i="3"/>
  <c r="BK513" i="3"/>
  <c r="BM513" i="3"/>
  <c r="BN513" i="3"/>
  <c r="BL513" i="3" s="1"/>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A515" i="3" s="1"/>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L516" i="3" s="1"/>
  <c r="BR516" i="3"/>
  <c r="BS516" i="3"/>
  <c r="BT516" i="3"/>
  <c r="H517" i="3"/>
  <c r="AC517" i="3"/>
  <c r="BB517" i="3"/>
  <c r="BA517" i="3" s="1"/>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A522" i="3" s="1"/>
  <c r="BC522" i="3"/>
  <c r="BD522" i="3"/>
  <c r="BE522" i="3"/>
  <c r="BF522" i="3"/>
  <c r="BG522" i="3"/>
  <c r="BH522" i="3"/>
  <c r="BI522" i="3"/>
  <c r="BJ522" i="3"/>
  <c r="BK522" i="3"/>
  <c r="BM522" i="3"/>
  <c r="BL522" i="3" s="1"/>
  <c r="AZ522" i="3" s="1"/>
  <c r="BN522" i="3"/>
  <c r="BO522" i="3"/>
  <c r="BP522" i="3"/>
  <c r="BQ522" i="3"/>
  <c r="BR522" i="3"/>
  <c r="BS522" i="3"/>
  <c r="BT522" i="3"/>
  <c r="H523" i="3"/>
  <c r="AC523" i="3"/>
  <c r="BB523" i="3"/>
  <c r="BC523" i="3"/>
  <c r="BD523" i="3"/>
  <c r="BE523" i="3"/>
  <c r="BF523" i="3"/>
  <c r="BG523" i="3"/>
  <c r="BH523" i="3"/>
  <c r="BA523" i="3" s="1"/>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A526" i="3" s="1"/>
  <c r="BE526" i="3"/>
  <c r="BF526" i="3"/>
  <c r="BG526" i="3"/>
  <c r="BH526" i="3"/>
  <c r="BI526" i="3"/>
  <c r="BJ526" i="3"/>
  <c r="BK526" i="3"/>
  <c r="BM526" i="3"/>
  <c r="BN526" i="3"/>
  <c r="BO526" i="3"/>
  <c r="BL526" i="3" s="1"/>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L528" i="3" s="1"/>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A530" i="3" s="1"/>
  <c r="BD530" i="3"/>
  <c r="BE530" i="3"/>
  <c r="BF530" i="3"/>
  <c r="BG530" i="3"/>
  <c r="BH530" i="3"/>
  <c r="BI530" i="3"/>
  <c r="BJ530" i="3"/>
  <c r="BK530" i="3"/>
  <c r="BM530" i="3"/>
  <c r="BN530" i="3"/>
  <c r="BO530" i="3"/>
  <c r="BP530" i="3"/>
  <c r="BQ530" i="3"/>
  <c r="BR530" i="3"/>
  <c r="BS530" i="3"/>
  <c r="BT530" i="3"/>
  <c r="H531" i="3"/>
  <c r="AC531" i="3"/>
  <c r="BB531" i="3"/>
  <c r="BA531" i="3" s="1"/>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L532" i="3" s="1"/>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A535" i="3" s="1"/>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A537" i="3" s="1"/>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A538" i="3" s="1"/>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A540" i="3" s="1"/>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A541" i="3" s="1"/>
  <c r="BJ541" i="3"/>
  <c r="BK541" i="3"/>
  <c r="BM541" i="3"/>
  <c r="BN541" i="3"/>
  <c r="BO541" i="3"/>
  <c r="BP541" i="3"/>
  <c r="BL541" i="3" s="1"/>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A543" i="3" s="1"/>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L544" i="3" s="1"/>
  <c r="BT544" i="3"/>
  <c r="H545" i="3"/>
  <c r="AC545" i="3"/>
  <c r="G545" i="3" s="1"/>
  <c r="BB545" i="3"/>
  <c r="BC545" i="3"/>
  <c r="BD545" i="3"/>
  <c r="BE545" i="3"/>
  <c r="BF545" i="3"/>
  <c r="BG545" i="3"/>
  <c r="BH545" i="3"/>
  <c r="BI545" i="3"/>
  <c r="BJ545" i="3"/>
  <c r="BK545" i="3"/>
  <c r="BA545" i="3" s="1"/>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A549" i="3" s="1"/>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L551" i="3" s="1"/>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A554" i="3" s="1"/>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L555" i="3" s="1"/>
  <c r="BP555" i="3"/>
  <c r="BR555" i="3"/>
  <c r="BS555" i="3"/>
  <c r="BT555" i="3"/>
  <c r="H556" i="3"/>
  <c r="AC556" i="3"/>
  <c r="BB556" i="3"/>
  <c r="BC556" i="3"/>
  <c r="BD556" i="3"/>
  <c r="BE556" i="3"/>
  <c r="BF556" i="3"/>
  <c r="BG556" i="3"/>
  <c r="BH556" i="3"/>
  <c r="BI556" i="3"/>
  <c r="BJ556" i="3"/>
  <c r="BK556" i="3"/>
  <c r="BM556" i="3"/>
  <c r="BN556" i="3"/>
  <c r="BO556" i="3"/>
  <c r="BP556" i="3"/>
  <c r="BQ556" i="3"/>
  <c r="BR556" i="3"/>
  <c r="BL556" i="3" s="1"/>
  <c r="BS556" i="3"/>
  <c r="BT556" i="3"/>
  <c r="H557" i="3"/>
  <c r="BB557" i="3"/>
  <c r="BC557" i="3"/>
  <c r="BD557" i="3"/>
  <c r="BE557" i="3"/>
  <c r="BA557" i="3" s="1"/>
  <c r="AZ557" i="3" s="1"/>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L558" i="3" s="1"/>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A560" i="3" s="1"/>
  <c r="BM560" i="3"/>
  <c r="BN560" i="3"/>
  <c r="BO560" i="3"/>
  <c r="BL560" i="3" s="1"/>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A562" i="3" s="1"/>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A566" i="3" s="1"/>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L567" i="3" s="1"/>
  <c r="BR567" i="3"/>
  <c r="BS567" i="3"/>
  <c r="BT567" i="3"/>
  <c r="H568" i="3"/>
  <c r="AC568" i="3"/>
  <c r="BB568" i="3"/>
  <c r="BA568" i="3" s="1"/>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G572" i="3" s="1"/>
  <c r="AC572" i="3"/>
  <c r="BB572" i="3"/>
  <c r="BC572" i="3"/>
  <c r="BA572" i="3" s="1"/>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A574" i="3" s="1"/>
  <c r="AZ574" i="3" s="1"/>
  <c r="BC574" i="3"/>
  <c r="BD574" i="3"/>
  <c r="BE574" i="3"/>
  <c r="BF574" i="3"/>
  <c r="BG574" i="3"/>
  <c r="BH574" i="3"/>
  <c r="BI574" i="3"/>
  <c r="BJ574" i="3"/>
  <c r="BK574" i="3"/>
  <c r="BM574" i="3"/>
  <c r="BL574" i="3" s="1"/>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C578" i="3"/>
  <c r="BD578" i="3"/>
  <c r="BA578" i="3" s="1"/>
  <c r="BE578" i="3"/>
  <c r="BF578" i="3"/>
  <c r="BG578" i="3"/>
  <c r="BH578" i="3"/>
  <c r="BI578" i="3"/>
  <c r="BJ578" i="3"/>
  <c r="BK578" i="3"/>
  <c r="BM578" i="3"/>
  <c r="BN578" i="3"/>
  <c r="BO578" i="3"/>
  <c r="BL578" i="3" s="1"/>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A580" i="3" s="1"/>
  <c r="AZ580" i="3" s="1"/>
  <c r="BE580" i="3"/>
  <c r="BF580" i="3"/>
  <c r="BG580" i="3"/>
  <c r="BH580" i="3"/>
  <c r="BI580" i="3"/>
  <c r="BJ580" i="3"/>
  <c r="BK580" i="3"/>
  <c r="BM580" i="3"/>
  <c r="BN580" i="3"/>
  <c r="BO580" i="3"/>
  <c r="BP580" i="3"/>
  <c r="BQ580" i="3"/>
  <c r="BR580" i="3"/>
  <c r="BS580" i="3"/>
  <c r="BT580" i="3"/>
  <c r="H581" i="3"/>
  <c r="G581" i="3" s="1"/>
  <c r="AC581" i="3"/>
  <c r="BB581" i="3"/>
  <c r="BC581" i="3"/>
  <c r="BA581" i="3" s="1"/>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F36" i="39" s="1"/>
  <c r="S36" i="39" s="1"/>
  <c r="J30" i="36"/>
  <c r="AC30" i="36" s="1"/>
  <c r="H30" i="36"/>
  <c r="AB30" i="36" s="1"/>
  <c r="F30" i="36"/>
  <c r="AA30" i="36" s="1"/>
  <c r="C26" i="35"/>
  <c r="C79" i="35" s="1"/>
  <c r="J31" i="35"/>
  <c r="W31" i="35" s="1"/>
  <c r="H31" i="35"/>
  <c r="AB31" i="35" s="1"/>
  <c r="F31" i="35"/>
  <c r="D87" i="35"/>
  <c r="E87" i="35" s="1"/>
  <c r="F87" i="35" s="1"/>
  <c r="G87" i="35"/>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J42" i="34"/>
  <c r="F42" i="34"/>
  <c r="J38" i="34"/>
  <c r="W38" i="34"/>
  <c r="D114" i="34"/>
  <c r="F38" i="34"/>
  <c r="S38" i="34" s="1"/>
  <c r="D112" i="34"/>
  <c r="E112" i="34" s="1"/>
  <c r="F112" i="34" s="1"/>
  <c r="F40" i="33"/>
  <c r="AA40" i="33" s="1"/>
  <c r="J41" i="33"/>
  <c r="AC41" i="33" s="1"/>
  <c r="D113" i="33"/>
  <c r="F37" i="33"/>
  <c r="D111" i="33"/>
  <c r="E111" i="33"/>
  <c r="F111" i="33" s="1"/>
  <c r="S515" i="31"/>
  <c r="S518" i="31"/>
  <c r="S519" i="31"/>
  <c r="S520" i="31"/>
  <c r="S521" i="31"/>
  <c r="S522" i="31"/>
  <c r="S523" i="31"/>
  <c r="S524" i="31"/>
  <c r="F41" i="21"/>
  <c r="S41" i="21" s="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B116" i="40"/>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F88" i="40" s="1"/>
  <c r="G88" i="40" s="1"/>
  <c r="D86" i="40"/>
  <c r="E86" i="40" s="1"/>
  <c r="F86" i="40" s="1"/>
  <c r="G86" i="40" s="1"/>
  <c r="D84" i="40"/>
  <c r="E84" i="40" s="1"/>
  <c r="F84" i="40" s="1"/>
  <c r="G84" i="40"/>
  <c r="B81" i="40"/>
  <c r="B79" i="40"/>
  <c r="B77" i="40"/>
  <c r="F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s="1"/>
  <c r="Q34" i="40"/>
  <c r="Z34" i="40" s="1"/>
  <c r="J34" i="40"/>
  <c r="W34" i="40" s="1"/>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c r="J8" i="40"/>
  <c r="AC8" i="40" s="1"/>
  <c r="H8" i="40"/>
  <c r="AB8" i="40" s="1"/>
  <c r="F8" i="40"/>
  <c r="AA8" i="40" s="1"/>
  <c r="J38" i="39"/>
  <c r="W38" i="39" s="1"/>
  <c r="H38" i="39"/>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S34" i="39" s="1"/>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F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E96" i="39" s="1"/>
  <c r="F96" i="39" s="1"/>
  <c r="G96" i="39" s="1"/>
  <c r="J23" i="39"/>
  <c r="AC23" i="39" s="1"/>
  <c r="D94" i="39"/>
  <c r="E94" i="39" s="1"/>
  <c r="F94" i="39" s="1"/>
  <c r="D92" i="39"/>
  <c r="E92" i="39" s="1"/>
  <c r="F92" i="39" s="1"/>
  <c r="G92" i="39" s="1"/>
  <c r="D90" i="39"/>
  <c r="E90" i="39"/>
  <c r="F90" i="39" s="1"/>
  <c r="G90" i="39" s="1"/>
  <c r="D88" i="39"/>
  <c r="E88" i="39" s="1"/>
  <c r="F88" i="39" s="1"/>
  <c r="G88" i="39" s="1"/>
  <c r="B85" i="39"/>
  <c r="F14" i="39" s="1"/>
  <c r="B83" i="39"/>
  <c r="B81" i="39"/>
  <c r="J12" i="39"/>
  <c r="M78" i="39"/>
  <c r="L78" i="39"/>
  <c r="K78" i="39"/>
  <c r="J78" i="39"/>
  <c r="I78" i="39"/>
  <c r="H78" i="39"/>
  <c r="G78" i="39"/>
  <c r="F78" i="39"/>
  <c r="E78" i="39"/>
  <c r="D78" i="39"/>
  <c r="C78" i="39"/>
  <c r="P48" i="39"/>
  <c r="P47" i="39"/>
  <c r="V46" i="39"/>
  <c r="T46" i="39"/>
  <c r="R46" i="39"/>
  <c r="P46" i="39"/>
  <c r="F44"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J8" i="39"/>
  <c r="H8" i="39"/>
  <c r="U8" i="39" s="1"/>
  <c r="F8" i="39"/>
  <c r="AA8" i="39" s="1"/>
  <c r="C20" i="36"/>
  <c r="C20" i="35"/>
  <c r="C16" i="36"/>
  <c r="C16" i="35"/>
  <c r="C14" i="36"/>
  <c r="C14" i="35"/>
  <c r="B80" i="37"/>
  <c r="F25" i="37" s="1"/>
  <c r="B110" i="37"/>
  <c r="J39" i="37" s="1"/>
  <c r="AC39" i="37" s="1"/>
  <c r="B108" i="37"/>
  <c r="C23" i="37"/>
  <c r="C19" i="37"/>
  <c r="C17" i="37"/>
  <c r="C15" i="37"/>
  <c r="B112" i="37"/>
  <c r="J40" i="37" s="1"/>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F28" i="37" s="1"/>
  <c r="B84" i="37"/>
  <c r="B82" i="37"/>
  <c r="D79" i="37"/>
  <c r="E79" i="37" s="1"/>
  <c r="D75" i="37"/>
  <c r="E75" i="37"/>
  <c r="F75" i="37" s="1"/>
  <c r="D73" i="37"/>
  <c r="E73" i="37" s="1"/>
  <c r="F73" i="37"/>
  <c r="G73" i="37" s="1"/>
  <c r="D71" i="37"/>
  <c r="E71" i="37" s="1"/>
  <c r="F71" i="37" s="1"/>
  <c r="G71" i="37" s="1"/>
  <c r="H15" i="37"/>
  <c r="AB15" i="37" s="1"/>
  <c r="B68" i="37"/>
  <c r="J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Q28" i="37"/>
  <c r="Z28" i="37" s="1"/>
  <c r="Q27" i="37"/>
  <c r="Z27" i="37" s="1"/>
  <c r="Q26" i="37"/>
  <c r="Z26" i="37"/>
  <c r="H26" i="37"/>
  <c r="AB26" i="37" s="1"/>
  <c r="Q25" i="37"/>
  <c r="Z25" i="37"/>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s="1"/>
  <c r="J16" i="36"/>
  <c r="W16" i="36" s="1"/>
  <c r="D62" i="36"/>
  <c r="E62" i="36" s="1"/>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c r="Q26" i="36"/>
  <c r="Z26" i="36" s="1"/>
  <c r="H26" i="36"/>
  <c r="AB26" i="36" s="1"/>
  <c r="Q25" i="36"/>
  <c r="Z25" i="36" s="1"/>
  <c r="Q24" i="36"/>
  <c r="Z24" i="36"/>
  <c r="Q23" i="36"/>
  <c r="Z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J22" i="35"/>
  <c r="B101" i="35"/>
  <c r="F36" i="35" s="1"/>
  <c r="B99" i="35"/>
  <c r="H35" i="35" s="1"/>
  <c r="B97" i="35"/>
  <c r="B77" i="35"/>
  <c r="B75" i="35"/>
  <c r="B73" i="35"/>
  <c r="B57" i="35"/>
  <c r="J11" i="35" s="1"/>
  <c r="W11" i="35" s="1"/>
  <c r="B61" i="35"/>
  <c r="B59" i="35"/>
  <c r="F12" i="35" s="1"/>
  <c r="B131" i="34"/>
  <c r="H47" i="34" s="1"/>
  <c r="U47" i="34" s="1"/>
  <c r="B129" i="34"/>
  <c r="B127" i="34"/>
  <c r="B99" i="34"/>
  <c r="B97" i="34"/>
  <c r="B95" i="34"/>
  <c r="B93" i="34"/>
  <c r="B75" i="34"/>
  <c r="B73" i="34"/>
  <c r="H13" i="34" s="1"/>
  <c r="U13" i="34" s="1"/>
  <c r="B71" i="34"/>
  <c r="B130" i="33"/>
  <c r="B128" i="33"/>
  <c r="J45" i="33" s="1"/>
  <c r="B126" i="33"/>
  <c r="B98" i="33"/>
  <c r="H31" i="33" s="1"/>
  <c r="B96" i="33"/>
  <c r="B94" i="33"/>
  <c r="H29" i="33" s="1"/>
  <c r="B74" i="33"/>
  <c r="H14" i="33" s="1"/>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P39" i="35"/>
  <c r="P38" i="35"/>
  <c r="V37" i="35"/>
  <c r="T37" i="35"/>
  <c r="R37" i="35"/>
  <c r="P37" i="35"/>
  <c r="Q36" i="35"/>
  <c r="Z36" i="35"/>
  <c r="Q35" i="35"/>
  <c r="Z35" i="35" s="1"/>
  <c r="Q34" i="35"/>
  <c r="Z34" i="35" s="1"/>
  <c r="H34" i="35"/>
  <c r="AB34" i="35" s="1"/>
  <c r="Q33" i="35"/>
  <c r="Z33" i="35"/>
  <c r="Q32" i="35"/>
  <c r="Z32" i="35"/>
  <c r="H32" i="35"/>
  <c r="AB32" i="35" s="1"/>
  <c r="F32" i="35"/>
  <c r="AA32" i="35" s="1"/>
  <c r="Q31" i="35"/>
  <c r="Z31" i="35"/>
  <c r="Q30" i="35"/>
  <c r="Z30" i="35" s="1"/>
  <c r="Q29" i="35"/>
  <c r="Z29" i="35" s="1"/>
  <c r="Q28" i="35"/>
  <c r="Z28" i="35"/>
  <c r="J28" i="35"/>
  <c r="H28" i="35"/>
  <c r="AB28" i="35" s="1"/>
  <c r="F28" i="35"/>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D124" i="34"/>
  <c r="D118" i="34"/>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D80" i="34"/>
  <c r="E80" i="34" s="1"/>
  <c r="F80" i="34" s="1"/>
  <c r="G80" i="34" s="1"/>
  <c r="D78" i="34"/>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s="1"/>
  <c r="Q12" i="34"/>
  <c r="Z12" i="34" s="1"/>
  <c r="Q11" i="34"/>
  <c r="Z11" i="34" s="1"/>
  <c r="Q10" i="34"/>
  <c r="Z10" i="34" s="1"/>
  <c r="F10" i="34"/>
  <c r="AA10" i="34" s="1"/>
  <c r="Q9" i="34"/>
  <c r="Z9" i="34"/>
  <c r="H9" i="34"/>
  <c r="AB9" i="34" s="1"/>
  <c r="J8" i="34"/>
  <c r="AC8" i="34" s="1"/>
  <c r="H8" i="34"/>
  <c r="U8" i="34" s="1"/>
  <c r="F8" i="34"/>
  <c r="S8" i="34" s="1"/>
  <c r="D121" i="33"/>
  <c r="E121" i="33" s="1"/>
  <c r="F121" i="33" s="1"/>
  <c r="G121" i="33" s="1"/>
  <c r="H121" i="33" s="1"/>
  <c r="I121" i="33" s="1"/>
  <c r="J121" i="33" s="1"/>
  <c r="K121" i="33" s="1"/>
  <c r="L121" i="33" s="1"/>
  <c r="M121" i="33" s="1"/>
  <c r="F109" i="33"/>
  <c r="E109" i="33"/>
  <c r="D109" i="33"/>
  <c r="C109" i="33"/>
  <c r="D91" i="33"/>
  <c r="E91" i="33" s="1"/>
  <c r="B88" i="33"/>
  <c r="J26" i="33" s="1"/>
  <c r="AC26" i="33" s="1"/>
  <c r="C23" i="33"/>
  <c r="C19" i="33"/>
  <c r="C17" i="33"/>
  <c r="C15" i="33"/>
  <c r="C15" i="21"/>
  <c r="D125" i="33"/>
  <c r="E125" i="33" s="1"/>
  <c r="F125" i="33" s="1"/>
  <c r="G125" i="33" s="1"/>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U40" i="33" s="1"/>
  <c r="AB40" i="33"/>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s="1"/>
  <c r="F15" i="33"/>
  <c r="AA15" i="33" s="1"/>
  <c r="Q14" i="33"/>
  <c r="Z14" i="33" s="1"/>
  <c r="Q13" i="33"/>
  <c r="Z13" i="33" s="1"/>
  <c r="Q12" i="33"/>
  <c r="Z12" i="33" s="1"/>
  <c r="Q11" i="33"/>
  <c r="Z11" i="33" s="1"/>
  <c r="Q10" i="33"/>
  <c r="Z10" i="33" s="1"/>
  <c r="Q9" i="33"/>
  <c r="Z9" i="33" s="1"/>
  <c r="J8" i="33"/>
  <c r="H8" i="33"/>
  <c r="AB8" i="33" s="1"/>
  <c r="F8" i="33"/>
  <c r="AA8" i="33" s="1"/>
  <c r="M102" i="21"/>
  <c r="D102" i="21"/>
  <c r="E102" i="21"/>
  <c r="F102" i="21"/>
  <c r="G102" i="21"/>
  <c r="H102" i="21"/>
  <c r="I102" i="21"/>
  <c r="J102" i="21"/>
  <c r="K102" i="21"/>
  <c r="L102" i="21"/>
  <c r="C102" i="21"/>
  <c r="C63" i="21"/>
  <c r="F9" i="21" s="1"/>
  <c r="G18" i="20"/>
  <c r="B90" i="43" s="1"/>
  <c r="G19" i="20"/>
  <c r="B87" i="43" s="1"/>
  <c r="G16" i="20"/>
  <c r="G15" i="20"/>
  <c r="B83" i="43" s="1"/>
  <c r="C24" i="20"/>
  <c r="C21" i="20"/>
  <c r="B99" i="43" s="1"/>
  <c r="C20" i="20"/>
  <c r="C25" i="39"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E119" i="21" s="1"/>
  <c r="F119" i="21" s="1"/>
  <c r="G119" i="21" s="1"/>
  <c r="H119" i="21" s="1"/>
  <c r="I119" i="21" s="1"/>
  <c r="J119" i="21" s="1"/>
  <c r="K119" i="21" s="1"/>
  <c r="L119" i="21" s="1"/>
  <c r="M119" i="21" s="1"/>
  <c r="F40" i="21"/>
  <c r="AA40" i="21"/>
  <c r="D117" i="21"/>
  <c r="E117" i="21" s="1"/>
  <c r="F117" i="21" s="1"/>
  <c r="G117" i="21" s="1"/>
  <c r="D115" i="21"/>
  <c r="E115" i="21"/>
  <c r="F115" i="21" s="1"/>
  <c r="G115" i="21" s="1"/>
  <c r="H115" i="21" s="1"/>
  <c r="I115" i="21" s="1"/>
  <c r="J115" i="21" s="1"/>
  <c r="K115" i="21" s="1"/>
  <c r="L115" i="21" s="1"/>
  <c r="M115" i="21" s="1"/>
  <c r="D113" i="21"/>
  <c r="E113" i="21"/>
  <c r="F113" i="21" s="1"/>
  <c r="G113" i="2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F81" i="21"/>
  <c r="G81" i="21" s="1"/>
  <c r="D77" i="21"/>
  <c r="E77" i="21" s="1"/>
  <c r="B130" i="21"/>
  <c r="B128" i="21"/>
  <c r="B126" i="21"/>
  <c r="J44" i="21" s="1"/>
  <c r="AC44" i="21" s="1"/>
  <c r="B98" i="21"/>
  <c r="B96" i="21"/>
  <c r="B94" i="21"/>
  <c r="H29" i="21" s="1"/>
  <c r="U29" i="21" s="1"/>
  <c r="J29" i="21"/>
  <c r="AC29" i="21" s="1"/>
  <c r="B92" i="21"/>
  <c r="B90" i="21"/>
  <c r="F27" i="21" s="1"/>
  <c r="AA27" i="21" s="1"/>
  <c r="J27" i="21"/>
  <c r="W27" i="21" s="1"/>
  <c r="B74" i="21"/>
  <c r="B72" i="21"/>
  <c r="H13" i="21"/>
  <c r="B70" i="21"/>
  <c r="F12" i="21" s="1"/>
  <c r="C19" i="21"/>
  <c r="C17" i="21"/>
  <c r="C23" i="21"/>
  <c r="Q9" i="21"/>
  <c r="Z9" i="21" s="1"/>
  <c r="Q10" i="21"/>
  <c r="Z10" i="21"/>
  <c r="Q11" i="21"/>
  <c r="Z11" i="21" s="1"/>
  <c r="Q12" i="21"/>
  <c r="Z12" i="21" s="1"/>
  <c r="Q13" i="21"/>
  <c r="Z13" i="21" s="1"/>
  <c r="Q14" i="21"/>
  <c r="Z14" i="21" s="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s="1"/>
  <c r="Q33" i="21"/>
  <c r="Z33" i="21" s="1"/>
  <c r="Q34" i="21"/>
  <c r="Z34" i="2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A585" i="3" s="1"/>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A587" i="3" s="1"/>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s="1"/>
  <c r="F43" i="21"/>
  <c r="H38" i="21"/>
  <c r="U38" i="21"/>
  <c r="H43" i="21"/>
  <c r="AB43" i="21" s="1"/>
  <c r="F38" i="21"/>
  <c r="S38" i="21" s="1"/>
  <c r="F36" i="21"/>
  <c r="F39" i="21"/>
  <c r="AA39" i="21"/>
  <c r="J40" i="21"/>
  <c r="W40" i="21" s="1"/>
  <c r="H35" i="21"/>
  <c r="AB35" i="21" s="1"/>
  <c r="J8" i="21"/>
  <c r="AC8" i="21" s="1"/>
  <c r="H8" i="21"/>
  <c r="U8" i="21" s="1"/>
  <c r="H10" i="21"/>
  <c r="AB10" i="21" s="1"/>
  <c r="H39" i="21"/>
  <c r="U39" i="21" s="1"/>
  <c r="J34" i="21"/>
  <c r="W34" i="21"/>
  <c r="H36" i="21"/>
  <c r="U36" i="21"/>
  <c r="F35" i="21"/>
  <c r="AA35" i="21" s="1"/>
  <c r="J10" i="21"/>
  <c r="AC10" i="21" s="1"/>
  <c r="H26" i="21"/>
  <c r="AB26" i="21" s="1"/>
  <c r="AB19" i="21"/>
  <c r="J19" i="21"/>
  <c r="W19" i="21" s="1"/>
  <c r="J26" i="21"/>
  <c r="W26" i="21" s="1"/>
  <c r="F26" i="21"/>
  <c r="S26" i="21" s="1"/>
  <c r="J45" i="39"/>
  <c r="W45" i="39" s="1"/>
  <c r="J44" i="39"/>
  <c r="AC44" i="39"/>
  <c r="H36" i="39"/>
  <c r="J36" i="39"/>
  <c r="AC36" i="39" s="1"/>
  <c r="U30" i="37"/>
  <c r="W31" i="37"/>
  <c r="E103" i="37"/>
  <c r="F103" i="37" s="1"/>
  <c r="G103" i="37" s="1"/>
  <c r="H103" i="37" s="1"/>
  <c r="I103" i="37" s="1"/>
  <c r="J103" i="37" s="1"/>
  <c r="K103" i="37" s="1"/>
  <c r="L103" i="37" s="1"/>
  <c r="M103" i="37" s="1"/>
  <c r="F39" i="37"/>
  <c r="S39" i="37" s="1"/>
  <c r="F29" i="36"/>
  <c r="AA29" i="36" s="1"/>
  <c r="F16" i="36"/>
  <c r="J33" i="36"/>
  <c r="AC33" i="36" s="1"/>
  <c r="H22" i="35"/>
  <c r="AB22" i="35" s="1"/>
  <c r="U31" i="35"/>
  <c r="F36" i="34"/>
  <c r="S36" i="34" s="1"/>
  <c r="J35" i="34"/>
  <c r="AC35" i="34" s="1"/>
  <c r="H39" i="33"/>
  <c r="AB39" i="33" s="1"/>
  <c r="F26" i="33"/>
  <c r="AA26" i="33"/>
  <c r="U33" i="33"/>
  <c r="S40" i="33"/>
  <c r="H39" i="37"/>
  <c r="AB39" i="37" s="1"/>
  <c r="F11" i="40"/>
  <c r="AA11" i="40" s="1"/>
  <c r="H11" i="40"/>
  <c r="AB11" i="40"/>
  <c r="W8" i="40"/>
  <c r="AA9" i="40"/>
  <c r="U38" i="40"/>
  <c r="U34" i="40"/>
  <c r="F42" i="39"/>
  <c r="AA42" i="39" s="1"/>
  <c r="F41" i="39"/>
  <c r="S41" i="39" s="1"/>
  <c r="H40" i="39"/>
  <c r="AB40" i="39" s="1"/>
  <c r="H39" i="39"/>
  <c r="U39" i="39" s="1"/>
  <c r="H34" i="39"/>
  <c r="U34" i="39" s="1"/>
  <c r="E108" i="39"/>
  <c r="F108" i="39" s="1"/>
  <c r="G108" i="39" s="1"/>
  <c r="H108" i="39" s="1"/>
  <c r="I108" i="39" s="1"/>
  <c r="J108" i="39" s="1"/>
  <c r="K108" i="39" s="1"/>
  <c r="L108" i="39" s="1"/>
  <c r="M108" i="39" s="1"/>
  <c r="F31" i="39"/>
  <c r="E100" i="39"/>
  <c r="F100" i="39" s="1"/>
  <c r="G100" i="39" s="1"/>
  <c r="H19" i="39"/>
  <c r="AB19" i="39" s="1"/>
  <c r="F19" i="39"/>
  <c r="H17" i="39"/>
  <c r="AB17" i="39" s="1"/>
  <c r="F17" i="39"/>
  <c r="J23" i="40"/>
  <c r="AC23" i="40"/>
  <c r="F21" i="40"/>
  <c r="AA21" i="40" s="1"/>
  <c r="J21" i="40"/>
  <c r="AC21" i="40" s="1"/>
  <c r="W21" i="40"/>
  <c r="H42" i="39"/>
  <c r="AB42" i="39" s="1"/>
  <c r="J34" i="39"/>
  <c r="AC34" i="39" s="1"/>
  <c r="H27" i="39"/>
  <c r="U27" i="39" s="1"/>
  <c r="J19" i="39"/>
  <c r="AC19" i="39" s="1"/>
  <c r="J17" i="39"/>
  <c r="AC17" i="39" s="1"/>
  <c r="J27" i="39"/>
  <c r="AC27" i="39" s="1"/>
  <c r="F27" i="39"/>
  <c r="F11" i="21"/>
  <c r="S11" i="21" s="1"/>
  <c r="S40" i="21"/>
  <c r="U34" i="21"/>
  <c r="H11" i="39"/>
  <c r="S40" i="39"/>
  <c r="C15" i="39"/>
  <c r="H32" i="33"/>
  <c r="AB32" i="33"/>
  <c r="H11" i="21"/>
  <c r="U11" i="21" s="1"/>
  <c r="J11" i="21"/>
  <c r="W11" i="21" s="1"/>
  <c r="H37" i="40"/>
  <c r="U37" i="40" s="1"/>
  <c r="H36" i="40"/>
  <c r="AB36" i="40" s="1"/>
  <c r="F35" i="40"/>
  <c r="AA35" i="40"/>
  <c r="H23" i="40"/>
  <c r="AB23" i="40" s="1"/>
  <c r="H17" i="40"/>
  <c r="U17" i="40" s="1"/>
  <c r="J15" i="40"/>
  <c r="W15" i="40" s="1"/>
  <c r="J11" i="40"/>
  <c r="W11" i="40" s="1"/>
  <c r="W32" i="40"/>
  <c r="U30" i="36"/>
  <c r="J30" i="35"/>
  <c r="W30" i="35" s="1"/>
  <c r="H30" i="35"/>
  <c r="AB30" i="35" s="1"/>
  <c r="F22" i="35"/>
  <c r="AA22" i="35" s="1"/>
  <c r="H10" i="35"/>
  <c r="U10" i="35" s="1"/>
  <c r="F33" i="36"/>
  <c r="AA33" i="36" s="1"/>
  <c r="W30" i="36"/>
  <c r="H16" i="36"/>
  <c r="U16" i="36" s="1"/>
  <c r="AB16" i="36"/>
  <c r="E85" i="36"/>
  <c r="F85" i="36" s="1"/>
  <c r="G85" i="36" s="1"/>
  <c r="H85" i="36" s="1"/>
  <c r="I85" i="36" s="1"/>
  <c r="J85" i="36" s="1"/>
  <c r="K85" i="36" s="1"/>
  <c r="L85" i="36" s="1"/>
  <c r="M85" i="36" s="1"/>
  <c r="J29" i="36"/>
  <c r="AC29" i="36" s="1"/>
  <c r="F12" i="36"/>
  <c r="F24" i="36"/>
  <c r="S24" i="36" s="1"/>
  <c r="AA24" i="36"/>
  <c r="F14" i="35"/>
  <c r="AA14" i="35" s="1"/>
  <c r="J32" i="35"/>
  <c r="AC32" i="35" s="1"/>
  <c r="J16" i="35"/>
  <c r="AC16" i="35" s="1"/>
  <c r="H16" i="35"/>
  <c r="U16" i="35" s="1"/>
  <c r="F16" i="35"/>
  <c r="S16" i="35" s="1"/>
  <c r="H14" i="35"/>
  <c r="AB14" i="35" s="1"/>
  <c r="J29" i="35"/>
  <c r="AC29" i="35" s="1"/>
  <c r="H33" i="35"/>
  <c r="J20" i="35"/>
  <c r="W20" i="35" s="1"/>
  <c r="F35" i="37"/>
  <c r="S35" i="37" s="1"/>
  <c r="E101" i="37"/>
  <c r="F101" i="37" s="1"/>
  <c r="G101" i="37" s="1"/>
  <c r="H101" i="37" s="1"/>
  <c r="I101" i="37" s="1"/>
  <c r="J101" i="37" s="1"/>
  <c r="K101" i="37" s="1"/>
  <c r="L101" i="37" s="1"/>
  <c r="M101" i="37" s="1"/>
  <c r="J34" i="37"/>
  <c r="J33" i="37"/>
  <c r="AC33" i="37" s="1"/>
  <c r="U42" i="34"/>
  <c r="E114" i="34"/>
  <c r="F114" i="34" s="1"/>
  <c r="G114" i="34" s="1"/>
  <c r="H114" i="34" s="1"/>
  <c r="I114" i="34" s="1"/>
  <c r="J114" i="34" s="1"/>
  <c r="K114" i="34" s="1"/>
  <c r="L114" i="34" s="1"/>
  <c r="M114" i="34" s="1"/>
  <c r="H36" i="34"/>
  <c r="U36" i="34" s="1"/>
  <c r="F25" i="34"/>
  <c r="S25" i="34" s="1"/>
  <c r="H23" i="34"/>
  <c r="AB23" i="34" s="1"/>
  <c r="J23" i="34"/>
  <c r="AC23" i="34" s="1"/>
  <c r="H17" i="34"/>
  <c r="U17" i="34" s="1"/>
  <c r="F15" i="34"/>
  <c r="AA15" i="34" s="1"/>
  <c r="J15" i="34"/>
  <c r="W15" i="34" s="1"/>
  <c r="F41" i="33"/>
  <c r="S41" i="33" s="1"/>
  <c r="S38" i="33"/>
  <c r="E113" i="33"/>
  <c r="F113" i="33" s="1"/>
  <c r="G113" i="33" s="1"/>
  <c r="H113" i="33" s="1"/>
  <c r="I113" i="33" s="1"/>
  <c r="J113" i="33" s="1"/>
  <c r="K113" i="33" s="1"/>
  <c r="L113" i="33" s="1"/>
  <c r="M113" i="33" s="1"/>
  <c r="F32" i="33"/>
  <c r="AA32" i="33" s="1"/>
  <c r="J19" i="33"/>
  <c r="J15" i="33"/>
  <c r="AC15" i="33" s="1"/>
  <c r="F11" i="33"/>
  <c r="AA11" i="33" s="1"/>
  <c r="S26" i="33"/>
  <c r="F37" i="40"/>
  <c r="F36" i="40"/>
  <c r="AA36" i="40" s="1"/>
  <c r="H28" i="40"/>
  <c r="U28" i="40" s="1"/>
  <c r="F23" i="40"/>
  <c r="AA23" i="40" s="1"/>
  <c r="F17" i="40"/>
  <c r="AA17" i="40" s="1"/>
  <c r="J17" i="40"/>
  <c r="W17" i="40"/>
  <c r="F15" i="40"/>
  <c r="H15" i="40"/>
  <c r="AB15" i="40" s="1"/>
  <c r="AC11" i="40"/>
  <c r="S12" i="36"/>
  <c r="AA12" i="36"/>
  <c r="F29" i="35"/>
  <c r="S29" i="35" s="1"/>
  <c r="H29" i="35"/>
  <c r="AB29" i="35" s="1"/>
  <c r="H33" i="37"/>
  <c r="F33" i="37"/>
  <c r="AA33" i="37" s="1"/>
  <c r="U34" i="37"/>
  <c r="AB42" i="34"/>
  <c r="H38" i="34"/>
  <c r="AB38" i="34" s="1"/>
  <c r="J36" i="34"/>
  <c r="AC36" i="34" s="1"/>
  <c r="H25" i="34"/>
  <c r="AB25" i="34" s="1"/>
  <c r="J25" i="34"/>
  <c r="AC25" i="34" s="1"/>
  <c r="F23" i="34"/>
  <c r="S23" i="34" s="1"/>
  <c r="F17" i="34"/>
  <c r="AA17" i="34" s="1"/>
  <c r="J17" i="34"/>
  <c r="W17" i="34" s="1"/>
  <c r="H37" i="33"/>
  <c r="AB37" i="33"/>
  <c r="H15" i="33"/>
  <c r="AB15" i="33" s="1"/>
  <c r="H11" i="33"/>
  <c r="AB11" i="33" s="1"/>
  <c r="F28" i="40"/>
  <c r="AA28" i="40" s="1"/>
  <c r="AA42" i="34"/>
  <c r="S42" i="34"/>
  <c r="AC38" i="34"/>
  <c r="AA38" i="34"/>
  <c r="J37" i="34"/>
  <c r="AC37" i="34" s="1"/>
  <c r="J11" i="33"/>
  <c r="W11" i="33" s="1"/>
  <c r="J42" i="21"/>
  <c r="AC42" i="21"/>
  <c r="H42" i="21"/>
  <c r="U42" i="21" s="1"/>
  <c r="F44" i="34"/>
  <c r="S44" i="34" s="1"/>
  <c r="J10" i="35"/>
  <c r="AC10" i="35" s="1"/>
  <c r="J28" i="21"/>
  <c r="W28" i="21" s="1"/>
  <c r="H30" i="21"/>
  <c r="AB30" i="21" s="1"/>
  <c r="F30" i="21"/>
  <c r="S30" i="21" s="1"/>
  <c r="J30" i="21"/>
  <c r="AC30" i="21"/>
  <c r="H44" i="21"/>
  <c r="U44" i="21" s="1"/>
  <c r="F44" i="21"/>
  <c r="AA44" i="21" s="1"/>
  <c r="H46" i="21"/>
  <c r="U46" i="21" s="1"/>
  <c r="H26" i="33"/>
  <c r="AB26" i="33" s="1"/>
  <c r="U26" i="33"/>
  <c r="H28" i="33"/>
  <c r="U28" i="33" s="1"/>
  <c r="F33" i="35"/>
  <c r="S33" i="35"/>
  <c r="J33" i="35"/>
  <c r="AC33" i="35" s="1"/>
  <c r="F30" i="35"/>
  <c r="S30" i="35" s="1"/>
  <c r="H10" i="36"/>
  <c r="AB10" i="36" s="1"/>
  <c r="J14" i="36"/>
  <c r="AC14" i="36" s="1"/>
  <c r="H14" i="36"/>
  <c r="U14" i="36" s="1"/>
  <c r="F28" i="36"/>
  <c r="AA28" i="36" s="1"/>
  <c r="J13" i="21"/>
  <c r="AC13" i="21" s="1"/>
  <c r="H27" i="21"/>
  <c r="AB27" i="21" s="1"/>
  <c r="J13" i="33"/>
  <c r="W13" i="33" s="1"/>
  <c r="H13" i="33"/>
  <c r="U13" i="33" s="1"/>
  <c r="F13" i="33"/>
  <c r="S13" i="33" s="1"/>
  <c r="J29" i="33"/>
  <c r="U29" i="33"/>
  <c r="F29" i="33"/>
  <c r="S29" i="33" s="1"/>
  <c r="J31" i="33"/>
  <c r="F31" i="33"/>
  <c r="S31" i="33" s="1"/>
  <c r="H45" i="33"/>
  <c r="U45" i="33" s="1"/>
  <c r="H46" i="34"/>
  <c r="AB46" i="34" s="1"/>
  <c r="F46" i="34"/>
  <c r="J46" i="34"/>
  <c r="W46" i="34" s="1"/>
  <c r="H11" i="35"/>
  <c r="AB11" i="35" s="1"/>
  <c r="AC11" i="35"/>
  <c r="F11" i="35"/>
  <c r="J26" i="36"/>
  <c r="W26" i="36" s="1"/>
  <c r="H28" i="36"/>
  <c r="H13" i="36"/>
  <c r="AB13" i="36" s="1"/>
  <c r="J13" i="36"/>
  <c r="F13" i="36"/>
  <c r="S13" i="36"/>
  <c r="J29" i="37"/>
  <c r="F29" i="37"/>
  <c r="S29" i="37" s="1"/>
  <c r="H36" i="37"/>
  <c r="J37" i="37"/>
  <c r="AC37" i="37" s="1"/>
  <c r="H37" i="37"/>
  <c r="U37" i="37" s="1"/>
  <c r="H40" i="37"/>
  <c r="F40" i="37"/>
  <c r="J14" i="33"/>
  <c r="W14" i="33" s="1"/>
  <c r="H30" i="33"/>
  <c r="F30" i="33"/>
  <c r="J30" i="33"/>
  <c r="J44" i="33"/>
  <c r="W44" i="33" s="1"/>
  <c r="AC44" i="33"/>
  <c r="F46" i="33"/>
  <c r="AA46" i="33" s="1"/>
  <c r="J29" i="34"/>
  <c r="F29" i="34"/>
  <c r="S29" i="34" s="1"/>
  <c r="H29" i="34"/>
  <c r="AB29" i="34" s="1"/>
  <c r="J31" i="34"/>
  <c r="W31" i="34" s="1"/>
  <c r="AC31" i="34"/>
  <c r="H31" i="34"/>
  <c r="F31" i="34"/>
  <c r="S31" i="34" s="1"/>
  <c r="H45" i="34"/>
  <c r="U45" i="34" s="1"/>
  <c r="J45" i="34"/>
  <c r="W45" i="34" s="1"/>
  <c r="F45" i="34"/>
  <c r="F47" i="34"/>
  <c r="J47" i="34"/>
  <c r="AC47" i="34"/>
  <c r="F13" i="35"/>
  <c r="J13" i="35"/>
  <c r="AC13" i="35" s="1"/>
  <c r="H13" i="35"/>
  <c r="U13" i="35" s="1"/>
  <c r="J35" i="35"/>
  <c r="AC35" i="35" s="1"/>
  <c r="F35" i="35"/>
  <c r="AA35" i="35"/>
  <c r="J25" i="36"/>
  <c r="H13" i="37"/>
  <c r="F13" i="37"/>
  <c r="S13" i="37" s="1"/>
  <c r="J13" i="37"/>
  <c r="W13" i="37" s="1"/>
  <c r="J28" i="37"/>
  <c r="H28" i="37"/>
  <c r="H38" i="37"/>
  <c r="J38" i="37"/>
  <c r="AC38" i="37" s="1"/>
  <c r="F38" i="37"/>
  <c r="S38" i="37" s="1"/>
  <c r="J14" i="39"/>
  <c r="AC14" i="39" s="1"/>
  <c r="H14" i="39"/>
  <c r="AB14" i="39" s="1"/>
  <c r="H30" i="40"/>
  <c r="AB30" i="40" s="1"/>
  <c r="F33" i="40"/>
  <c r="H33" i="40"/>
  <c r="U33" i="40" s="1"/>
  <c r="J35" i="40"/>
  <c r="J37" i="40"/>
  <c r="H13" i="40"/>
  <c r="U13" i="40" s="1"/>
  <c r="J13" i="40"/>
  <c r="W13" i="40" s="1"/>
  <c r="F13" i="40"/>
  <c r="AA13" i="40" s="1"/>
  <c r="F14" i="37"/>
  <c r="AA14" i="37" s="1"/>
  <c r="J13" i="39"/>
  <c r="W13" i="39" s="1"/>
  <c r="J27" i="37"/>
  <c r="W27" i="37" s="1"/>
  <c r="AC27" i="37"/>
  <c r="J36" i="37"/>
  <c r="AC36" i="37" s="1"/>
  <c r="J10" i="36"/>
  <c r="AC10" i="36" s="1"/>
  <c r="AC28" i="21"/>
  <c r="F17" i="21"/>
  <c r="AA17" i="21" s="1"/>
  <c r="H17" i="21"/>
  <c r="AB17" i="21" s="1"/>
  <c r="F15" i="21"/>
  <c r="S15" i="21" s="1"/>
  <c r="J41" i="39"/>
  <c r="W41" i="39" s="1"/>
  <c r="W44" i="39"/>
  <c r="G544" i="3"/>
  <c r="G532" i="3"/>
  <c r="G531" i="3"/>
  <c r="G528" i="3"/>
  <c r="G527" i="3"/>
  <c r="G523" i="3"/>
  <c r="G518" i="3"/>
  <c r="G514" i="3"/>
  <c r="G500" i="3"/>
  <c r="G496" i="3"/>
  <c r="G584" i="3"/>
  <c r="G580" i="3"/>
  <c r="G576" i="3"/>
  <c r="G568" i="3"/>
  <c r="G560" i="3"/>
  <c r="G554" i="3"/>
  <c r="BL584" i="3"/>
  <c r="BL580" i="3"/>
  <c r="BL546" i="3"/>
  <c r="BL542" i="3"/>
  <c r="BL534" i="3"/>
  <c r="G533" i="3"/>
  <c r="G529" i="3"/>
  <c r="G525" i="3"/>
  <c r="BL524" i="3"/>
  <c r="BL518" i="3"/>
  <c r="BL514" i="3"/>
  <c r="G493" i="3"/>
  <c r="BA564" i="3"/>
  <c r="BA536" i="3"/>
  <c r="BA534" i="3"/>
  <c r="AZ534" i="3"/>
  <c r="BA583" i="3"/>
  <c r="BA577" i="3"/>
  <c r="BA567" i="3"/>
  <c r="BA563" i="3"/>
  <c r="BA559" i="3"/>
  <c r="BA547" i="3"/>
  <c r="BA513" i="3"/>
  <c r="BA495" i="3"/>
  <c r="BA493" i="3"/>
  <c r="G573" i="3"/>
  <c r="G571" i="3"/>
  <c r="G569" i="3"/>
  <c r="G567" i="3"/>
  <c r="G565" i="3"/>
  <c r="G561" i="3"/>
  <c r="AC557" i="3"/>
  <c r="G557" i="3" s="1"/>
  <c r="BQ557" i="3"/>
  <c r="BL557" i="3" s="1"/>
  <c r="BQ583" i="3"/>
  <c r="BQ581" i="3"/>
  <c r="BQ579" i="3"/>
  <c r="BQ577" i="3"/>
  <c r="BQ575" i="3"/>
  <c r="BQ573" i="3"/>
  <c r="BL573" i="3" s="1"/>
  <c r="BQ571" i="3"/>
  <c r="BL571" i="3" s="1"/>
  <c r="BQ569" i="3"/>
  <c r="BQ567" i="3"/>
  <c r="BQ565" i="3"/>
  <c r="BQ563" i="3"/>
  <c r="BQ561" i="3"/>
  <c r="BL561" i="3" s="1"/>
  <c r="BQ559" i="3"/>
  <c r="G555" i="3"/>
  <c r="G553" i="3"/>
  <c r="G543" i="3"/>
  <c r="G541" i="3"/>
  <c r="G539" i="3"/>
  <c r="G537" i="3"/>
  <c r="BQ555" i="3"/>
  <c r="BQ553" i="3"/>
  <c r="BQ551" i="3"/>
  <c r="BQ549" i="3"/>
  <c r="BQ547" i="3"/>
  <c r="BQ545" i="3"/>
  <c r="BQ543" i="3"/>
  <c r="BQ541" i="3"/>
  <c r="BQ539" i="3"/>
  <c r="BL539" i="3" s="1"/>
  <c r="BQ537" i="3"/>
  <c r="BL537" i="3" s="1"/>
  <c r="BQ535" i="3"/>
  <c r="BL535" i="3" s="1"/>
  <c r="BQ533" i="3"/>
  <c r="BQ531" i="3"/>
  <c r="BQ529" i="3"/>
  <c r="BQ527" i="3"/>
  <c r="BQ525" i="3"/>
  <c r="BQ523" i="3"/>
  <c r="AC521" i="3"/>
  <c r="BQ521" i="3"/>
  <c r="G519" i="3"/>
  <c r="G517" i="3"/>
  <c r="G515" i="3"/>
  <c r="G511" i="3"/>
  <c r="BQ519" i="3"/>
  <c r="BL519" i="3" s="1"/>
  <c r="BQ517" i="3"/>
  <c r="BQ515" i="3"/>
  <c r="BL515" i="3" s="1"/>
  <c r="BQ513" i="3"/>
  <c r="BQ511" i="3"/>
  <c r="AC509" i="3"/>
  <c r="BQ509" i="3"/>
  <c r="G503" i="3"/>
  <c r="G501" i="3"/>
  <c r="G495" i="3"/>
  <c r="BQ507" i="3"/>
  <c r="BQ505" i="3"/>
  <c r="BL505" i="3" s="1"/>
  <c r="BQ503" i="3"/>
  <c r="BQ501" i="3"/>
  <c r="BL501" i="3" s="1"/>
  <c r="BQ499" i="3"/>
  <c r="BQ497" i="3"/>
  <c r="BL497" i="3" s="1"/>
  <c r="BQ495" i="3"/>
  <c r="BQ493" i="3"/>
  <c r="S505" i="31"/>
  <c r="S503" i="31"/>
  <c r="S501" i="31"/>
  <c r="S499" i="31"/>
  <c r="O27" i="31"/>
  <c r="O28" i="31"/>
  <c r="O26" i="31"/>
  <c r="M27" i="31"/>
  <c r="M28" i="31"/>
  <c r="M26" i="31"/>
  <c r="I26" i="31"/>
  <c r="I25" i="31"/>
  <c r="Q26" i="31"/>
  <c r="K26" i="31"/>
  <c r="I27" i="31"/>
  <c r="Q27" i="31"/>
  <c r="K27" i="31"/>
  <c r="I28" i="31"/>
  <c r="Q28" i="31"/>
  <c r="K28" i="31"/>
  <c r="H25" i="21"/>
  <c r="U25" i="21" s="1"/>
  <c r="F25" i="21"/>
  <c r="J25" i="21"/>
  <c r="AC25" i="21" s="1"/>
  <c r="H43" i="33"/>
  <c r="H17" i="37"/>
  <c r="U32" i="33"/>
  <c r="AA36" i="39"/>
  <c r="F39" i="33"/>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H41" i="34"/>
  <c r="U41" i="34" s="1"/>
  <c r="J41" i="34"/>
  <c r="AC41" i="34" s="1"/>
  <c r="F10" i="35"/>
  <c r="S10" i="35" s="1"/>
  <c r="H24" i="35"/>
  <c r="AB24" i="35" s="1"/>
  <c r="H23" i="37"/>
  <c r="U23" i="37" s="1"/>
  <c r="J32" i="37"/>
  <c r="AC32" i="37" s="1"/>
  <c r="F36" i="37"/>
  <c r="AA36" i="37" s="1"/>
  <c r="F37" i="37"/>
  <c r="AA37" i="37" s="1"/>
  <c r="F32" i="40"/>
  <c r="S32" i="40" s="1"/>
  <c r="H32" i="40"/>
  <c r="AB32" i="40" s="1"/>
  <c r="J36" i="40"/>
  <c r="AC36" i="40" s="1"/>
  <c r="H19" i="37"/>
  <c r="AB19" i="37" s="1"/>
  <c r="H42" i="33"/>
  <c r="AB42" i="33" s="1"/>
  <c r="J43" i="33"/>
  <c r="AC43" i="33" s="1"/>
  <c r="S28" i="31"/>
  <c r="S27" i="31"/>
  <c r="U39" i="37"/>
  <c r="U26" i="37"/>
  <c r="W47" i="34"/>
  <c r="AA13" i="33"/>
  <c r="U11" i="33"/>
  <c r="U19" i="21"/>
  <c r="W44" i="21"/>
  <c r="AB38" i="21"/>
  <c r="F43" i="33"/>
  <c r="S43" i="33" s="1"/>
  <c r="W16" i="35"/>
  <c r="H37" i="21"/>
  <c r="U37" i="21" s="1"/>
  <c r="S42" i="21"/>
  <c r="H19" i="34"/>
  <c r="AB19" i="34" s="1"/>
  <c r="J9" i="37"/>
  <c r="W9" i="37" s="1"/>
  <c r="H9" i="37"/>
  <c r="U9" i="37" s="1"/>
  <c r="F9" i="37"/>
  <c r="S9" i="37" s="1"/>
  <c r="J12" i="37"/>
  <c r="W12" i="37" s="1"/>
  <c r="H12" i="37"/>
  <c r="AB12" i="37" s="1"/>
  <c r="F12" i="37"/>
  <c r="S12" i="37" s="1"/>
  <c r="F15" i="37"/>
  <c r="E94" i="37"/>
  <c r="F94" i="37" s="1"/>
  <c r="G94" i="37" s="1"/>
  <c r="H94" i="37" s="1"/>
  <c r="I94" i="37" s="1"/>
  <c r="J94" i="37" s="1"/>
  <c r="K94" i="37" s="1"/>
  <c r="L94" i="37" s="1"/>
  <c r="M94" i="37" s="1"/>
  <c r="F31" i="37"/>
  <c r="S31" i="37" s="1"/>
  <c r="F12" i="39"/>
  <c r="J42" i="39"/>
  <c r="AC42" i="39" s="1"/>
  <c r="H21" i="40"/>
  <c r="AC12" i="37"/>
  <c r="H31" i="37"/>
  <c r="U31" i="37" s="1"/>
  <c r="J15" i="37"/>
  <c r="AT6" i="3"/>
  <c r="H19" i="40"/>
  <c r="U19" i="40" s="1"/>
  <c r="F19" i="40"/>
  <c r="S19" i="40" s="1"/>
  <c r="W23" i="39"/>
  <c r="AB44" i="39"/>
  <c r="U44" i="39"/>
  <c r="H37" i="39"/>
  <c r="H25" i="39"/>
  <c r="AB25" i="39" s="1"/>
  <c r="J25" i="39"/>
  <c r="F25" i="39"/>
  <c r="AA25" i="39" s="1"/>
  <c r="F15" i="39"/>
  <c r="AA15" i="39" s="1"/>
  <c r="H15" i="39"/>
  <c r="U15" i="39" s="1"/>
  <c r="J15" i="39"/>
  <c r="W15" i="39" s="1"/>
  <c r="H41" i="39"/>
  <c r="AB41" i="39" s="1"/>
  <c r="AB34" i="39"/>
  <c r="U40" i="39"/>
  <c r="S42" i="39"/>
  <c r="AA41" i="39"/>
  <c r="W9" i="39"/>
  <c r="J19" i="40"/>
  <c r="AC19" i="40" s="1"/>
  <c r="J50" i="40"/>
  <c r="C7" i="37"/>
  <c r="C52" i="37" s="1"/>
  <c r="D52" i="37" s="1"/>
  <c r="C7" i="34"/>
  <c r="C7" i="36"/>
  <c r="C46" i="36" s="1"/>
  <c r="D46" i="36" s="1"/>
  <c r="E46" i="36" s="1"/>
  <c r="F46" i="36" s="1"/>
  <c r="G46" i="36" s="1"/>
  <c r="H46" i="36" s="1"/>
  <c r="I46" i="36" s="1"/>
  <c r="J11" i="39"/>
  <c r="W11" i="39"/>
  <c r="F11" i="39"/>
  <c r="S11" i="39" s="1"/>
  <c r="G4" i="4"/>
  <c r="I4" i="4"/>
  <c r="F61" i="43"/>
  <c r="H64" i="43" s="1"/>
  <c r="BL549" i="3"/>
  <c r="G546" i="3"/>
  <c r="G524" i="3"/>
  <c r="G303" i="3"/>
  <c r="G305" i="3"/>
  <c r="BL309" i="3"/>
  <c r="G310" i="3"/>
  <c r="G319" i="3"/>
  <c r="BL320" i="3"/>
  <c r="G321" i="3"/>
  <c r="BL322" i="3"/>
  <c r="BA324" i="3"/>
  <c r="BA325" i="3"/>
  <c r="BL325" i="3"/>
  <c r="AZ325" i="3" s="1"/>
  <c r="G326" i="3"/>
  <c r="G335" i="3"/>
  <c r="G337" i="3"/>
  <c r="BA340" i="3"/>
  <c r="BA345" i="3"/>
  <c r="BL355" i="3"/>
  <c r="G356" i="3"/>
  <c r="BL357" i="3"/>
  <c r="BA360" i="3"/>
  <c r="BL360" i="3"/>
  <c r="BA362" i="3"/>
  <c r="BA375" i="3"/>
  <c r="G377" i="3"/>
  <c r="BA378" i="3"/>
  <c r="AZ378" i="3" s="1"/>
  <c r="BL378" i="3"/>
  <c r="BA380" i="3"/>
  <c r="AZ380" i="3" s="1"/>
  <c r="G388" i="3"/>
  <c r="BL389" i="3"/>
  <c r="BL391" i="3"/>
  <c r="G121" i="3"/>
  <c r="G129" i="3"/>
  <c r="G133" i="3"/>
  <c r="G141" i="3"/>
  <c r="BA143" i="3"/>
  <c r="BL144" i="3"/>
  <c r="G145" i="3"/>
  <c r="BL152" i="3"/>
  <c r="G153" i="3"/>
  <c r="G161" i="3"/>
  <c r="BL164" i="3"/>
  <c r="BA167" i="3"/>
  <c r="BL168" i="3"/>
  <c r="BA171" i="3"/>
  <c r="BL172" i="3"/>
  <c r="G177" i="3"/>
  <c r="G181" i="3"/>
  <c r="BL192" i="3"/>
  <c r="G193" i="3"/>
  <c r="BA195" i="3"/>
  <c r="BL196" i="3"/>
  <c r="G197" i="3"/>
  <c r="BA199" i="3"/>
  <c r="BL200" i="3"/>
  <c r="G201" i="3"/>
  <c r="BA203" i="3"/>
  <c r="G534" i="3"/>
  <c r="G522" i="3"/>
  <c r="G506" i="3"/>
  <c r="G494" i="3"/>
  <c r="BA304" i="3"/>
  <c r="AZ304" i="3" s="1"/>
  <c r="BA305" i="3"/>
  <c r="AZ305" i="3" s="1"/>
  <c r="G309" i="3"/>
  <c r="BL313" i="3"/>
  <c r="G314" i="3"/>
  <c r="G317" i="3"/>
  <c r="BL318" i="3"/>
  <c r="BL321" i="3"/>
  <c r="G325" i="3"/>
  <c r="G333" i="3"/>
  <c r="BL337" i="3"/>
  <c r="G338" i="3"/>
  <c r="G341" i="3"/>
  <c r="BA342" i="3"/>
  <c r="BL342" i="3"/>
  <c r="AZ342" i="3"/>
  <c r="BA344" i="3"/>
  <c r="BL344" i="3"/>
  <c r="BA347" i="3"/>
  <c r="G350" i="3"/>
  <c r="BA356" i="3"/>
  <c r="G357" i="3"/>
  <c r="G360" i="3"/>
  <c r="BL361" i="3"/>
  <c r="BA363" i="3"/>
  <c r="BA364" i="3"/>
  <c r="BL364" i="3"/>
  <c r="G365" i="3"/>
  <c r="G368" i="3"/>
  <c r="BA371" i="3"/>
  <c r="BA372" i="3"/>
  <c r="AZ372" i="3" s="1"/>
  <c r="G376" i="3"/>
  <c r="BL379" i="3"/>
  <c r="BA381" i="3"/>
  <c r="BL382" i="3"/>
  <c r="G383" i="3"/>
  <c r="BL387" i="3"/>
  <c r="BA390" i="3"/>
  <c r="G391" i="3"/>
  <c r="G394" i="3"/>
  <c r="BL307" i="3"/>
  <c r="G308" i="3"/>
  <c r="BA310" i="3"/>
  <c r="BL311" i="3"/>
  <c r="G312" i="3"/>
  <c r="BA318" i="3"/>
  <c r="BL319" i="3"/>
  <c r="AZ319" i="3" s="1"/>
  <c r="BA322" i="3"/>
  <c r="G324" i="3"/>
  <c r="G328" i="3"/>
  <c r="G332" i="3"/>
  <c r="BA334" i="3"/>
  <c r="BL335" i="3"/>
  <c r="BL339" i="3"/>
  <c r="G340" i="3"/>
  <c r="G344" i="3"/>
  <c r="G348" i="3"/>
  <c r="G342" i="3"/>
  <c r="G346" i="3"/>
  <c r="BL349" i="3"/>
  <c r="G353" i="3"/>
  <c r="G359" i="3"/>
  <c r="BL362" i="3"/>
  <c r="BA365" i="3"/>
  <c r="BL366" i="3"/>
  <c r="G367" i="3"/>
  <c r="G371" i="3"/>
  <c r="BA373" i="3"/>
  <c r="BL374" i="3"/>
  <c r="G375" i="3"/>
  <c r="BA377" i="3"/>
  <c r="AZ377" i="3" s="1"/>
  <c r="BA379" i="3"/>
  <c r="BL380" i="3"/>
  <c r="G381" i="3"/>
  <c r="G385" i="3"/>
  <c r="BL388" i="3"/>
  <c r="BL392" i="3"/>
  <c r="G393" i="3"/>
  <c r="BF5" i="3"/>
  <c r="G17" i="3"/>
  <c r="G509" i="3"/>
  <c r="U36" i="40"/>
  <c r="F83" i="43"/>
  <c r="H85" i="43" s="1"/>
  <c r="F50" i="43"/>
  <c r="H54" i="43" s="1"/>
  <c r="F72" i="43"/>
  <c r="H75" i="43" s="1"/>
  <c r="U17" i="39"/>
  <c r="S14" i="35"/>
  <c r="AC35" i="21"/>
  <c r="AC11" i="39"/>
  <c r="W37" i="37"/>
  <c r="J37" i="33"/>
  <c r="F106" i="33"/>
  <c r="G106" i="33" s="1"/>
  <c r="H106" i="33" s="1"/>
  <c r="I106" i="33" s="1"/>
  <c r="J106" i="33" s="1"/>
  <c r="K106" i="33" s="1"/>
  <c r="L106" i="33" s="1"/>
  <c r="M106" i="33" s="1"/>
  <c r="J34" i="33"/>
  <c r="F33" i="34"/>
  <c r="S33" i="34" s="1"/>
  <c r="W12" i="36"/>
  <c r="AC12" i="36"/>
  <c r="H20" i="36"/>
  <c r="U20" i="36" s="1"/>
  <c r="J20" i="36"/>
  <c r="J27" i="36"/>
  <c r="W27" i="36" s="1"/>
  <c r="AC33" i="40"/>
  <c r="F111" i="40"/>
  <c r="G111" i="40" s="1"/>
  <c r="H111" i="40" s="1"/>
  <c r="I111" i="40" s="1"/>
  <c r="J111" i="40" s="1"/>
  <c r="K111" i="40" s="1"/>
  <c r="L111" i="40" s="1"/>
  <c r="M111" i="40" s="1"/>
  <c r="H35" i="40"/>
  <c r="AB35" i="40" s="1"/>
  <c r="H35" i="37"/>
  <c r="U35" i="37" s="1"/>
  <c r="AC14" i="35"/>
  <c r="H20" i="35"/>
  <c r="U20" i="35" s="1"/>
  <c r="F20" i="35"/>
  <c r="AA20" i="35" s="1"/>
  <c r="AB29" i="36"/>
  <c r="U29" i="36"/>
  <c r="H32" i="37"/>
  <c r="F96" i="37"/>
  <c r="G96" i="37" s="1"/>
  <c r="H96" i="37" s="1"/>
  <c r="I96" i="37" s="1"/>
  <c r="J96" i="37" s="1"/>
  <c r="K96" i="37" s="1"/>
  <c r="L96" i="37" s="1"/>
  <c r="M96" i="37" s="1"/>
  <c r="H27" i="40"/>
  <c r="AB27" i="40" s="1"/>
  <c r="U27" i="40"/>
  <c r="J27" i="40"/>
  <c r="AC27" i="40" s="1"/>
  <c r="F27" i="40"/>
  <c r="J30" i="40"/>
  <c r="AC30" i="40" s="1"/>
  <c r="F30" i="40"/>
  <c r="AA30" i="40"/>
  <c r="S11" i="40"/>
  <c r="F10" i="33"/>
  <c r="S10" i="33" s="1"/>
  <c r="F34" i="33"/>
  <c r="H34" i="33"/>
  <c r="U34" i="33" s="1"/>
  <c r="F35" i="33"/>
  <c r="S35" i="33" s="1"/>
  <c r="F39" i="34"/>
  <c r="AA39" i="34" s="1"/>
  <c r="J39" i="34"/>
  <c r="W39" i="34" s="1"/>
  <c r="F40" i="34"/>
  <c r="S40" i="34" s="1"/>
  <c r="F43" i="34"/>
  <c r="AA43" i="34" s="1"/>
  <c r="H44" i="34"/>
  <c r="U44" i="34" s="1"/>
  <c r="AC38" i="39"/>
  <c r="F39" i="39"/>
  <c r="S39" i="39" s="1"/>
  <c r="J39" i="39"/>
  <c r="AC39" i="39" s="1"/>
  <c r="F23" i="39"/>
  <c r="S23" i="39" s="1"/>
  <c r="H27" i="36"/>
  <c r="U27" i="36" s="1"/>
  <c r="F27" i="36"/>
  <c r="AA27" i="36" s="1"/>
  <c r="H33" i="34"/>
  <c r="AB33" i="34" s="1"/>
  <c r="F32" i="37"/>
  <c r="AA32" i="37" s="1"/>
  <c r="F20" i="36"/>
  <c r="AA20" i="36" s="1"/>
  <c r="J33" i="34"/>
  <c r="AC33" i="34" s="1"/>
  <c r="H23" i="39"/>
  <c r="U23" i="39" s="1"/>
  <c r="D48" i="9"/>
  <c r="M52" i="9" s="1"/>
  <c r="K9" i="1"/>
  <c r="M9" i="1" s="1"/>
  <c r="D93" i="9"/>
  <c r="W26" i="33"/>
  <c r="AB33" i="36"/>
  <c r="U33" i="36"/>
  <c r="AC12" i="39"/>
  <c r="W12" i="39"/>
  <c r="BL14" i="3"/>
  <c r="F12" i="33"/>
  <c r="H12" i="39"/>
  <c r="AB12" i="39"/>
  <c r="F39" i="40"/>
  <c r="B12" i="1"/>
  <c r="E12" i="1" s="1"/>
  <c r="B10" i="1"/>
  <c r="E10" i="1" s="1"/>
  <c r="S13" i="1"/>
  <c r="AR13" i="1" s="1"/>
  <c r="R13" i="1"/>
  <c r="J51" i="67"/>
  <c r="C42" i="1"/>
  <c r="C24" i="12" s="1"/>
  <c r="B41" i="1"/>
  <c r="F48" i="9" s="1"/>
  <c r="O52" i="9" s="1"/>
  <c r="AB37" i="40"/>
  <c r="S35" i="40"/>
  <c r="U35" i="40"/>
  <c r="W38" i="40"/>
  <c r="AA32" i="40"/>
  <c r="S17" i="40"/>
  <c r="S23" i="40"/>
  <c r="AC17" i="40"/>
  <c r="AC15" i="40"/>
  <c r="S30" i="40"/>
  <c r="AA19" i="40"/>
  <c r="S28" i="40"/>
  <c r="F32" i="39"/>
  <c r="AA32" i="39" s="1"/>
  <c r="F106" i="39"/>
  <c r="G106" i="39" s="1"/>
  <c r="H106" i="39" s="1"/>
  <c r="I106" i="39" s="1"/>
  <c r="J106" i="39" s="1"/>
  <c r="K106" i="39" s="1"/>
  <c r="L106" i="39" s="1"/>
  <c r="M106" i="39" s="1"/>
  <c r="U25" i="39"/>
  <c r="AB27" i="39"/>
  <c r="J21" i="39"/>
  <c r="W21" i="39" s="1"/>
  <c r="F21" i="39"/>
  <c r="AA21" i="39" s="1"/>
  <c r="G94" i="39"/>
  <c r="H21" i="39"/>
  <c r="U21" i="39" s="1"/>
  <c r="W19" i="39"/>
  <c r="U19" i="39"/>
  <c r="S15" i="39"/>
  <c r="U14" i="39"/>
  <c r="AC13" i="39"/>
  <c r="U12" i="39"/>
  <c r="S23" i="36"/>
  <c r="U13" i="36"/>
  <c r="U26" i="36"/>
  <c r="S33" i="36"/>
  <c r="AA26" i="36"/>
  <c r="W14" i="36"/>
  <c r="AB14" i="36"/>
  <c r="U23" i="36"/>
  <c r="S14" i="36"/>
  <c r="AB13" i="35"/>
  <c r="U29" i="35"/>
  <c r="AB27" i="35"/>
  <c r="U32" i="35"/>
  <c r="AA33" i="35"/>
  <c r="AC30" i="35"/>
  <c r="S32" i="35"/>
  <c r="AB16" i="35"/>
  <c r="U22" i="35"/>
  <c r="S22" i="35"/>
  <c r="U14" i="35"/>
  <c r="AC9" i="35"/>
  <c r="W9" i="35"/>
  <c r="AC12" i="35"/>
  <c r="W13" i="35"/>
  <c r="F9" i="35"/>
  <c r="S9" i="35" s="1"/>
  <c r="H9" i="35"/>
  <c r="U9" i="35" s="1"/>
  <c r="AA38" i="37"/>
  <c r="W38" i="37"/>
  <c r="AC35" i="37"/>
  <c r="W39" i="37"/>
  <c r="S30" i="37"/>
  <c r="J17" i="37"/>
  <c r="W17" i="37" s="1"/>
  <c r="F17" i="37"/>
  <c r="AA17" i="37" s="1"/>
  <c r="F19" i="37"/>
  <c r="S19" i="37" s="1"/>
  <c r="F79" i="37"/>
  <c r="G79" i="37" s="1"/>
  <c r="F23" i="37"/>
  <c r="S23" i="37" s="1"/>
  <c r="H10" i="37"/>
  <c r="AB10" i="37" s="1"/>
  <c r="F63" i="37"/>
  <c r="G63" i="37" s="1"/>
  <c r="H63" i="37" s="1"/>
  <c r="I63" i="37" s="1"/>
  <c r="F11" i="37"/>
  <c r="S11" i="37" s="1"/>
  <c r="AB35" i="34"/>
  <c r="AA25" i="34"/>
  <c r="AA29" i="34"/>
  <c r="H10" i="34"/>
  <c r="AB10" i="34" s="1"/>
  <c r="F11" i="34"/>
  <c r="S11" i="34" s="1"/>
  <c r="F70" i="34"/>
  <c r="G70" i="34" s="1"/>
  <c r="H70" i="34" s="1"/>
  <c r="I70" i="34" s="1"/>
  <c r="J70" i="34" s="1"/>
  <c r="K70" i="34" s="1"/>
  <c r="L70" i="34" s="1"/>
  <c r="M70" i="34" s="1"/>
  <c r="W42" i="33"/>
  <c r="S27" i="33"/>
  <c r="S32" i="33"/>
  <c r="AB29" i="33"/>
  <c r="W38" i="33"/>
  <c r="H41" i="33"/>
  <c r="U41" i="33" s="1"/>
  <c r="S42" i="33"/>
  <c r="F36" i="33"/>
  <c r="AA36" i="33" s="1"/>
  <c r="G111" i="33"/>
  <c r="H111" i="33" s="1"/>
  <c r="I111" i="33" s="1"/>
  <c r="J111" i="33" s="1"/>
  <c r="K111" i="33" s="1"/>
  <c r="L111" i="33" s="1"/>
  <c r="M111" i="33" s="1"/>
  <c r="J35" i="33"/>
  <c r="F101" i="33"/>
  <c r="G101" i="33" s="1"/>
  <c r="H101" i="33" s="1"/>
  <c r="I101" i="33" s="1"/>
  <c r="J101" i="33" s="1"/>
  <c r="K101" i="33" s="1"/>
  <c r="L101" i="33" s="1"/>
  <c r="M101" i="33" s="1"/>
  <c r="J32" i="33"/>
  <c r="AC32" i="33" s="1"/>
  <c r="S46" i="33"/>
  <c r="W43" i="33"/>
  <c r="F91" i="33"/>
  <c r="G91" i="33" s="1"/>
  <c r="H91" i="33" s="1"/>
  <c r="I91" i="33" s="1"/>
  <c r="J91" i="33" s="1"/>
  <c r="K91" i="33" s="1"/>
  <c r="L91" i="33" s="1"/>
  <c r="M91" i="33" s="1"/>
  <c r="H27" i="33"/>
  <c r="AB27" i="33" s="1"/>
  <c r="F87" i="33"/>
  <c r="G87" i="33" s="1"/>
  <c r="H87" i="33" s="1"/>
  <c r="I87" i="33" s="1"/>
  <c r="J87" i="33" s="1"/>
  <c r="K87" i="33" s="1"/>
  <c r="L87" i="33" s="1"/>
  <c r="M87" i="33" s="1"/>
  <c r="H25" i="33"/>
  <c r="F25" i="33"/>
  <c r="S25" i="33" s="1"/>
  <c r="J23" i="33"/>
  <c r="AC23" i="33" s="1"/>
  <c r="H23" i="33"/>
  <c r="F81" i="33"/>
  <c r="G81" i="33" s="1"/>
  <c r="F19" i="33"/>
  <c r="S19" i="33" s="1"/>
  <c r="J17" i="33"/>
  <c r="F79" i="33"/>
  <c r="G79" i="33" s="1"/>
  <c r="S15" i="33"/>
  <c r="W15" i="33"/>
  <c r="J10" i="33"/>
  <c r="W10" i="33" s="1"/>
  <c r="H10" i="33"/>
  <c r="U10" i="33" s="1"/>
  <c r="AC11" i="33"/>
  <c r="W43" i="21"/>
  <c r="W41" i="21"/>
  <c r="AB39" i="21"/>
  <c r="S39" i="21"/>
  <c r="AA38" i="21"/>
  <c r="AC40" i="21"/>
  <c r="J15" i="21"/>
  <c r="W15" i="21" s="1"/>
  <c r="F77" i="21"/>
  <c r="G77" i="21" s="1"/>
  <c r="F23" i="21"/>
  <c r="S23" i="21" s="1"/>
  <c r="E85" i="21"/>
  <c r="F85" i="21" s="1"/>
  <c r="G85" i="21" s="1"/>
  <c r="F34" i="67"/>
  <c r="F62" i="67" s="1"/>
  <c r="M20" i="67"/>
  <c r="F34" i="15"/>
  <c r="F62" i="15" s="1"/>
  <c r="G13" i="3"/>
  <c r="F19" i="6" s="1"/>
  <c r="E19" i="6" s="1"/>
  <c r="BL17" i="3"/>
  <c r="A24" i="51"/>
  <c r="B18" i="72" s="1"/>
  <c r="U29" i="34"/>
  <c r="E32" i="6"/>
  <c r="G1" i="68"/>
  <c r="K1" i="12"/>
  <c r="E19" i="69"/>
  <c r="E1" i="73"/>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28" i="40"/>
  <c r="W28" i="40"/>
  <c r="W27" i="40"/>
  <c r="S36" i="40"/>
  <c r="U11" i="40"/>
  <c r="AB17" i="40"/>
  <c r="U8" i="40"/>
  <c r="S8" i="40"/>
  <c r="AA39" i="39"/>
  <c r="AC41" i="39"/>
  <c r="U42" i="39"/>
  <c r="U41" i="39"/>
  <c r="W25" i="39"/>
  <c r="AC25" i="39"/>
  <c r="S14" i="39"/>
  <c r="AA14" i="39"/>
  <c r="AB11" i="39"/>
  <c r="U11" i="39"/>
  <c r="AB39" i="39"/>
  <c r="W34" i="39"/>
  <c r="S8" i="39"/>
  <c r="S20" i="36"/>
  <c r="W29" i="36"/>
  <c r="AA13" i="36"/>
  <c r="W22" i="36"/>
  <c r="S35" i="35"/>
  <c r="W35" i="35"/>
  <c r="AA16" i="35"/>
  <c r="W36" i="37"/>
  <c r="W32" i="37"/>
  <c r="AB37" i="37"/>
  <c r="AA31" i="37"/>
  <c r="U19" i="37"/>
  <c r="AA29" i="37"/>
  <c r="U8" i="37"/>
  <c r="AC45" i="34"/>
  <c r="AB47" i="34"/>
  <c r="AB36" i="34"/>
  <c r="AC29" i="34"/>
  <c r="W29" i="34"/>
  <c r="AC46" i="34"/>
  <c r="U38" i="34"/>
  <c r="AA36" i="34"/>
  <c r="S46" i="34"/>
  <c r="AA46" i="34"/>
  <c r="W23" i="34"/>
  <c r="U39" i="33"/>
  <c r="U38" i="33"/>
  <c r="S33" i="33"/>
  <c r="AB34" i="33"/>
  <c r="S30" i="33"/>
  <c r="AA30" i="33"/>
  <c r="U15" i="33"/>
  <c r="S11" i="33"/>
  <c r="U37" i="33"/>
  <c r="S44" i="21"/>
  <c r="F33" i="21"/>
  <c r="AA33" i="21" s="1"/>
  <c r="J33" i="21"/>
  <c r="AC33" i="21" s="1"/>
  <c r="H33" i="21"/>
  <c r="AB33" i="21" s="1"/>
  <c r="F37" i="21"/>
  <c r="AA37" i="21" s="1"/>
  <c r="AA26" i="21"/>
  <c r="AB46" i="21"/>
  <c r="U13" i="21"/>
  <c r="AB13" i="21"/>
  <c r="S35" i="21"/>
  <c r="J37" i="21"/>
  <c r="W37" i="21" s="1"/>
  <c r="H15" i="21"/>
  <c r="U15" i="21" s="1"/>
  <c r="J17" i="21"/>
  <c r="AC17" i="21"/>
  <c r="W39" i="21"/>
  <c r="W30" i="21"/>
  <c r="H45" i="21"/>
  <c r="F29" i="21"/>
  <c r="AA29" i="21" s="1"/>
  <c r="F13" i="21"/>
  <c r="AA13" i="21" s="1"/>
  <c r="H32" i="21"/>
  <c r="U32" i="21" s="1"/>
  <c r="H9" i="21"/>
  <c r="J9" i="21"/>
  <c r="AC9" i="21" s="1"/>
  <c r="J32" i="21"/>
  <c r="W32" i="21" s="1"/>
  <c r="F32" i="21"/>
  <c r="U17" i="21"/>
  <c r="S19" i="21"/>
  <c r="S9" i="21"/>
  <c r="AA9" i="21"/>
  <c r="K141" i="21"/>
  <c r="K144" i="21"/>
  <c r="K143" i="21"/>
  <c r="AB25" i="21"/>
  <c r="AA30" i="21"/>
  <c r="W13" i="21"/>
  <c r="W42" i="21"/>
  <c r="F10" i="21"/>
  <c r="AA10" i="21" s="1"/>
  <c r="K145" i="21"/>
  <c r="W17" i="21"/>
  <c r="W25" i="21"/>
  <c r="S27" i="21"/>
  <c r="S17" i="21"/>
  <c r="AA15" i="21"/>
  <c r="AC27" i="21"/>
  <c r="AC26" i="21"/>
  <c r="AB29" i="21"/>
  <c r="AC34" i="21"/>
  <c r="AB36" i="21"/>
  <c r="W30" i="40"/>
  <c r="C19" i="39"/>
  <c r="C15" i="40"/>
  <c r="C21" i="40"/>
  <c r="U30" i="40"/>
  <c r="B56" i="43"/>
  <c r="B67" i="43"/>
  <c r="B51" i="43"/>
  <c r="B54" i="43"/>
  <c r="B58" i="43"/>
  <c r="B62" i="43"/>
  <c r="B65" i="43"/>
  <c r="E4" i="4"/>
  <c r="B5" i="62" s="1"/>
  <c r="B73" i="72" s="1"/>
  <c r="C4" i="4"/>
  <c r="F30" i="68"/>
  <c r="F48" i="68" s="1"/>
  <c r="F30" i="11"/>
  <c r="C48" i="11" s="1"/>
  <c r="F28" i="67"/>
  <c r="F31" i="12"/>
  <c r="F52" i="9"/>
  <c r="M18" i="67"/>
  <c r="F32" i="67"/>
  <c r="F60" i="67" s="1"/>
  <c r="F30" i="69"/>
  <c r="F48" i="69" s="1"/>
  <c r="F32" i="15"/>
  <c r="F60" i="15" s="1"/>
  <c r="M18" i="15"/>
  <c r="F28" i="15"/>
  <c r="AA39" i="40"/>
  <c r="S39" i="40"/>
  <c r="D68" i="9"/>
  <c r="F54" i="9"/>
  <c r="J32" i="39"/>
  <c r="AC32" i="39" s="1"/>
  <c r="H32" i="39"/>
  <c r="AB32" i="39" s="1"/>
  <c r="S32" i="39"/>
  <c r="S21" i="39"/>
  <c r="J19" i="37"/>
  <c r="W19" i="37" s="1"/>
  <c r="G75" i="37"/>
  <c r="J23" i="37"/>
  <c r="W23" i="37" s="1"/>
  <c r="J10" i="37"/>
  <c r="W10" i="37" s="1"/>
  <c r="H11" i="37"/>
  <c r="AB11" i="37" s="1"/>
  <c r="H11" i="34"/>
  <c r="U11" i="34" s="1"/>
  <c r="J10" i="34"/>
  <c r="AC10" i="34" s="1"/>
  <c r="W35" i="33"/>
  <c r="AC35" i="33"/>
  <c r="J36" i="33"/>
  <c r="W36" i="33" s="1"/>
  <c r="H36" i="33"/>
  <c r="S36" i="33"/>
  <c r="J27" i="33"/>
  <c r="U25" i="33"/>
  <c r="AB25" i="33"/>
  <c r="J25" i="33"/>
  <c r="AB23" i="33"/>
  <c r="U23" i="33"/>
  <c r="F23" i="33"/>
  <c r="AA19" i="33"/>
  <c r="H19" i="33"/>
  <c r="U19" i="33" s="1"/>
  <c r="H17" i="33"/>
  <c r="U17" i="33" s="1"/>
  <c r="F17" i="33"/>
  <c r="S17" i="33" s="1"/>
  <c r="W17" i="33"/>
  <c r="AC17" i="33"/>
  <c r="AA23" i="21"/>
  <c r="AB15" i="21"/>
  <c r="J23" i="21"/>
  <c r="H23" i="21"/>
  <c r="U23" i="21" s="1"/>
  <c r="AP7" i="1"/>
  <c r="AB9" i="21"/>
  <c r="U9" i="21"/>
  <c r="AA32" i="21"/>
  <c r="S32" i="21"/>
  <c r="U32" i="39"/>
  <c r="W32" i="39"/>
  <c r="J63" i="37"/>
  <c r="K63" i="37" s="1"/>
  <c r="L63" i="37" s="1"/>
  <c r="M63" i="37" s="1"/>
  <c r="J11" i="37"/>
  <c r="AC11" i="37" s="1"/>
  <c r="J11" i="34"/>
  <c r="W11" i="34" s="1"/>
  <c r="W25" i="33"/>
  <c r="AC25" i="33"/>
  <c r="AB19" i="33"/>
  <c r="AC23" i="21"/>
  <c r="W23" i="21"/>
  <c r="H111" i="9"/>
  <c r="D126" i="9" s="1"/>
  <c r="J1" i="73"/>
  <c r="D24" i="71"/>
  <c r="U24" i="71" s="1"/>
  <c r="S24" i="71"/>
  <c r="T24" i="71"/>
  <c r="Y20" i="71"/>
  <c r="Z20" i="71" s="1"/>
  <c r="X3" i="71"/>
  <c r="B13" i="76"/>
  <c r="AO13" i="1"/>
  <c r="E2" i="68"/>
  <c r="B7" i="76"/>
  <c r="E7" i="76"/>
  <c r="E13" i="76"/>
  <c r="E8" i="76"/>
  <c r="B12" i="76"/>
  <c r="F4" i="73"/>
  <c r="E10" i="76"/>
  <c r="F7" i="73"/>
  <c r="B9" i="76"/>
  <c r="E11" i="76"/>
  <c r="F42" i="67"/>
  <c r="B8" i="76"/>
  <c r="D6" i="73"/>
  <c r="E9" i="76"/>
  <c r="F8" i="15"/>
  <c r="F6" i="73"/>
  <c r="C76" i="15"/>
  <c r="J15" i="15"/>
  <c r="F36" i="15"/>
  <c r="F20" i="31"/>
  <c r="F38" i="67"/>
  <c r="F13" i="15"/>
  <c r="E2" i="69"/>
  <c r="M6" i="15"/>
  <c r="B11" i="76"/>
  <c r="E12" i="76"/>
  <c r="F3" i="73"/>
  <c r="F5" i="73"/>
  <c r="B10" i="76"/>
  <c r="L48" i="15"/>
  <c r="M29" i="15"/>
  <c r="S12" i="40" l="1"/>
  <c r="AA12" i="40"/>
  <c r="C70" i="71"/>
  <c r="D70" i="71" s="1"/>
  <c r="D71" i="71"/>
  <c r="AZ566" i="3"/>
  <c r="AZ508" i="3"/>
  <c r="AZ123" i="3"/>
  <c r="AZ135" i="3"/>
  <c r="W45" i="33"/>
  <c r="AC45" i="33"/>
  <c r="AZ541" i="3"/>
  <c r="AZ526" i="3"/>
  <c r="AZ506" i="3"/>
  <c r="AA25" i="37"/>
  <c r="S25" i="37"/>
  <c r="AA28" i="37"/>
  <c r="S28" i="37"/>
  <c r="AZ572" i="3"/>
  <c r="AZ504" i="3"/>
  <c r="AZ127" i="3"/>
  <c r="W20" i="36"/>
  <c r="AC20" i="36"/>
  <c r="AA27" i="39"/>
  <c r="S27" i="39"/>
  <c r="AZ318" i="3"/>
  <c r="AA31" i="39"/>
  <c r="S31" i="39"/>
  <c r="D24" i="15"/>
  <c r="D22" i="15"/>
  <c r="S47" i="34"/>
  <c r="AA47" i="34"/>
  <c r="H31" i="21"/>
  <c r="J31" i="21"/>
  <c r="F31" i="21"/>
  <c r="H27" i="37"/>
  <c r="F27" i="37"/>
  <c r="AC29" i="39"/>
  <c r="W29" i="39"/>
  <c r="W42" i="34"/>
  <c r="AC42" i="34"/>
  <c r="AB20" i="36"/>
  <c r="AB30" i="33"/>
  <c r="U30" i="33"/>
  <c r="W25" i="40"/>
  <c r="AC25" i="40"/>
  <c r="X20" i="71"/>
  <c r="U17" i="37"/>
  <c r="AB17" i="37"/>
  <c r="AZ505" i="3"/>
  <c r="BL583" i="3"/>
  <c r="AZ583" i="3" s="1"/>
  <c r="BA558" i="3"/>
  <c r="AZ558" i="3" s="1"/>
  <c r="BA553" i="3"/>
  <c r="AZ553" i="3" s="1"/>
  <c r="BL545" i="3"/>
  <c r="BA521" i="3"/>
  <c r="BA516" i="3"/>
  <c r="AZ516" i="3" s="1"/>
  <c r="BL508" i="3"/>
  <c r="S12" i="33"/>
  <c r="AA12" i="33"/>
  <c r="W37" i="33"/>
  <c r="AC37" i="33"/>
  <c r="AA40" i="37"/>
  <c r="S40" i="37"/>
  <c r="S11" i="35"/>
  <c r="AA11" i="35"/>
  <c r="F35" i="39"/>
  <c r="H9" i="33"/>
  <c r="J9" i="33"/>
  <c r="F9" i="33"/>
  <c r="AA9" i="33" s="1"/>
  <c r="AB31" i="36"/>
  <c r="U31" i="36"/>
  <c r="BA17" i="3"/>
  <c r="AB13" i="37"/>
  <c r="U13" i="37"/>
  <c r="U40" i="37"/>
  <c r="AB40" i="37"/>
  <c r="AC33" i="33"/>
  <c r="W33" i="33"/>
  <c r="BA265" i="3"/>
  <c r="AC23" i="37"/>
  <c r="AC35" i="40"/>
  <c r="W35" i="40"/>
  <c r="BL568" i="3"/>
  <c r="AZ568" i="3" s="1"/>
  <c r="BL563" i="3"/>
  <c r="AZ563" i="3" s="1"/>
  <c r="BA529" i="3"/>
  <c r="AZ529" i="3" s="1"/>
  <c r="BA501" i="3"/>
  <c r="AZ501" i="3" s="1"/>
  <c r="AZ315" i="3"/>
  <c r="AB12" i="35"/>
  <c r="U34" i="35"/>
  <c r="E118" i="34"/>
  <c r="F118" i="34" s="1"/>
  <c r="G118" i="34" s="1"/>
  <c r="J40" i="34"/>
  <c r="W40" i="34" s="1"/>
  <c r="BA575" i="3"/>
  <c r="BL572" i="3"/>
  <c r="BA570" i="3"/>
  <c r="AZ570" i="3" s="1"/>
  <c r="Y29" i="71"/>
  <c r="Z29" i="71" s="1"/>
  <c r="C30" i="71"/>
  <c r="C31" i="71" s="1"/>
  <c r="AB44" i="21"/>
  <c r="F28" i="33"/>
  <c r="J28" i="33"/>
  <c r="E124" i="34"/>
  <c r="F124" i="34" s="1"/>
  <c r="G124" i="34" s="1"/>
  <c r="H124" i="34" s="1"/>
  <c r="I124" i="34" s="1"/>
  <c r="J124" i="34" s="1"/>
  <c r="K124" i="34" s="1"/>
  <c r="L124" i="34" s="1"/>
  <c r="M124" i="34" s="1"/>
  <c r="J43" i="34"/>
  <c r="AC43" i="34" s="1"/>
  <c r="H43" i="34"/>
  <c r="AB43" i="34" s="1"/>
  <c r="AC40" i="37"/>
  <c r="W40" i="37"/>
  <c r="BA420" i="3"/>
  <c r="AZ327" i="3"/>
  <c r="BA134" i="3"/>
  <c r="BL137" i="3"/>
  <c r="E30" i="71"/>
  <c r="E31" i="71" s="1"/>
  <c r="E32" i="71" s="1"/>
  <c r="U32" i="71" s="1"/>
  <c r="AA27" i="71"/>
  <c r="AA28" i="71"/>
  <c r="B38" i="71"/>
  <c r="B39" i="71" s="1"/>
  <c r="B40" i="71" s="1"/>
  <c r="S40" i="71" s="1"/>
  <c r="X35" i="71"/>
  <c r="Y25" i="71"/>
  <c r="Z25" i="71" s="1"/>
  <c r="AB41" i="33"/>
  <c r="AC13" i="33"/>
  <c r="AA31" i="34"/>
  <c r="AA13" i="37"/>
  <c r="AB31" i="37"/>
  <c r="U35" i="21"/>
  <c r="H27" i="34"/>
  <c r="AB27" i="34" s="1"/>
  <c r="BL565" i="3"/>
  <c r="AB8" i="39"/>
  <c r="AA17" i="39"/>
  <c r="S17" i="39"/>
  <c r="U9" i="40"/>
  <c r="AC27" i="35"/>
  <c r="E126" i="34"/>
  <c r="F126" i="34" s="1"/>
  <c r="G126" i="34" s="1"/>
  <c r="J44" i="34"/>
  <c r="W44" i="34" s="1"/>
  <c r="U14" i="33"/>
  <c r="AB14" i="33"/>
  <c r="AA9" i="39"/>
  <c r="S9" i="39"/>
  <c r="BA400" i="3"/>
  <c r="BL128" i="3"/>
  <c r="C38" i="71"/>
  <c r="Y37" i="71"/>
  <c r="Z37" i="71" s="1"/>
  <c r="S80" i="71"/>
  <c r="B79" i="71"/>
  <c r="B78" i="71" s="1"/>
  <c r="C87" i="71"/>
  <c r="D87" i="71" s="1"/>
  <c r="D88" i="71"/>
  <c r="AA19" i="71"/>
  <c r="AB21" i="40"/>
  <c r="U21" i="40"/>
  <c r="AB29" i="37"/>
  <c r="U29" i="37"/>
  <c r="AZ535" i="3"/>
  <c r="F11" i="36"/>
  <c r="H11" i="36"/>
  <c r="U11" i="36" s="1"/>
  <c r="J11" i="36"/>
  <c r="AC11" i="36" s="1"/>
  <c r="F32" i="36"/>
  <c r="J32" i="36"/>
  <c r="W32" i="36" s="1"/>
  <c r="BI5" i="3"/>
  <c r="J25" i="37"/>
  <c r="H25" i="37"/>
  <c r="AC19" i="21"/>
  <c r="AA39" i="33"/>
  <c r="S39" i="33"/>
  <c r="AC30" i="33"/>
  <c r="W30" i="33"/>
  <c r="J25" i="35"/>
  <c r="F25" i="35"/>
  <c r="H25" i="35"/>
  <c r="AA43" i="39"/>
  <c r="S43" i="39"/>
  <c r="AZ560" i="3"/>
  <c r="AZ371" i="3"/>
  <c r="AB19" i="71"/>
  <c r="W32" i="33"/>
  <c r="AC17" i="37"/>
  <c r="AA35" i="37"/>
  <c r="AC20" i="35"/>
  <c r="W27" i="39"/>
  <c r="AA38" i="40"/>
  <c r="S38" i="40"/>
  <c r="AB20" i="71"/>
  <c r="C23" i="40"/>
  <c r="AC40" i="33"/>
  <c r="W40" i="33"/>
  <c r="S34" i="37"/>
  <c r="AA34" i="37"/>
  <c r="AB28" i="33"/>
  <c r="AC26" i="36"/>
  <c r="H32" i="34"/>
  <c r="F32" i="34"/>
  <c r="BL498" i="3"/>
  <c r="AZ498" i="3" s="1"/>
  <c r="AZ369" i="3"/>
  <c r="BA163" i="3"/>
  <c r="AB22" i="71"/>
  <c r="AB45" i="34"/>
  <c r="U15" i="40"/>
  <c r="S36" i="37"/>
  <c r="S34" i="33"/>
  <c r="AA34" i="33"/>
  <c r="BL120" i="3"/>
  <c r="W25" i="36"/>
  <c r="AC25" i="36"/>
  <c r="BA584" i="3"/>
  <c r="BA245" i="3"/>
  <c r="AZ245" i="3" s="1"/>
  <c r="BA179" i="3"/>
  <c r="S21" i="40"/>
  <c r="H40" i="34"/>
  <c r="U40" i="34" s="1"/>
  <c r="S34" i="40"/>
  <c r="J14" i="21"/>
  <c r="F14" i="21"/>
  <c r="H14" i="21"/>
  <c r="B101" i="43"/>
  <c r="B69" i="43"/>
  <c r="AB38" i="39"/>
  <c r="U38" i="39"/>
  <c r="AB32" i="21"/>
  <c r="D23" i="15"/>
  <c r="U27" i="21"/>
  <c r="U40" i="21"/>
  <c r="AB20" i="35"/>
  <c r="S13" i="40"/>
  <c r="AC13" i="37"/>
  <c r="S32" i="37"/>
  <c r="U43" i="21"/>
  <c r="AC15" i="37"/>
  <c r="W15" i="37"/>
  <c r="BL527" i="3"/>
  <c r="J32" i="34"/>
  <c r="E78" i="34"/>
  <c r="F78" i="34" s="1"/>
  <c r="G78" i="34" s="1"/>
  <c r="H15" i="34"/>
  <c r="AB15" i="34" s="1"/>
  <c r="BA565" i="3"/>
  <c r="AZ565" i="3" s="1"/>
  <c r="BA542" i="3"/>
  <c r="AZ542" i="3" s="1"/>
  <c r="BA532" i="3"/>
  <c r="AZ532" i="3" s="1"/>
  <c r="BL530" i="3"/>
  <c r="AZ530" i="3" s="1"/>
  <c r="BL450" i="3"/>
  <c r="BA456" i="3"/>
  <c r="AZ456" i="3" s="1"/>
  <c r="BA480" i="3"/>
  <c r="AZ480" i="3" s="1"/>
  <c r="BL483" i="3"/>
  <c r="BA177" i="3"/>
  <c r="BL180" i="3"/>
  <c r="F34" i="71"/>
  <c r="F35" i="71" s="1"/>
  <c r="F36" i="71" s="1"/>
  <c r="V36" i="71" s="1"/>
  <c r="AB32" i="71"/>
  <c r="E38" i="71"/>
  <c r="E39" i="71" s="1"/>
  <c r="E40" i="71" s="1"/>
  <c r="U40" i="71" s="1"/>
  <c r="AA37" i="71"/>
  <c r="C79" i="71"/>
  <c r="D80" i="71"/>
  <c r="T80" i="71"/>
  <c r="X25" i="71"/>
  <c r="AA27" i="40"/>
  <c r="S27" i="40"/>
  <c r="AC8" i="33"/>
  <c r="W8" i="33"/>
  <c r="J23" i="35"/>
  <c r="H23" i="35"/>
  <c r="F23" i="35"/>
  <c r="H9" i="36"/>
  <c r="AB9" i="36" s="1"/>
  <c r="J9" i="36"/>
  <c r="H34" i="36"/>
  <c r="F34" i="36"/>
  <c r="J34" i="36"/>
  <c r="W34" i="36" s="1"/>
  <c r="W19" i="40"/>
  <c r="B14" i="74"/>
  <c r="D33" i="43"/>
  <c r="D1" i="43" s="1"/>
  <c r="K6" i="1"/>
  <c r="AZ515" i="3"/>
  <c r="BC5" i="3"/>
  <c r="AA44" i="39"/>
  <c r="S44" i="39"/>
  <c r="AA19" i="37"/>
  <c r="S15" i="40"/>
  <c r="AA15" i="40"/>
  <c r="AZ512" i="3"/>
  <c r="AC27" i="33"/>
  <c r="W27" i="33"/>
  <c r="BL127" i="3"/>
  <c r="U27" i="33"/>
  <c r="AA15" i="37"/>
  <c r="S15" i="37"/>
  <c r="F31" i="40"/>
  <c r="S31" i="40" s="1"/>
  <c r="H31" i="40"/>
  <c r="BL564" i="3"/>
  <c r="AZ564" i="3" s="1"/>
  <c r="BL504" i="3"/>
  <c r="S43" i="21"/>
  <c r="AA43" i="21"/>
  <c r="BL582" i="3"/>
  <c r="BA571" i="3"/>
  <c r="AZ571" i="3" s="1"/>
  <c r="G535" i="3"/>
  <c r="BA525" i="3"/>
  <c r="AC37" i="40"/>
  <c r="W37" i="40"/>
  <c r="H14" i="40"/>
  <c r="J14" i="40"/>
  <c r="F14" i="40"/>
  <c r="W31" i="40"/>
  <c r="BL540" i="3"/>
  <c r="AZ540" i="3" s="1"/>
  <c r="BA510" i="3"/>
  <c r="AZ510" i="3" s="1"/>
  <c r="AZ337" i="3"/>
  <c r="AZ392" i="3"/>
  <c r="BP5" i="3"/>
  <c r="E11" i="6" s="1"/>
  <c r="E60" i="39" s="1"/>
  <c r="AA37" i="33"/>
  <c r="S37" i="33"/>
  <c r="AZ326" i="3"/>
  <c r="BL386" i="3"/>
  <c r="W30" i="37"/>
  <c r="U45" i="21"/>
  <c r="AB45" i="21"/>
  <c r="AA31" i="33"/>
  <c r="AA29" i="33"/>
  <c r="U15" i="37"/>
  <c r="AC19" i="33"/>
  <c r="W19" i="33"/>
  <c r="W34" i="37"/>
  <c r="AC34" i="37"/>
  <c r="AA19" i="39"/>
  <c r="S19" i="39"/>
  <c r="E5" i="6"/>
  <c r="D19" i="12" s="1"/>
  <c r="C19" i="12" s="1"/>
  <c r="F28" i="21"/>
  <c r="H28" i="21"/>
  <c r="G112" i="34"/>
  <c r="H112" i="34" s="1"/>
  <c r="I112" i="34" s="1"/>
  <c r="J112" i="34" s="1"/>
  <c r="K112" i="34" s="1"/>
  <c r="L112" i="34" s="1"/>
  <c r="M112" i="34" s="1"/>
  <c r="F37" i="34"/>
  <c r="AA37" i="34" s="1"/>
  <c r="H37" i="34"/>
  <c r="U37" i="34" s="1"/>
  <c r="BA582" i="3"/>
  <c r="BA569" i="3"/>
  <c r="BL566" i="3"/>
  <c r="BA546" i="3"/>
  <c r="AZ546" i="3" s="1"/>
  <c r="BA527" i="3"/>
  <c r="BL520" i="3"/>
  <c r="BA518" i="3"/>
  <c r="AZ518" i="3" s="1"/>
  <c r="E19" i="68"/>
  <c r="E19" i="11"/>
  <c r="BN5" i="3"/>
  <c r="G29" i="6" s="1"/>
  <c r="E29" i="6" s="1"/>
  <c r="K15" i="1" s="1"/>
  <c r="BA444" i="3"/>
  <c r="BA157" i="3"/>
  <c r="BL169" i="3"/>
  <c r="AZ191" i="3"/>
  <c r="C59" i="71"/>
  <c r="U80" i="71"/>
  <c r="E79" i="71"/>
  <c r="E78" i="71" s="1"/>
  <c r="A126" i="9"/>
  <c r="A12" i="52" s="1"/>
  <c r="B56" i="72" s="1"/>
  <c r="H112" i="9"/>
  <c r="D21" i="53" s="1"/>
  <c r="B39" i="72" s="1"/>
  <c r="AZ17" i="3"/>
  <c r="AZ308" i="3"/>
  <c r="T72" i="71"/>
  <c r="D72" i="71"/>
  <c r="AZ344" i="3"/>
  <c r="S12" i="39"/>
  <c r="AA12" i="39"/>
  <c r="W31" i="33"/>
  <c r="AC31" i="33"/>
  <c r="C21" i="11"/>
  <c r="C40" i="11"/>
  <c r="J12" i="34"/>
  <c r="H12" i="34"/>
  <c r="F12" i="34"/>
  <c r="S12" i="34" s="1"/>
  <c r="AZ554" i="3"/>
  <c r="AZ500" i="3"/>
  <c r="W29" i="21"/>
  <c r="S37" i="37"/>
  <c r="AZ584" i="3"/>
  <c r="AC28" i="37"/>
  <c r="W28" i="37"/>
  <c r="S45" i="34"/>
  <c r="AA45" i="34"/>
  <c r="H32" i="36"/>
  <c r="J13" i="34"/>
  <c r="F13" i="34"/>
  <c r="AB42" i="21"/>
  <c r="AB32" i="37"/>
  <c r="U32" i="37"/>
  <c r="W34" i="33"/>
  <c r="AC34" i="33"/>
  <c r="AZ196" i="3"/>
  <c r="AZ549" i="3"/>
  <c r="U28" i="36"/>
  <c r="AB28" i="36"/>
  <c r="AA28" i="35"/>
  <c r="S28" i="35"/>
  <c r="H14" i="34"/>
  <c r="J14" i="34"/>
  <c r="F14" i="34"/>
  <c r="S14" i="34" s="1"/>
  <c r="S36" i="35"/>
  <c r="AA36" i="35"/>
  <c r="H12" i="40"/>
  <c r="J12" i="40"/>
  <c r="BA548" i="3"/>
  <c r="BA544" i="3"/>
  <c r="AZ544" i="3" s="1"/>
  <c r="BA539" i="3"/>
  <c r="AZ539" i="3" s="1"/>
  <c r="BL536" i="3"/>
  <c r="AZ536" i="3" s="1"/>
  <c r="BA497" i="3"/>
  <c r="AZ497" i="3" s="1"/>
  <c r="AC28" i="35"/>
  <c r="W28" i="35"/>
  <c r="F30" i="34"/>
  <c r="J30" i="34"/>
  <c r="AC30" i="34" s="1"/>
  <c r="H30" i="34"/>
  <c r="BA576" i="3"/>
  <c r="M56" i="9"/>
  <c r="J56" i="9"/>
  <c r="J57" i="9" s="1"/>
  <c r="J59" i="9" s="1"/>
  <c r="J61" i="9" s="1"/>
  <c r="U36" i="33"/>
  <c r="AB36" i="33"/>
  <c r="W25" i="34"/>
  <c r="AZ364" i="3"/>
  <c r="G16" i="3"/>
  <c r="AZ360" i="3"/>
  <c r="AC13" i="40"/>
  <c r="AA27" i="35"/>
  <c r="S27" i="35"/>
  <c r="E56" i="71"/>
  <c r="U56" i="71" s="1"/>
  <c r="X19" i="71"/>
  <c r="AB36" i="39"/>
  <c r="U36" i="39"/>
  <c r="BL554" i="3"/>
  <c r="BA552" i="3"/>
  <c r="BA524" i="3"/>
  <c r="AZ524" i="3" s="1"/>
  <c r="BA520" i="3"/>
  <c r="AZ346" i="3"/>
  <c r="U24" i="35"/>
  <c r="AA38" i="39"/>
  <c r="S38" i="39"/>
  <c r="AZ469" i="3"/>
  <c r="AZ383" i="3"/>
  <c r="BA145" i="3"/>
  <c r="AC38" i="21"/>
  <c r="AC15" i="21"/>
  <c r="AB13" i="40"/>
  <c r="AZ379" i="3"/>
  <c r="BL523" i="3"/>
  <c r="AA33" i="40"/>
  <c r="S33" i="40"/>
  <c r="AB35" i="33"/>
  <c r="U35" i="33"/>
  <c r="AC8" i="39"/>
  <c r="W8" i="39"/>
  <c r="U28" i="35"/>
  <c r="W29" i="37"/>
  <c r="AC29" i="37"/>
  <c r="F45" i="33"/>
  <c r="AC14" i="33"/>
  <c r="W36" i="21"/>
  <c r="U35" i="39"/>
  <c r="BL531" i="3"/>
  <c r="BL569" i="3"/>
  <c r="BA586" i="3"/>
  <c r="B84" i="43"/>
  <c r="C17" i="40"/>
  <c r="E82" i="34"/>
  <c r="F82" i="34" s="1"/>
  <c r="G82" i="34" s="1"/>
  <c r="J19" i="34"/>
  <c r="AC19" i="34" s="1"/>
  <c r="F19" i="34"/>
  <c r="AA19" i="34" s="1"/>
  <c r="BL575" i="3"/>
  <c r="BA573" i="3"/>
  <c r="AZ573" i="3" s="1"/>
  <c r="BE5" i="3"/>
  <c r="BR5" i="3"/>
  <c r="G28" i="6" s="1"/>
  <c r="G30" i="6" s="1"/>
  <c r="G31" i="6" s="1"/>
  <c r="BA148" i="3"/>
  <c r="AZ148" i="3" s="1"/>
  <c r="F40" i="71"/>
  <c r="V40" i="71" s="1"/>
  <c r="P67" i="71"/>
  <c r="E66" i="71"/>
  <c r="P65" i="71" s="1"/>
  <c r="BA514" i="3"/>
  <c r="AZ514" i="3" s="1"/>
  <c r="BL510" i="3"/>
  <c r="G510" i="3"/>
  <c r="BL270" i="3"/>
  <c r="BA280" i="3"/>
  <c r="G292" i="3"/>
  <c r="BL299" i="3"/>
  <c r="BA139" i="3"/>
  <c r="BL158" i="3"/>
  <c r="BL178" i="3"/>
  <c r="E51" i="71"/>
  <c r="E52" i="71" s="1"/>
  <c r="U52" i="71" s="1"/>
  <c r="B23" i="71"/>
  <c r="B22" i="71" s="1"/>
  <c r="B21" i="71" s="1"/>
  <c r="B20" i="71" s="1"/>
  <c r="AB37" i="39"/>
  <c r="U37" i="39"/>
  <c r="AB38" i="37"/>
  <c r="U38" i="37"/>
  <c r="AA37" i="40"/>
  <c r="S37" i="40"/>
  <c r="J45" i="21"/>
  <c r="F45" i="21"/>
  <c r="J46" i="33"/>
  <c r="H46" i="33"/>
  <c r="J24" i="35"/>
  <c r="F24" i="35"/>
  <c r="S24" i="35" s="1"/>
  <c r="AC28" i="36"/>
  <c r="W28" i="36"/>
  <c r="AC40" i="39"/>
  <c r="W40" i="39"/>
  <c r="BA385" i="3"/>
  <c r="AZ385" i="3" s="1"/>
  <c r="BA387" i="3"/>
  <c r="AZ387" i="3" s="1"/>
  <c r="BL390" i="3"/>
  <c r="AZ390" i="3" s="1"/>
  <c r="G397" i="3"/>
  <c r="BL216" i="3"/>
  <c r="BA255" i="3"/>
  <c r="G270" i="3"/>
  <c r="BL272" i="3"/>
  <c r="BA115" i="3"/>
  <c r="BL140" i="3"/>
  <c r="BA146" i="3"/>
  <c r="AZ146" i="3" s="1"/>
  <c r="G158" i="3"/>
  <c r="G167" i="3"/>
  <c r="BL167" i="3"/>
  <c r="AZ167" i="3" s="1"/>
  <c r="G176" i="3"/>
  <c r="F51" i="71"/>
  <c r="F52" i="71" s="1"/>
  <c r="V52" i="71" s="1"/>
  <c r="BL437" i="3"/>
  <c r="AZ437" i="3" s="1"/>
  <c r="G439" i="3"/>
  <c r="AB29" i="39"/>
  <c r="U29" i="39"/>
  <c r="B67" i="71"/>
  <c r="N68" i="71"/>
  <c r="BL146" i="3"/>
  <c r="BA168" i="3"/>
  <c r="AZ168" i="3" s="1"/>
  <c r="BA25" i="3"/>
  <c r="BL28" i="3"/>
  <c r="S25" i="21"/>
  <c r="AA25" i="21"/>
  <c r="AB36" i="37"/>
  <c r="U36" i="37"/>
  <c r="S36" i="21"/>
  <c r="AA36" i="21"/>
  <c r="AA31" i="35"/>
  <c r="S31" i="35"/>
  <c r="BA579" i="3"/>
  <c r="AZ579" i="3" s="1"/>
  <c r="BA561" i="3"/>
  <c r="AZ561" i="3" s="1"/>
  <c r="BA233" i="3"/>
  <c r="BL287" i="3"/>
  <c r="BA150" i="3"/>
  <c r="BA159" i="3"/>
  <c r="BL44" i="3"/>
  <c r="AA18" i="35"/>
  <c r="BL280" i="3"/>
  <c r="BA188" i="3"/>
  <c r="AZ188" i="3" s="1"/>
  <c r="U41" i="21"/>
  <c r="AB41" i="21"/>
  <c r="BL576" i="3"/>
  <c r="AZ576" i="3" s="1"/>
  <c r="BA556" i="3"/>
  <c r="AZ556" i="3" s="1"/>
  <c r="BA533" i="3"/>
  <c r="BA519" i="3"/>
  <c r="AZ519" i="3" s="1"/>
  <c r="BA496" i="3"/>
  <c r="AZ496" i="3" s="1"/>
  <c r="BL493" i="3"/>
  <c r="AZ493" i="3" s="1"/>
  <c r="G263" i="3"/>
  <c r="G274" i="3"/>
  <c r="BL283" i="3"/>
  <c r="G285" i="3"/>
  <c r="G294" i="3"/>
  <c r="BL301" i="3"/>
  <c r="G113" i="3"/>
  <c r="BA128" i="3"/>
  <c r="G144" i="3"/>
  <c r="BL160" i="3"/>
  <c r="G169" i="3"/>
  <c r="G180" i="3"/>
  <c r="BA193" i="3"/>
  <c r="AZ193" i="3" s="1"/>
  <c r="BL35" i="3"/>
  <c r="AZ91" i="3"/>
  <c r="F67" i="71"/>
  <c r="Q68" i="71"/>
  <c r="BL543" i="3"/>
  <c r="AZ543" i="3" s="1"/>
  <c r="F14" i="33"/>
  <c r="BA555" i="3"/>
  <c r="AZ555" i="3" s="1"/>
  <c r="G551" i="3"/>
  <c r="G542" i="3"/>
  <c r="B13" i="53"/>
  <c r="B29" i="72" s="1"/>
  <c r="BA401" i="3"/>
  <c r="G404" i="3"/>
  <c r="G413" i="3"/>
  <c r="G477" i="3"/>
  <c r="BA485" i="3"/>
  <c r="BA311" i="3"/>
  <c r="AZ311" i="3" s="1"/>
  <c r="BL222" i="3"/>
  <c r="BA65" i="3"/>
  <c r="G68" i="3"/>
  <c r="BL68" i="3"/>
  <c r="BA92" i="3"/>
  <c r="G95" i="3"/>
  <c r="G106" i="3"/>
  <c r="BL106" i="3"/>
  <c r="AA21" i="37"/>
  <c r="S21" i="37"/>
  <c r="BA500" i="3"/>
  <c r="W17" i="39"/>
  <c r="W29" i="35"/>
  <c r="BL521" i="3"/>
  <c r="AA41" i="21"/>
  <c r="J27" i="34"/>
  <c r="AC27" i="34" s="1"/>
  <c r="F13" i="39"/>
  <c r="H13" i="39"/>
  <c r="H45" i="39"/>
  <c r="F45" i="39"/>
  <c r="BL552" i="3"/>
  <c r="BA201" i="3"/>
  <c r="BL34" i="3"/>
  <c r="BA72" i="3"/>
  <c r="BL75" i="3"/>
  <c r="AC39" i="33"/>
  <c r="W39" i="33"/>
  <c r="J43" i="39"/>
  <c r="H43" i="39"/>
  <c r="BL562" i="3"/>
  <c r="AZ562" i="3" s="1"/>
  <c r="BA528" i="3"/>
  <c r="AZ528" i="3" s="1"/>
  <c r="BA361" i="3"/>
  <c r="AZ361" i="3" s="1"/>
  <c r="BL509" i="3"/>
  <c r="AZ509" i="3" s="1"/>
  <c r="AC5" i="3"/>
  <c r="AA16" i="36"/>
  <c r="S16" i="36"/>
  <c r="J28" i="34"/>
  <c r="W28" i="34" s="1"/>
  <c r="F28" i="34"/>
  <c r="AA28" i="34" s="1"/>
  <c r="H14" i="37"/>
  <c r="AB14" i="37" s="1"/>
  <c r="BL570" i="3"/>
  <c r="BL538" i="3"/>
  <c r="AZ538" i="3" s="1"/>
  <c r="BA499" i="3"/>
  <c r="BL462" i="3"/>
  <c r="G475" i="3"/>
  <c r="BA29" i="3"/>
  <c r="G41" i="3"/>
  <c r="BA47" i="3"/>
  <c r="G50" i="3"/>
  <c r="BL57" i="3"/>
  <c r="G59" i="3"/>
  <c r="J46" i="21"/>
  <c r="F46" i="21"/>
  <c r="G556" i="3"/>
  <c r="AZ329" i="3"/>
  <c r="AZ338" i="3"/>
  <c r="U22" i="36"/>
  <c r="G7" i="34"/>
  <c r="I7" i="34"/>
  <c r="E7" i="34"/>
  <c r="BL495" i="3"/>
  <c r="BL547" i="3"/>
  <c r="AZ547" i="3" s="1"/>
  <c r="BL579" i="3"/>
  <c r="F44" i="33"/>
  <c r="H44" i="33"/>
  <c r="F25" i="36"/>
  <c r="H25" i="36"/>
  <c r="J37" i="39"/>
  <c r="F37" i="39"/>
  <c r="G582" i="3"/>
  <c r="BL533" i="3"/>
  <c r="BL496" i="3"/>
  <c r="BL469" i="3"/>
  <c r="BA132" i="3"/>
  <c r="AZ132" i="3" s="1"/>
  <c r="G166" i="3"/>
  <c r="BL175" i="3"/>
  <c r="AZ175" i="3" s="1"/>
  <c r="BA183" i="3"/>
  <c r="BL186" i="3"/>
  <c r="G202" i="3"/>
  <c r="BL23" i="3"/>
  <c r="G32" i="3"/>
  <c r="G57" i="3"/>
  <c r="BA70" i="3"/>
  <c r="BA88" i="3"/>
  <c r="BL102" i="3"/>
  <c r="BA110" i="3"/>
  <c r="BL517" i="3"/>
  <c r="BL553" i="3"/>
  <c r="BA413" i="3"/>
  <c r="BL367" i="3"/>
  <c r="BL369" i="3"/>
  <c r="BL383" i="3"/>
  <c r="BL213" i="3"/>
  <c r="BA226" i="3"/>
  <c r="AZ226" i="3" s="1"/>
  <c r="BL240" i="3"/>
  <c r="G288" i="3"/>
  <c r="BL110" i="3"/>
  <c r="BL16" i="3"/>
  <c r="AZ16" i="3" s="1"/>
  <c r="BA424" i="3"/>
  <c r="BA431" i="3"/>
  <c r="BL447" i="3"/>
  <c r="BL456" i="3"/>
  <c r="BA464" i="3"/>
  <c r="AZ464" i="3" s="1"/>
  <c r="BA466" i="3"/>
  <c r="AZ466" i="3" s="1"/>
  <c r="G469" i="3"/>
  <c r="BL308" i="3"/>
  <c r="BL310" i="3"/>
  <c r="AZ310" i="3" s="1"/>
  <c r="BL340" i="3"/>
  <c r="AZ340" i="3" s="1"/>
  <c r="BL381" i="3"/>
  <c r="AZ381" i="3" s="1"/>
  <c r="G295" i="3"/>
  <c r="BA120" i="3"/>
  <c r="AZ120" i="3" s="1"/>
  <c r="BL99" i="3"/>
  <c r="AA35" i="71"/>
  <c r="F44" i="71"/>
  <c r="V44" i="71" s="1"/>
  <c r="BB5" i="3"/>
  <c r="E12" i="6" s="1"/>
  <c r="E57" i="40" s="1"/>
  <c r="BA402" i="3"/>
  <c r="BL412" i="3"/>
  <c r="BL423" i="3"/>
  <c r="BL434" i="3"/>
  <c r="G447" i="3"/>
  <c r="BA451" i="3"/>
  <c r="BL458" i="3"/>
  <c r="BA462" i="3"/>
  <c r="BL487" i="3"/>
  <c r="BA208" i="3"/>
  <c r="AZ208" i="3" s="1"/>
  <c r="BL229" i="3"/>
  <c r="BA283" i="3"/>
  <c r="AZ283" i="3" s="1"/>
  <c r="BL284" i="3"/>
  <c r="BA301" i="3"/>
  <c r="AZ301" i="3" s="1"/>
  <c r="BL302" i="3"/>
  <c r="G123" i="3"/>
  <c r="BL123" i="3"/>
  <c r="BA67" i="3"/>
  <c r="BA78" i="3"/>
  <c r="BA94" i="3"/>
  <c r="BA105" i="3"/>
  <c r="B31" i="71"/>
  <c r="B32" i="71" s="1"/>
  <c r="S32" i="71" s="1"/>
  <c r="F47" i="71"/>
  <c r="F48" i="71" s="1"/>
  <c r="V48" i="71" s="1"/>
  <c r="G412" i="3"/>
  <c r="BA422" i="3"/>
  <c r="G478" i="3"/>
  <c r="G315" i="3"/>
  <c r="G209" i="3"/>
  <c r="BL227" i="3"/>
  <c r="BA237" i="3"/>
  <c r="AZ237" i="3" s="1"/>
  <c r="G238" i="3"/>
  <c r="AB9" i="39"/>
  <c r="U9" i="39"/>
  <c r="BA454" i="3"/>
  <c r="BL479" i="3"/>
  <c r="BA487" i="3"/>
  <c r="BA489" i="3"/>
  <c r="BL492" i="3"/>
  <c r="BL350" i="3"/>
  <c r="BL251" i="3"/>
  <c r="G273" i="3"/>
  <c r="BA194" i="3"/>
  <c r="BA207" i="3"/>
  <c r="AZ207" i="3" s="1"/>
  <c r="G20" i="3"/>
  <c r="BL20" i="3"/>
  <c r="G45" i="3"/>
  <c r="BA62" i="3"/>
  <c r="AZ62" i="3" s="1"/>
  <c r="BL63" i="3"/>
  <c r="G74" i="3"/>
  <c r="C21" i="68"/>
  <c r="AA18" i="36"/>
  <c r="S18" i="36"/>
  <c r="P27" i="6"/>
  <c r="B27" i="71"/>
  <c r="B26" i="71" s="1"/>
  <c r="BL499" i="3"/>
  <c r="BL511" i="3"/>
  <c r="AZ511" i="3" s="1"/>
  <c r="BL525" i="3"/>
  <c r="BL577" i="3"/>
  <c r="AZ577" i="3" s="1"/>
  <c r="AC22" i="35"/>
  <c r="W22" i="35"/>
  <c r="BL402" i="3"/>
  <c r="BL451" i="3"/>
  <c r="BL488" i="3"/>
  <c r="BA374" i="3"/>
  <c r="AZ374" i="3" s="1"/>
  <c r="BA211" i="3"/>
  <c r="AZ211" i="3" s="1"/>
  <c r="BA229" i="3"/>
  <c r="BA240" i="3"/>
  <c r="BL245" i="3"/>
  <c r="BL181" i="3"/>
  <c r="BA185" i="3"/>
  <c r="AZ185" i="3" s="1"/>
  <c r="BA205" i="3"/>
  <c r="AZ205" i="3" s="1"/>
  <c r="BA26" i="3"/>
  <c r="BA33" i="3"/>
  <c r="G105" i="3"/>
  <c r="BA109" i="3"/>
  <c r="BA406" i="3"/>
  <c r="AZ406" i="3" s="1"/>
  <c r="BL409" i="3"/>
  <c r="BL416" i="3"/>
  <c r="G418" i="3"/>
  <c r="G429" i="3"/>
  <c r="BL464" i="3"/>
  <c r="BA476" i="3"/>
  <c r="BL477" i="3"/>
  <c r="BL316" i="3"/>
  <c r="G382" i="3"/>
  <c r="G232" i="3"/>
  <c r="BA242" i="3"/>
  <c r="AZ242" i="3" s="1"/>
  <c r="G258" i="3"/>
  <c r="BA156" i="3"/>
  <c r="AZ156" i="3" s="1"/>
  <c r="BL161" i="3"/>
  <c r="BL195" i="3"/>
  <c r="AZ195" i="3" s="1"/>
  <c r="BA40" i="3"/>
  <c r="AZ40" i="3" s="1"/>
  <c r="BA69" i="3"/>
  <c r="BL101" i="3"/>
  <c r="BL503" i="3"/>
  <c r="AZ503" i="3" s="1"/>
  <c r="BL529" i="3"/>
  <c r="BL559" i="3"/>
  <c r="AZ559" i="3" s="1"/>
  <c r="BL581" i="3"/>
  <c r="BL586" i="3"/>
  <c r="H31" i="39"/>
  <c r="J31" i="39"/>
  <c r="A15" i="62"/>
  <c r="B61" i="72" s="1"/>
  <c r="G398" i="3"/>
  <c r="BA404" i="3"/>
  <c r="BL427" i="3"/>
  <c r="BA483" i="3"/>
  <c r="AZ483" i="3" s="1"/>
  <c r="BA315" i="3"/>
  <c r="BA331" i="3"/>
  <c r="AZ331" i="3" s="1"/>
  <c r="G210" i="3"/>
  <c r="G221" i="3"/>
  <c r="BA286" i="3"/>
  <c r="G126" i="3"/>
  <c r="G159" i="3"/>
  <c r="G186" i="3"/>
  <c r="G204" i="3"/>
  <c r="BA22" i="3"/>
  <c r="G25" i="3"/>
  <c r="BL52" i="3"/>
  <c r="G81" i="3"/>
  <c r="BL97" i="3"/>
  <c r="G99" i="3"/>
  <c r="G110" i="3"/>
  <c r="B8" i="1"/>
  <c r="E8" i="1" s="1"/>
  <c r="K8" i="1"/>
  <c r="M8" i="1" s="1"/>
  <c r="S28" i="71"/>
  <c r="C51" i="71"/>
  <c r="C52" i="71" s="1"/>
  <c r="BL399" i="3"/>
  <c r="BL419" i="3"/>
  <c r="AZ419" i="3" s="1"/>
  <c r="BL430" i="3"/>
  <c r="BL443" i="3"/>
  <c r="BL484" i="3"/>
  <c r="BL346" i="3"/>
  <c r="BA395" i="3"/>
  <c r="AZ395" i="3" s="1"/>
  <c r="BA214" i="3"/>
  <c r="G228" i="3"/>
  <c r="BA251" i="3"/>
  <c r="AZ251" i="3" s="1"/>
  <c r="BL254" i="3"/>
  <c r="BL267" i="3"/>
  <c r="BL278" i="3"/>
  <c r="BL154" i="3"/>
  <c r="BA21" i="3"/>
  <c r="BA30" i="3"/>
  <c r="AZ30" i="3" s="1"/>
  <c r="G42" i="3"/>
  <c r="BA97" i="3"/>
  <c r="AZ97" i="3" s="1"/>
  <c r="BA108" i="3"/>
  <c r="B43" i="71"/>
  <c r="B44" i="71" s="1"/>
  <c r="S44" i="71" s="1"/>
  <c r="F59" i="71"/>
  <c r="F60" i="71" s="1"/>
  <c r="V60" i="71" s="1"/>
  <c r="BJ5" i="3"/>
  <c r="G419" i="3"/>
  <c r="BL452" i="3"/>
  <c r="BL480" i="3"/>
  <c r="BL265" i="3"/>
  <c r="BA288" i="3"/>
  <c r="BL298" i="3"/>
  <c r="BL163" i="3"/>
  <c r="BA180" i="3"/>
  <c r="BA189" i="3"/>
  <c r="G203" i="3"/>
  <c r="BL24" i="3"/>
  <c r="BL47" i="3"/>
  <c r="G71" i="3"/>
  <c r="BL96" i="3"/>
  <c r="S25" i="40"/>
  <c r="G14" i="3"/>
  <c r="BA405" i="3"/>
  <c r="G408" i="3"/>
  <c r="G430" i="3"/>
  <c r="G441" i="3"/>
  <c r="G480" i="3"/>
  <c r="BL489" i="3"/>
  <c r="AZ489" i="3" s="1"/>
  <c r="BL491" i="3"/>
  <c r="G351" i="3"/>
  <c r="G396" i="3"/>
  <c r="BA212" i="3"/>
  <c r="AZ212" i="3" s="1"/>
  <c r="G215" i="3"/>
  <c r="G226" i="3"/>
  <c r="BA260" i="3"/>
  <c r="BA262" i="3"/>
  <c r="AZ262" i="3" s="1"/>
  <c r="G265" i="3"/>
  <c r="BA273" i="3"/>
  <c r="BA125" i="3"/>
  <c r="G143" i="3"/>
  <c r="BA149" i="3"/>
  <c r="G152" i="3"/>
  <c r="G163" i="3"/>
  <c r="BA196" i="3"/>
  <c r="G22" i="3"/>
  <c r="BA55" i="3"/>
  <c r="G78" i="3"/>
  <c r="BA95" i="3"/>
  <c r="AZ95" i="3" s="1"/>
  <c r="G96" i="3"/>
  <c r="F3" i="35"/>
  <c r="AA38" i="71"/>
  <c r="E43" i="71"/>
  <c r="E44" i="71" s="1"/>
  <c r="U44" i="71" s="1"/>
  <c r="BA403" i="3"/>
  <c r="BA473" i="3"/>
  <c r="BL476" i="3"/>
  <c r="BL478" i="3"/>
  <c r="AZ478" i="3" s="1"/>
  <c r="BA486" i="3"/>
  <c r="G489" i="3"/>
  <c r="G491" i="3"/>
  <c r="BL215" i="3"/>
  <c r="BL224" i="3"/>
  <c r="BL289" i="3"/>
  <c r="BA114" i="3"/>
  <c r="BL38" i="3"/>
  <c r="BA53" i="3"/>
  <c r="BA73" i="3"/>
  <c r="AZ73" i="3" s="1"/>
  <c r="BL76" i="3"/>
  <c r="G85" i="3"/>
  <c r="BL85" i="3"/>
  <c r="BA104" i="3"/>
  <c r="Y35" i="71"/>
  <c r="Z35" i="71" s="1"/>
  <c r="AB38" i="71"/>
  <c r="H109" i="9"/>
  <c r="B16" i="53"/>
  <c r="B33" i="72" s="1"/>
  <c r="H103" i="9"/>
  <c r="AC40" i="34"/>
  <c r="AB41" i="34"/>
  <c r="W41" i="34"/>
  <c r="U39" i="34"/>
  <c r="W35" i="34"/>
  <c r="U34" i="34"/>
  <c r="U25" i="34"/>
  <c r="AA40" i="34"/>
  <c r="AC39" i="34"/>
  <c r="S37" i="34"/>
  <c r="AA35" i="34"/>
  <c r="AA33" i="34"/>
  <c r="W33" i="34"/>
  <c r="U28" i="34"/>
  <c r="AC28" i="34"/>
  <c r="S28" i="34"/>
  <c r="U27" i="34"/>
  <c r="W27" i="34"/>
  <c r="AA23" i="34"/>
  <c r="U19" i="34"/>
  <c r="AC17" i="34"/>
  <c r="S17" i="34"/>
  <c r="AC15" i="34"/>
  <c r="U15" i="34"/>
  <c r="J9" i="34"/>
  <c r="U9" i="34"/>
  <c r="AB8" i="34"/>
  <c r="AA8" i="34"/>
  <c r="W8" i="34"/>
  <c r="F6" i="1"/>
  <c r="G6" i="1" s="1"/>
  <c r="C40" i="68"/>
  <c r="G22" i="11"/>
  <c r="G22" i="68"/>
  <c r="G26" i="12"/>
  <c r="G22" i="69"/>
  <c r="BA13" i="3"/>
  <c r="BL13" i="3"/>
  <c r="F29" i="6"/>
  <c r="A2" i="9"/>
  <c r="A4" i="52"/>
  <c r="B41" i="72" s="1"/>
  <c r="A118" i="9"/>
  <c r="W45" i="21"/>
  <c r="AC45" i="21"/>
  <c r="AB23" i="21"/>
  <c r="W9" i="21"/>
  <c r="S13" i="21"/>
  <c r="AB21" i="39"/>
  <c r="AB35" i="37"/>
  <c r="U42" i="33"/>
  <c r="AA35" i="33"/>
  <c r="S20" i="35"/>
  <c r="AA22" i="36"/>
  <c r="U33" i="34"/>
  <c r="AA23" i="39"/>
  <c r="AZ362" i="3"/>
  <c r="AZ351" i="3"/>
  <c r="AZ336" i="3"/>
  <c r="AB33" i="40"/>
  <c r="AA43" i="33"/>
  <c r="W36" i="40"/>
  <c r="AA31" i="40"/>
  <c r="AB23" i="37"/>
  <c r="AA24" i="35"/>
  <c r="G521" i="3"/>
  <c r="AZ537" i="3"/>
  <c r="AB45" i="33"/>
  <c r="S14" i="37"/>
  <c r="U46" i="34"/>
  <c r="U30" i="21"/>
  <c r="AA44" i="34"/>
  <c r="AA29" i="35"/>
  <c r="AB17" i="34"/>
  <c r="W36" i="34"/>
  <c r="AA41" i="33"/>
  <c r="U23" i="34"/>
  <c r="BL587" i="3"/>
  <c r="AZ587" i="3" s="1"/>
  <c r="J24" i="36"/>
  <c r="H24" i="36"/>
  <c r="AZ513" i="3"/>
  <c r="AZ502" i="3"/>
  <c r="B97" i="43"/>
  <c r="B75" i="43"/>
  <c r="H12" i="33"/>
  <c r="U12" i="33" s="1"/>
  <c r="J12" i="33"/>
  <c r="H12" i="36"/>
  <c r="AZ306" i="3"/>
  <c r="AA25" i="33"/>
  <c r="AB19" i="40"/>
  <c r="AZ357" i="3"/>
  <c r="AZ322" i="3"/>
  <c r="AZ313" i="3"/>
  <c r="AZ394" i="3"/>
  <c r="AZ531" i="3"/>
  <c r="AA14" i="34"/>
  <c r="G587" i="3"/>
  <c r="H36" i="35"/>
  <c r="J36" i="35"/>
  <c r="AC36" i="35" s="1"/>
  <c r="J23" i="36"/>
  <c r="J39" i="40"/>
  <c r="H39" i="40"/>
  <c r="AA17" i="33"/>
  <c r="S37" i="21"/>
  <c r="AA23" i="37"/>
  <c r="S17" i="37"/>
  <c r="S43" i="34"/>
  <c r="AZ14" i="3"/>
  <c r="AZ334" i="3"/>
  <c r="AZ347" i="3"/>
  <c r="AA11" i="39"/>
  <c r="AZ523" i="3"/>
  <c r="G586" i="3"/>
  <c r="G574" i="3"/>
  <c r="BL410" i="3"/>
  <c r="G437" i="3"/>
  <c r="BL438" i="3"/>
  <c r="BL439" i="3"/>
  <c r="BL445" i="3"/>
  <c r="BL446" i="3"/>
  <c r="G455" i="3"/>
  <c r="BA551" i="3"/>
  <c r="AZ551" i="3" s="1"/>
  <c r="BA550" i="3"/>
  <c r="BL548" i="3"/>
  <c r="G399" i="3"/>
  <c r="BL400" i="3"/>
  <c r="BL408" i="3"/>
  <c r="BL411" i="3"/>
  <c r="BL413" i="3"/>
  <c r="AZ413" i="3" s="1"/>
  <c r="G415" i="3"/>
  <c r="G416" i="3"/>
  <c r="BL417" i="3"/>
  <c r="BL418" i="3"/>
  <c r="BL420" i="3"/>
  <c r="G422" i="3"/>
  <c r="G423" i="3"/>
  <c r="BL424" i="3"/>
  <c r="G426" i="3"/>
  <c r="G427" i="3"/>
  <c r="BL428" i="3"/>
  <c r="BL429" i="3"/>
  <c r="BL432" i="3"/>
  <c r="BL435" i="3"/>
  <c r="BL436" i="3"/>
  <c r="BL440" i="3"/>
  <c r="BA443" i="3"/>
  <c r="AZ443" i="3" s="1"/>
  <c r="G448" i="3"/>
  <c r="BL448" i="3"/>
  <c r="AZ448" i="3" s="1"/>
  <c r="G450" i="3"/>
  <c r="BA457" i="3"/>
  <c r="G460" i="3"/>
  <c r="BL465" i="3"/>
  <c r="BA470" i="3"/>
  <c r="BL585" i="3"/>
  <c r="AZ585" i="3" s="1"/>
  <c r="AC31" i="35"/>
  <c r="G558" i="3"/>
  <c r="BL398" i="3"/>
  <c r="G402" i="3"/>
  <c r="BL403" i="3"/>
  <c r="AZ403" i="3" s="1"/>
  <c r="G406" i="3"/>
  <c r="BA408" i="3"/>
  <c r="AZ408" i="3" s="1"/>
  <c r="BA409" i="3"/>
  <c r="AZ409" i="3" s="1"/>
  <c r="BA411" i="3"/>
  <c r="AZ411" i="3" s="1"/>
  <c r="BL414" i="3"/>
  <c r="BL415" i="3"/>
  <c r="BA417" i="3"/>
  <c r="BL421" i="3"/>
  <c r="BL422" i="3"/>
  <c r="BL425" i="3"/>
  <c r="BL426" i="3"/>
  <c r="BA428" i="3"/>
  <c r="BA429" i="3"/>
  <c r="BA430" i="3"/>
  <c r="AZ430" i="3" s="1"/>
  <c r="BA432" i="3"/>
  <c r="AZ432" i="3" s="1"/>
  <c r="BA434" i="3"/>
  <c r="AZ434" i="3" s="1"/>
  <c r="BA436" i="3"/>
  <c r="AZ436" i="3" s="1"/>
  <c r="BA438" i="3"/>
  <c r="AZ438" i="3" s="1"/>
  <c r="BL441" i="3"/>
  <c r="AZ441" i="3" s="1"/>
  <c r="BL442" i="3"/>
  <c r="BA452" i="3"/>
  <c r="AZ452" i="3" s="1"/>
  <c r="BL455" i="3"/>
  <c r="G459" i="3"/>
  <c r="BA460" i="3"/>
  <c r="BA461" i="3"/>
  <c r="BL550" i="3"/>
  <c r="BL15" i="3"/>
  <c r="AZ15" i="3" s="1"/>
  <c r="BA398" i="3"/>
  <c r="AZ398" i="3" s="1"/>
  <c r="BA399" i="3"/>
  <c r="BL401" i="3"/>
  <c r="AZ401" i="3" s="1"/>
  <c r="BL404" i="3"/>
  <c r="AZ404" i="3" s="1"/>
  <c r="BL405" i="3"/>
  <c r="AZ405" i="3" s="1"/>
  <c r="BL407" i="3"/>
  <c r="AZ407" i="3" s="1"/>
  <c r="BA412" i="3"/>
  <c r="AZ412" i="3" s="1"/>
  <c r="BA414" i="3"/>
  <c r="BA415" i="3"/>
  <c r="BA416" i="3"/>
  <c r="BA418" i="3"/>
  <c r="BA421" i="3"/>
  <c r="AZ421" i="3" s="1"/>
  <c r="BA423" i="3"/>
  <c r="AZ423" i="3" s="1"/>
  <c r="BA425" i="3"/>
  <c r="AZ425" i="3" s="1"/>
  <c r="BA426" i="3"/>
  <c r="BA427" i="3"/>
  <c r="BA433" i="3"/>
  <c r="AZ433" i="3" s="1"/>
  <c r="BA435" i="3"/>
  <c r="G444" i="3"/>
  <c r="BL444" i="3"/>
  <c r="AZ444" i="3" s="1"/>
  <c r="BA458" i="3"/>
  <c r="AZ458" i="3" s="1"/>
  <c r="BA459" i="3"/>
  <c r="G463" i="3"/>
  <c r="G464" i="3"/>
  <c r="BL467" i="3"/>
  <c r="BL468" i="3"/>
  <c r="BL470" i="3"/>
  <c r="BL473" i="3"/>
  <c r="BL474" i="3"/>
  <c r="BA482" i="3"/>
  <c r="BA484" i="3"/>
  <c r="AZ484" i="3" s="1"/>
  <c r="BA303" i="3"/>
  <c r="AZ303" i="3" s="1"/>
  <c r="BA307" i="3"/>
  <c r="AZ307" i="3" s="1"/>
  <c r="BL314" i="3"/>
  <c r="AZ314" i="3" s="1"/>
  <c r="BA332" i="3"/>
  <c r="BL332" i="3"/>
  <c r="BA367" i="3"/>
  <c r="AZ367" i="3" s="1"/>
  <c r="BA370" i="3"/>
  <c r="AZ370" i="3" s="1"/>
  <c r="BA386" i="3"/>
  <c r="AZ386" i="3" s="1"/>
  <c r="BA216" i="3"/>
  <c r="AZ216" i="3" s="1"/>
  <c r="BA239" i="3"/>
  <c r="AZ239" i="3" s="1"/>
  <c r="BL239" i="3"/>
  <c r="G251" i="3"/>
  <c r="G255" i="3"/>
  <c r="BL255" i="3"/>
  <c r="G257" i="3"/>
  <c r="BL257" i="3"/>
  <c r="AZ257" i="3" s="1"/>
  <c r="BL258" i="3"/>
  <c r="AZ258" i="3" s="1"/>
  <c r="G259" i="3"/>
  <c r="BL269" i="3"/>
  <c r="BA275" i="3"/>
  <c r="AZ275" i="3" s="1"/>
  <c r="BA278" i="3"/>
  <c r="AZ278" i="3" s="1"/>
  <c r="BL292" i="3"/>
  <c r="C55" i="71"/>
  <c r="D54" i="71"/>
  <c r="BA439" i="3"/>
  <c r="BA440" i="3"/>
  <c r="BA442" i="3"/>
  <c r="BA445" i="3"/>
  <c r="AZ445" i="3" s="1"/>
  <c r="BA447" i="3"/>
  <c r="AZ447" i="3" s="1"/>
  <c r="BA449" i="3"/>
  <c r="AZ449" i="3" s="1"/>
  <c r="BL453" i="3"/>
  <c r="BL454" i="3"/>
  <c r="AZ454" i="3" s="1"/>
  <c r="G458" i="3"/>
  <c r="BL459" i="3"/>
  <c r="G461" i="3"/>
  <c r="G462" i="3"/>
  <c r="BA465" i="3"/>
  <c r="AZ465" i="3" s="1"/>
  <c r="BA467" i="3"/>
  <c r="AZ467" i="3" s="1"/>
  <c r="BA468" i="3"/>
  <c r="AZ468" i="3" s="1"/>
  <c r="BL471" i="3"/>
  <c r="BL475" i="3"/>
  <c r="BA477" i="3"/>
  <c r="BA478" i="3"/>
  <c r="BA481" i="3"/>
  <c r="G484" i="3"/>
  <c r="BA488" i="3"/>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G214" i="3"/>
  <c r="BL214" i="3"/>
  <c r="AZ214" i="3" s="1"/>
  <c r="G216" i="3"/>
  <c r="BL219" i="3"/>
  <c r="BA222" i="3"/>
  <c r="AZ222" i="3" s="1"/>
  <c r="BA224" i="3"/>
  <c r="AZ224" i="3" s="1"/>
  <c r="BA227" i="3"/>
  <c r="BL285" i="3"/>
  <c r="BA291" i="3"/>
  <c r="BL295" i="3"/>
  <c r="BA298" i="3"/>
  <c r="D34" i="71"/>
  <c r="C35" i="71"/>
  <c r="G442" i="3"/>
  <c r="G443" i="3"/>
  <c r="BA446" i="3"/>
  <c r="AZ446" i="3" s="1"/>
  <c r="BA450" i="3"/>
  <c r="AZ450" i="3" s="1"/>
  <c r="BA453" i="3"/>
  <c r="AZ453" i="3" s="1"/>
  <c r="BA455" i="3"/>
  <c r="AZ455" i="3" s="1"/>
  <c r="BL457" i="3"/>
  <c r="BL460" i="3"/>
  <c r="BL461" i="3"/>
  <c r="BL463" i="3"/>
  <c r="G465" i="3"/>
  <c r="BA471" i="3"/>
  <c r="G486" i="3"/>
  <c r="G488" i="3"/>
  <c r="BL317" i="3"/>
  <c r="G318" i="3"/>
  <c r="BA349" i="3"/>
  <c r="AZ349" i="3" s="1"/>
  <c r="BA353" i="3"/>
  <c r="BL353" i="3"/>
  <c r="BA358" i="3"/>
  <c r="AZ358" i="3" s="1"/>
  <c r="G362" i="3"/>
  <c r="BL365" i="3"/>
  <c r="AZ365" i="3" s="1"/>
  <c r="G366" i="3"/>
  <c r="BA368" i="3"/>
  <c r="BL368" i="3"/>
  <c r="BA388" i="3"/>
  <c r="AZ388" i="3" s="1"/>
  <c r="BA396" i="3"/>
  <c r="BA209" i="3"/>
  <c r="BL217" i="3"/>
  <c r="AZ217" i="3" s="1"/>
  <c r="G218" i="3"/>
  <c r="BL220" i="3"/>
  <c r="BL221" i="3"/>
  <c r="G222" i="3"/>
  <c r="BL223" i="3"/>
  <c r="G224" i="3"/>
  <c r="BL225" i="3"/>
  <c r="BL226" i="3"/>
  <c r="BL230" i="3"/>
  <c r="BA249" i="3"/>
  <c r="BL249" i="3"/>
  <c r="BA384" i="3"/>
  <c r="AZ384" i="3" s="1"/>
  <c r="BA218" i="3"/>
  <c r="BL218" i="3"/>
  <c r="G229" i="3"/>
  <c r="BL231" i="3"/>
  <c r="G233" i="3"/>
  <c r="BL233" i="3"/>
  <c r="AZ233" i="3" s="1"/>
  <c r="G235" i="3"/>
  <c r="BL235" i="3"/>
  <c r="AZ235" i="3" s="1"/>
  <c r="BL236" i="3"/>
  <c r="G237" i="3"/>
  <c r="BL238" i="3"/>
  <c r="G239" i="3"/>
  <c r="BL243" i="3"/>
  <c r="BA247" i="3"/>
  <c r="BL247" i="3"/>
  <c r="BL252" i="3"/>
  <c r="BA253" i="3"/>
  <c r="BL259" i="3"/>
  <c r="BL260" i="3"/>
  <c r="AZ260" i="3" s="1"/>
  <c r="BL263" i="3"/>
  <c r="BA270" i="3"/>
  <c r="AZ270" i="3" s="1"/>
  <c r="BA272" i="3"/>
  <c r="AZ272" i="3" s="1"/>
  <c r="G287" i="3"/>
  <c r="BA290" i="3"/>
  <c r="AZ290" i="3" s="1"/>
  <c r="BA293" i="3"/>
  <c r="D44" i="71"/>
  <c r="T44" i="71"/>
  <c r="AZ52" i="3"/>
  <c r="AC18" i="36"/>
  <c r="W18" i="36"/>
  <c r="AB25" i="40"/>
  <c r="U25" i="40"/>
  <c r="D75" i="71"/>
  <c r="C74" i="71"/>
  <c r="D74" i="71" s="1"/>
  <c r="Y27" i="71"/>
  <c r="Z27" i="71" s="1"/>
  <c r="Y26" i="71"/>
  <c r="Z26" i="71" s="1"/>
  <c r="BL113" i="3"/>
  <c r="BL115" i="3"/>
  <c r="AZ115" i="3" s="1"/>
  <c r="BA118" i="3"/>
  <c r="BL118" i="3"/>
  <c r="BA122" i="3"/>
  <c r="AZ122" i="3" s="1"/>
  <c r="BL125" i="3"/>
  <c r="AZ125" i="3" s="1"/>
  <c r="BL126" i="3"/>
  <c r="BA144" i="3"/>
  <c r="AZ144" i="3" s="1"/>
  <c r="BA153" i="3"/>
  <c r="BL155" i="3"/>
  <c r="AZ155" i="3" s="1"/>
  <c r="BA164" i="3"/>
  <c r="AZ164" i="3" s="1"/>
  <c r="BA166" i="3"/>
  <c r="AZ166" i="3" s="1"/>
  <c r="BA169" i="3"/>
  <c r="AZ169" i="3" s="1"/>
  <c r="BL171" i="3"/>
  <c r="AZ171" i="3" s="1"/>
  <c r="BA176" i="3"/>
  <c r="AZ176" i="3" s="1"/>
  <c r="BA178" i="3"/>
  <c r="BA184" i="3"/>
  <c r="AZ184" i="3" s="1"/>
  <c r="BL187" i="3"/>
  <c r="AZ187" i="3" s="1"/>
  <c r="BL189" i="3"/>
  <c r="BL190" i="3"/>
  <c r="BA192" i="3"/>
  <c r="AZ192" i="3" s="1"/>
  <c r="BL197" i="3"/>
  <c r="BL199" i="3"/>
  <c r="AZ199" i="3" s="1"/>
  <c r="BA200" i="3"/>
  <c r="AZ200" i="3" s="1"/>
  <c r="BA202" i="3"/>
  <c r="BL207" i="3"/>
  <c r="BL18" i="3"/>
  <c r="BL19" i="3"/>
  <c r="BA20" i="3"/>
  <c r="BL25" i="3"/>
  <c r="AZ25" i="3" s="1"/>
  <c r="BL27" i="3"/>
  <c r="BA28" i="3"/>
  <c r="AZ28" i="3" s="1"/>
  <c r="BA31" i="3"/>
  <c r="BA32" i="3"/>
  <c r="G38" i="3"/>
  <c r="BA38" i="3"/>
  <c r="BA41" i="3"/>
  <c r="BA42" i="3"/>
  <c r="G47" i="3"/>
  <c r="BL48" i="3"/>
  <c r="BL54" i="3"/>
  <c r="BL55" i="3"/>
  <c r="G58" i="3"/>
  <c r="BA59" i="3"/>
  <c r="BL61" i="3"/>
  <c r="G64" i="3"/>
  <c r="BA64" i="3"/>
  <c r="BA68" i="3"/>
  <c r="BA80" i="3"/>
  <c r="BL84" i="3"/>
  <c r="G103" i="3"/>
  <c r="BA103" i="3"/>
  <c r="B13" i="1"/>
  <c r="E13" i="1" s="1"/>
  <c r="K13" i="1"/>
  <c r="M13" i="1" s="1"/>
  <c r="O13" i="1" s="1"/>
  <c r="P13" i="1" s="1"/>
  <c r="F40" i="69"/>
  <c r="C40" i="69"/>
  <c r="U21" i="33"/>
  <c r="AB21" i="33"/>
  <c r="AC18" i="35"/>
  <c r="W18" i="35"/>
  <c r="B100" i="43"/>
  <c r="B57" i="43"/>
  <c r="B68" i="43"/>
  <c r="Y28" i="71"/>
  <c r="Z28" i="71" s="1"/>
  <c r="Y30" i="71"/>
  <c r="Z30" i="71" s="1"/>
  <c r="X28" i="71"/>
  <c r="X31" i="71"/>
  <c r="X32" i="71"/>
  <c r="E34" i="71"/>
  <c r="E35" i="71" s="1"/>
  <c r="E36" i="71" s="1"/>
  <c r="U36" i="71" s="1"/>
  <c r="AA30" i="71"/>
  <c r="C67" i="71"/>
  <c r="T68" i="71"/>
  <c r="T76" i="71"/>
  <c r="D76" i="71"/>
  <c r="C23" i="71"/>
  <c r="AA3" i="71"/>
  <c r="BA241" i="3"/>
  <c r="BL241" i="3"/>
  <c r="BA244" i="3"/>
  <c r="BL244" i="3"/>
  <c r="BA246" i="3"/>
  <c r="BA252" i="3"/>
  <c r="AZ252" i="3" s="1"/>
  <c r="BA254" i="3"/>
  <c r="AZ254" i="3" s="1"/>
  <c r="BA256" i="3"/>
  <c r="AZ256" i="3" s="1"/>
  <c r="BL256" i="3"/>
  <c r="BA258" i="3"/>
  <c r="BL264" i="3"/>
  <c r="BL266" i="3"/>
  <c r="BA268" i="3"/>
  <c r="BL273" i="3"/>
  <c r="AZ273" i="3" s="1"/>
  <c r="BA277" i="3"/>
  <c r="BL277" i="3"/>
  <c r="BA282" i="3"/>
  <c r="BL282" i="3"/>
  <c r="BA284" i="3"/>
  <c r="BL290" i="3"/>
  <c r="BL291" i="3"/>
  <c r="BL293" i="3"/>
  <c r="BL294" i="3"/>
  <c r="AZ294" i="3" s="1"/>
  <c r="BA297" i="3"/>
  <c r="AZ297" i="3" s="1"/>
  <c r="BL297" i="3"/>
  <c r="BL300" i="3"/>
  <c r="BA302" i="3"/>
  <c r="BA117" i="3"/>
  <c r="BA130" i="3"/>
  <c r="BL130" i="3"/>
  <c r="BA137" i="3"/>
  <c r="AZ137" i="3" s="1"/>
  <c r="BL138" i="3"/>
  <c r="BA140" i="3"/>
  <c r="AZ140" i="3" s="1"/>
  <c r="BA142" i="3"/>
  <c r="BL149" i="3"/>
  <c r="AZ149" i="3" s="1"/>
  <c r="BL150" i="3"/>
  <c r="AZ150" i="3" s="1"/>
  <c r="BA152" i="3"/>
  <c r="AZ152" i="3" s="1"/>
  <c r="BA154" i="3"/>
  <c r="AZ154" i="3" s="1"/>
  <c r="BA160" i="3"/>
  <c r="AZ160" i="3" s="1"/>
  <c r="BL162" i="3"/>
  <c r="AZ162" i="3" s="1"/>
  <c r="BL165" i="3"/>
  <c r="BL170" i="3"/>
  <c r="BA173" i="3"/>
  <c r="AZ173" i="3" s="1"/>
  <c r="BA174" i="3"/>
  <c r="BL179" i="3"/>
  <c r="BA181" i="3"/>
  <c r="AZ181" i="3" s="1"/>
  <c r="BA182" i="3"/>
  <c r="AZ182" i="3" s="1"/>
  <c r="BL185" i="3"/>
  <c r="BL193" i="3"/>
  <c r="BL194" i="3"/>
  <c r="AZ194" i="3" s="1"/>
  <c r="BA198" i="3"/>
  <c r="AZ198" i="3" s="1"/>
  <c r="G199" i="3"/>
  <c r="G205" i="3"/>
  <c r="BL206" i="3"/>
  <c r="BA19" i="3"/>
  <c r="AZ19" i="3" s="1"/>
  <c r="G27" i="3"/>
  <c r="BA27" i="3"/>
  <c r="BL30" i="3"/>
  <c r="BL31" i="3"/>
  <c r="G37" i="3"/>
  <c r="BL40" i="3"/>
  <c r="BL41" i="3"/>
  <c r="BL45" i="3"/>
  <c r="BA48" i="3"/>
  <c r="BA49" i="3"/>
  <c r="BA51" i="3"/>
  <c r="G55" i="3"/>
  <c r="BL56" i="3"/>
  <c r="AZ56" i="3" s="1"/>
  <c r="BA58" i="3"/>
  <c r="BL59" i="3"/>
  <c r="BL60" i="3"/>
  <c r="BA61" i="3"/>
  <c r="AZ61" i="3" s="1"/>
  <c r="BL69" i="3"/>
  <c r="BL70" i="3"/>
  <c r="BL71" i="3"/>
  <c r="BL72" i="3"/>
  <c r="BA75" i="3"/>
  <c r="BL86" i="3"/>
  <c r="AZ86" i="3" s="1"/>
  <c r="BL93" i="3"/>
  <c r="BL111" i="3"/>
  <c r="W21" i="37"/>
  <c r="AC21" i="37"/>
  <c r="U21" i="37"/>
  <c r="AB21" i="34"/>
  <c r="U21" i="34"/>
  <c r="D43" i="71"/>
  <c r="AB27" i="71"/>
  <c r="C86" i="71"/>
  <c r="D86" i="71" s="1"/>
  <c r="O68" i="71"/>
  <c r="X26" i="71"/>
  <c r="AB34" i="71"/>
  <c r="C63" i="71"/>
  <c r="D62" i="71"/>
  <c r="F66" i="71"/>
  <c r="Q67" i="71"/>
  <c r="P68" i="71"/>
  <c r="U68" i="71"/>
  <c r="BA219" i="3"/>
  <c r="BA221" i="3"/>
  <c r="AZ221" i="3" s="1"/>
  <c r="BA223" i="3"/>
  <c r="AZ223" i="3" s="1"/>
  <c r="BL228" i="3"/>
  <c r="AZ228" i="3" s="1"/>
  <c r="BA230" i="3"/>
  <c r="BL232" i="3"/>
  <c r="BL234" i="3"/>
  <c r="BA236" i="3"/>
  <c r="BA238" i="3"/>
  <c r="BA243" i="3"/>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G289" i="3"/>
  <c r="G290" i="3"/>
  <c r="G291" i="3"/>
  <c r="BA296" i="3"/>
  <c r="BA116" i="3"/>
  <c r="AZ116" i="3" s="1"/>
  <c r="BA121" i="3"/>
  <c r="BL121" i="3"/>
  <c r="BA124" i="3"/>
  <c r="AZ124" i="3" s="1"/>
  <c r="BA126" i="3"/>
  <c r="BA129" i="3"/>
  <c r="BL133" i="3"/>
  <c r="AZ133" i="3" s="1"/>
  <c r="BL139" i="3"/>
  <c r="G140" i="3"/>
  <c r="BL141" i="3"/>
  <c r="BL143" i="3"/>
  <c r="AZ143" i="3" s="1"/>
  <c r="G146" i="3"/>
  <c r="G147" i="3"/>
  <c r="G154" i="3"/>
  <c r="G156" i="3"/>
  <c r="BL157" i="3"/>
  <c r="AZ157" i="3" s="1"/>
  <c r="BL159" i="3"/>
  <c r="AZ159" i="3" s="1"/>
  <c r="G160" i="3"/>
  <c r="BL177" i="3"/>
  <c r="AZ177" i="3" s="1"/>
  <c r="G179" i="3"/>
  <c r="BL183" i="3"/>
  <c r="BA186" i="3"/>
  <c r="BA190" i="3"/>
  <c r="G196" i="3"/>
  <c r="BA197" i="3"/>
  <c r="BL201" i="3"/>
  <c r="AZ201" i="3" s="1"/>
  <c r="BL203" i="3"/>
  <c r="AZ203" i="3" s="1"/>
  <c r="BA204" i="3"/>
  <c r="AZ204" i="3" s="1"/>
  <c r="BA18" i="3"/>
  <c r="G21" i="3"/>
  <c r="BL21" i="3"/>
  <c r="G23" i="3"/>
  <c r="G29" i="3"/>
  <c r="BL29" i="3"/>
  <c r="AZ29" i="3" s="1"/>
  <c r="G33" i="3"/>
  <c r="G34" i="3"/>
  <c r="BA37" i="3"/>
  <c r="G39" i="3"/>
  <c r="BL39" i="3"/>
  <c r="AZ39" i="3" s="1"/>
  <c r="G43" i="3"/>
  <c r="G44" i="3"/>
  <c r="BA45" i="3"/>
  <c r="BA46" i="3"/>
  <c r="BL49" i="3"/>
  <c r="BL50" i="3"/>
  <c r="AZ50" i="3" s="1"/>
  <c r="BL51" i="3"/>
  <c r="BL64" i="3"/>
  <c r="G65" i="3"/>
  <c r="BL65" i="3"/>
  <c r="BL66" i="3"/>
  <c r="BL67" i="3"/>
  <c r="AZ67" i="3" s="1"/>
  <c r="G69" i="3"/>
  <c r="G72" i="3"/>
  <c r="BL73" i="3"/>
  <c r="BA74" i="3"/>
  <c r="AZ74" i="3" s="1"/>
  <c r="BL79" i="3"/>
  <c r="BL81" i="3"/>
  <c r="BA82" i="3"/>
  <c r="AZ82" i="3" s="1"/>
  <c r="BL83" i="3"/>
  <c r="G86" i="3"/>
  <c r="BA87" i="3"/>
  <c r="BA89" i="3"/>
  <c r="G93" i="3"/>
  <c r="BA98" i="3"/>
  <c r="BL103" i="3"/>
  <c r="G104" i="3"/>
  <c r="BA106" i="3"/>
  <c r="AZ106" i="3" s="1"/>
  <c r="BL108" i="3"/>
  <c r="AZ108" i="3" s="1"/>
  <c r="W21" i="21"/>
  <c r="C29" i="39"/>
  <c r="AB25" i="71"/>
  <c r="AB28" i="71"/>
  <c r="D46" i="71"/>
  <c r="T28" i="71"/>
  <c r="D28" i="71"/>
  <c r="U28" i="71" s="1"/>
  <c r="C27" i="71"/>
  <c r="X33" i="71"/>
  <c r="X34" i="71"/>
  <c r="X36" i="71"/>
  <c r="AB37" i="71"/>
  <c r="AB35" i="71"/>
  <c r="S72" i="71"/>
  <c r="V72" i="71"/>
  <c r="F71" i="71"/>
  <c r="F70" i="71" s="1"/>
  <c r="V80" i="71"/>
  <c r="V24" i="71"/>
  <c r="E23" i="71"/>
  <c r="E22" i="71" s="1"/>
  <c r="E21" i="71" s="1"/>
  <c r="E20" i="71" s="1"/>
  <c r="G53" i="3"/>
  <c r="BL53" i="3"/>
  <c r="BA56" i="3"/>
  <c r="BA57" i="3"/>
  <c r="BL58" i="3"/>
  <c r="G60" i="3"/>
  <c r="BA60" i="3"/>
  <c r="AZ60" i="3" s="1"/>
  <c r="BA63" i="3"/>
  <c r="BA66" i="3"/>
  <c r="BA71" i="3"/>
  <c r="G76" i="3"/>
  <c r="BL77" i="3"/>
  <c r="AZ77" i="3" s="1"/>
  <c r="BA79" i="3"/>
  <c r="G82" i="3"/>
  <c r="G83" i="3"/>
  <c r="BA84" i="3"/>
  <c r="BL88" i="3"/>
  <c r="AZ88" i="3" s="1"/>
  <c r="G90" i="3"/>
  <c r="BL90" i="3"/>
  <c r="BL92" i="3"/>
  <c r="AZ92" i="3" s="1"/>
  <c r="G101" i="3"/>
  <c r="BA101" i="3"/>
  <c r="G108" i="3"/>
  <c r="G109" i="3"/>
  <c r="BL112" i="3"/>
  <c r="S21" i="34"/>
  <c r="B88" i="43"/>
  <c r="AA34" i="71"/>
  <c r="B51" i="71"/>
  <c r="B52" i="71" s="1"/>
  <c r="S52" i="71" s="1"/>
  <c r="BA90" i="3"/>
  <c r="AZ90" i="3" s="1"/>
  <c r="BL94" i="3"/>
  <c r="AZ94" i="3" s="1"/>
  <c r="BA100" i="3"/>
  <c r="AZ100" i="3" s="1"/>
  <c r="BA102" i="3"/>
  <c r="AZ102" i="3" s="1"/>
  <c r="BL105" i="3"/>
  <c r="AZ105" i="3" s="1"/>
  <c r="G107" i="3"/>
  <c r="BL107" i="3"/>
  <c r="BA111" i="3"/>
  <c r="AZ111" i="3" s="1"/>
  <c r="AB33" i="71"/>
  <c r="F31" i="71"/>
  <c r="F32" i="71" s="1"/>
  <c r="V32" i="71" s="1"/>
  <c r="AB31" i="71"/>
  <c r="AB36" i="71"/>
  <c r="AA36" i="71"/>
  <c r="Y38" i="71"/>
  <c r="Z38" i="71" s="1"/>
  <c r="B47" i="71"/>
  <c r="B48" i="71" s="1"/>
  <c r="S48" i="71" s="1"/>
  <c r="E47" i="71"/>
  <c r="E48" i="71" s="1"/>
  <c r="U48" i="71" s="1"/>
  <c r="B55" i="71"/>
  <c r="B56" i="71" s="1"/>
  <c r="S56" i="71" s="1"/>
  <c r="F9" i="1"/>
  <c r="G9" i="1" s="1"/>
  <c r="F10" i="1"/>
  <c r="G10" i="1" s="1"/>
  <c r="F8" i="1"/>
  <c r="G8" i="1" s="1"/>
  <c r="H69" i="43"/>
  <c r="S23" i="33"/>
  <c r="AA23" i="33"/>
  <c r="E19" i="71"/>
  <c r="E18" i="71" s="1"/>
  <c r="E17" i="71" s="1"/>
  <c r="E16" i="71" s="1"/>
  <c r="V20" i="71"/>
  <c r="AB17" i="33"/>
  <c r="S29" i="21"/>
  <c r="AB44" i="34"/>
  <c r="S39" i="34"/>
  <c r="AZ382" i="3"/>
  <c r="AZ321" i="3"/>
  <c r="AZ343" i="3"/>
  <c r="AZ517" i="3"/>
  <c r="AZ578" i="3"/>
  <c r="AC13" i="36"/>
  <c r="W13" i="36"/>
  <c r="AB31" i="33"/>
  <c r="U31" i="33"/>
  <c r="S15" i="34"/>
  <c r="AB33" i="35"/>
  <c r="U33" i="35"/>
  <c r="AB43" i="33"/>
  <c r="U43" i="33"/>
  <c r="AZ545" i="3"/>
  <c r="AZ581" i="3"/>
  <c r="AB33" i="37"/>
  <c r="U33" i="37"/>
  <c r="AC19" i="37"/>
  <c r="W23" i="33"/>
  <c r="AB13" i="34"/>
  <c r="S41" i="34"/>
  <c r="AA41" i="34"/>
  <c r="AZ495" i="3"/>
  <c r="AZ567" i="3"/>
  <c r="AC14" i="37"/>
  <c r="W14" i="37"/>
  <c r="U28" i="37"/>
  <c r="AB28" i="37"/>
  <c r="W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S34" i="21"/>
  <c r="J34" i="35"/>
  <c r="F34" i="35"/>
  <c r="J26" i="37"/>
  <c r="F26" i="37"/>
  <c r="F40" i="40"/>
  <c r="G578" i="3"/>
  <c r="AZ410" i="3"/>
  <c r="AZ431" i="3"/>
  <c r="AZ439" i="3"/>
  <c r="AZ442" i="3"/>
  <c r="AZ470" i="3"/>
  <c r="W35" i="39"/>
  <c r="F27" i="34"/>
  <c r="C21" i="39"/>
  <c r="U14" i="37"/>
  <c r="H12" i="21"/>
  <c r="G526" i="3"/>
  <c r="AZ420" i="3"/>
  <c r="AZ424" i="3"/>
  <c r="U26" i="21"/>
  <c r="W36" i="39"/>
  <c r="U23" i="40"/>
  <c r="AA39" i="37"/>
  <c r="AC16" i="36"/>
  <c r="AB12" i="33"/>
  <c r="C27" i="39"/>
  <c r="U40" i="40"/>
  <c r="AC9" i="40"/>
  <c r="W36" i="35"/>
  <c r="J12" i="21"/>
  <c r="B73" i="43"/>
  <c r="B76" i="43"/>
  <c r="F9" i="36"/>
  <c r="J40" i="40"/>
  <c r="G562" i="3"/>
  <c r="AZ426" i="3"/>
  <c r="AZ463" i="3"/>
  <c r="AZ220" i="3"/>
  <c r="AZ231" i="3"/>
  <c r="AZ255"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BA352" i="3"/>
  <c r="AZ352" i="3" s="1"/>
  <c r="BL354" i="3"/>
  <c r="AZ354" i="3" s="1"/>
  <c r="G378" i="3"/>
  <c r="G395" i="3"/>
  <c r="G208" i="3"/>
  <c r="G211" i="3"/>
  <c r="BA213" i="3"/>
  <c r="BA215" i="3"/>
  <c r="G219" i="3"/>
  <c r="AZ225" i="3"/>
  <c r="G230" i="3"/>
  <c r="BA232" i="3"/>
  <c r="AZ232" i="3" s="1"/>
  <c r="BA234" i="3"/>
  <c r="AZ234" i="3" s="1"/>
  <c r="AZ236" i="3"/>
  <c r="G248" i="3"/>
  <c r="BL268" i="3"/>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G240" i="3"/>
  <c r="G242" i="3"/>
  <c r="G245" i="3"/>
  <c r="BL246" i="3"/>
  <c r="BL253" i="3"/>
  <c r="AZ253" i="3" s="1"/>
  <c r="BA261" i="3"/>
  <c r="BA264" i="3"/>
  <c r="AZ264" i="3" s="1"/>
  <c r="BA266" i="3"/>
  <c r="AZ266" i="3" s="1"/>
  <c r="G272" i="3"/>
  <c r="G275" i="3"/>
  <c r="BL276" i="3"/>
  <c r="AZ276" i="3" s="1"/>
  <c r="BL279" i="3"/>
  <c r="AZ279" i="3" s="1"/>
  <c r="BL281" i="3"/>
  <c r="BA285" i="3"/>
  <c r="AZ285" i="3" s="1"/>
  <c r="BA287" i="3"/>
  <c r="AZ287" i="3" s="1"/>
  <c r="AZ134" i="3"/>
  <c r="BA289" i="3"/>
  <c r="G293" i="3"/>
  <c r="G296" i="3"/>
  <c r="BL296" i="3"/>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AZ18" i="3"/>
  <c r="BL288" i="3"/>
  <c r="AZ288" i="3" s="1"/>
  <c r="BA292" i="3"/>
  <c r="AZ292" i="3" s="1"/>
  <c r="BA295" i="3"/>
  <c r="AZ295" i="3" s="1"/>
  <c r="G298" i="3"/>
  <c r="BA299" i="3"/>
  <c r="BA300" i="3"/>
  <c r="AZ300" i="3" s="1"/>
  <c r="BA113" i="3"/>
  <c r="G119" i="3"/>
  <c r="G122" i="3"/>
  <c r="G131" i="3"/>
  <c r="BA136" i="3"/>
  <c r="AZ136" i="3" s="1"/>
  <c r="BA138" i="3"/>
  <c r="AZ138" i="3" s="1"/>
  <c r="BA141" i="3"/>
  <c r="AZ141" i="3" s="1"/>
  <c r="BL145" i="3"/>
  <c r="BL147" i="3"/>
  <c r="AZ147" i="3" s="1"/>
  <c r="G148" i="3"/>
  <c r="BL151" i="3"/>
  <c r="AZ151" i="3" s="1"/>
  <c r="BA165" i="3"/>
  <c r="AZ165" i="3" s="1"/>
  <c r="G168" i="3"/>
  <c r="BA170" i="3"/>
  <c r="AZ170" i="3" s="1"/>
  <c r="BL174" i="3"/>
  <c r="BL202" i="3"/>
  <c r="AZ202" i="3" s="1"/>
  <c r="BL36" i="3"/>
  <c r="AZ36" i="3" s="1"/>
  <c r="AZ48" i="3"/>
  <c r="AZ68" i="3"/>
  <c r="G200" i="3"/>
  <c r="G207" i="3"/>
  <c r="BA23" i="3"/>
  <c r="AZ23" i="3" s="1"/>
  <c r="BA24" i="3"/>
  <c r="AZ24" i="3" s="1"/>
  <c r="BL26" i="3"/>
  <c r="BL32" i="3"/>
  <c r="BA34" i="3"/>
  <c r="BA35" i="3"/>
  <c r="BL37" i="3"/>
  <c r="AZ37" i="3" s="1"/>
  <c r="BL42" i="3"/>
  <c r="BA44" i="3"/>
  <c r="AZ44" i="3" s="1"/>
  <c r="BA206" i="3"/>
  <c r="BL22" i="3"/>
  <c r="AZ22" i="3" s="1"/>
  <c r="BL33" i="3"/>
  <c r="AZ33" i="3" s="1"/>
  <c r="BL43" i="3"/>
  <c r="AZ43" i="3" s="1"/>
  <c r="BL46" i="3"/>
  <c r="AZ46" i="3" s="1"/>
  <c r="AZ54" i="3"/>
  <c r="BL78" i="3"/>
  <c r="BA83" i="3"/>
  <c r="G91" i="3"/>
  <c r="BL95" i="3"/>
  <c r="BL98" i="3"/>
  <c r="BL109" i="3"/>
  <c r="AB21" i="21"/>
  <c r="AZ78" i="3"/>
  <c r="G77" i="3"/>
  <c r="BA81" i="3"/>
  <c r="AZ81" i="3" s="1"/>
  <c r="BA85" i="3"/>
  <c r="AZ85" i="3" s="1"/>
  <c r="BL89" i="3"/>
  <c r="AZ89" i="3" s="1"/>
  <c r="G94" i="3"/>
  <c r="G97" i="3"/>
  <c r="G100" i="3"/>
  <c r="BA107" i="3"/>
  <c r="BA112" i="3"/>
  <c r="AC21" i="34"/>
  <c r="E27" i="71"/>
  <c r="E26" i="71" s="1"/>
  <c r="V28" i="71"/>
  <c r="BA76" i="3"/>
  <c r="AZ76" i="3" s="1"/>
  <c r="BL80" i="3"/>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H67" i="43"/>
  <c r="H50" i="43"/>
  <c r="C28" i="67"/>
  <c r="H83" i="43"/>
  <c r="S22" i="31"/>
  <c r="R22" i="31" s="1"/>
  <c r="D74" i="43"/>
  <c r="E50" i="43"/>
  <c r="B48" i="43" s="1"/>
  <c r="H78" i="43"/>
  <c r="AC32" i="36"/>
  <c r="W31" i="36"/>
  <c r="W33" i="36"/>
  <c r="AC34" i="36"/>
  <c r="AA31" i="36"/>
  <c r="S28" i="36"/>
  <c r="S30" i="36"/>
  <c r="S29" i="36"/>
  <c r="W8" i="36"/>
  <c r="AB8"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30" i="69"/>
  <c r="F53" i="9"/>
  <c r="C5" i="11"/>
  <c r="C4" i="12"/>
  <c r="C31" i="12" s="1"/>
  <c r="I4" i="6"/>
  <c r="G3" i="43" s="1"/>
  <c r="H26" i="43" s="1"/>
  <c r="F30"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P11" i="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F51" i="15"/>
  <c r="F66" i="67"/>
  <c r="F64" i="15"/>
  <c r="B13" i="70"/>
  <c r="C36" i="68"/>
  <c r="M9" i="67"/>
  <c r="F40" i="15"/>
  <c r="F7" i="67"/>
  <c r="M29" i="67"/>
  <c r="D9" i="69"/>
  <c r="M22" i="15"/>
  <c r="M24" i="15"/>
  <c r="F37" i="67"/>
  <c r="F6" i="67"/>
  <c r="F37" i="15"/>
  <c r="C36" i="69"/>
  <c r="M9" i="15"/>
  <c r="F8" i="67"/>
  <c r="F40" i="67"/>
  <c r="M8" i="67"/>
  <c r="F26" i="15"/>
  <c r="M26" i="67"/>
  <c r="M28" i="15"/>
  <c r="F42" i="15"/>
  <c r="M26" i="15"/>
  <c r="D3" i="73"/>
  <c r="M6" i="67"/>
  <c r="L47" i="67"/>
  <c r="F16" i="67"/>
  <c r="D4" i="73"/>
  <c r="L47" i="15"/>
  <c r="D7" i="73"/>
  <c r="F26" i="67"/>
  <c r="F13" i="67"/>
  <c r="M28" i="67"/>
  <c r="F9" i="67"/>
  <c r="M22" i="67"/>
  <c r="J15" i="67"/>
  <c r="F38" i="15"/>
  <c r="F43" i="67"/>
  <c r="F9" i="15"/>
  <c r="F16" i="15"/>
  <c r="M23" i="15"/>
  <c r="F6" i="15"/>
  <c r="M24" i="67"/>
  <c r="F7" i="15"/>
  <c r="F36" i="67"/>
  <c r="F43" i="15"/>
  <c r="M8" i="15"/>
  <c r="C76" i="67"/>
  <c r="L48" i="67"/>
  <c r="M23" i="67"/>
  <c r="D5" i="73"/>
  <c r="F71" i="15" l="1"/>
  <c r="M7" i="15"/>
  <c r="J6" i="15" s="1"/>
  <c r="F50" i="15"/>
  <c r="C6" i="15"/>
  <c r="F66" i="15"/>
  <c r="L58" i="15"/>
  <c r="Q60" i="15" s="1"/>
  <c r="M59" i="15"/>
  <c r="L59" i="15"/>
  <c r="Q74" i="15" s="1"/>
  <c r="N59" i="15"/>
  <c r="N59" i="67"/>
  <c r="L59" i="67"/>
  <c r="Q61" i="67" s="1"/>
  <c r="M59" i="67"/>
  <c r="C27" i="15"/>
  <c r="F65" i="15"/>
  <c r="F68" i="15"/>
  <c r="U34" i="36"/>
  <c r="AB34" i="36"/>
  <c r="AZ368" i="3"/>
  <c r="U14" i="21"/>
  <c r="AB14" i="21"/>
  <c r="AB25" i="35"/>
  <c r="U25" i="35"/>
  <c r="AA11" i="36"/>
  <c r="S11" i="36"/>
  <c r="AA27" i="37"/>
  <c r="S27" i="37"/>
  <c r="S14" i="21"/>
  <c r="AA14" i="21"/>
  <c r="S25" i="35"/>
  <c r="AA25" i="35"/>
  <c r="AZ21" i="3"/>
  <c r="AZ118" i="3"/>
  <c r="AB9" i="33"/>
  <c r="U9" i="33"/>
  <c r="AZ206" i="3"/>
  <c r="AZ284" i="3"/>
  <c r="AB43" i="39"/>
  <c r="U43" i="39"/>
  <c r="AC23" i="35"/>
  <c r="W23" i="35"/>
  <c r="AZ163" i="3"/>
  <c r="AA35" i="39"/>
  <c r="S35" i="39"/>
  <c r="W43" i="39"/>
  <c r="AC43" i="39"/>
  <c r="D9" i="11"/>
  <c r="C9" i="11" s="1"/>
  <c r="AZ142" i="3"/>
  <c r="AZ246" i="3"/>
  <c r="AZ213" i="3"/>
  <c r="AB12" i="34"/>
  <c r="U12" i="34"/>
  <c r="U31" i="40"/>
  <c r="AB31" i="40"/>
  <c r="AZ265" i="3"/>
  <c r="D9" i="68"/>
  <c r="C9" i="68" s="1"/>
  <c r="AZ53" i="3"/>
  <c r="AZ277" i="3"/>
  <c r="D30" i="71"/>
  <c r="AZ427" i="3"/>
  <c r="AZ429" i="3"/>
  <c r="AZ499" i="3"/>
  <c r="W12" i="34"/>
  <c r="AC12" i="34"/>
  <c r="AZ397" i="3"/>
  <c r="AZ428" i="3"/>
  <c r="AZ451" i="3"/>
  <c r="U46" i="33"/>
  <c r="AB46" i="33"/>
  <c r="AZ520" i="3"/>
  <c r="AZ139" i="3"/>
  <c r="AZ75" i="3"/>
  <c r="AZ575" i="3"/>
  <c r="AZ112" i="3"/>
  <c r="AZ35" i="3"/>
  <c r="AZ113" i="3"/>
  <c r="AZ268" i="3"/>
  <c r="P66" i="71"/>
  <c r="AZ190" i="3"/>
  <c r="D51" i="71"/>
  <c r="AZ72" i="3"/>
  <c r="AB31" i="39"/>
  <c r="U31" i="39"/>
  <c r="AZ487" i="3"/>
  <c r="AZ533" i="3"/>
  <c r="S14" i="33"/>
  <c r="AA14" i="33"/>
  <c r="AA45" i="21"/>
  <c r="S45" i="21"/>
  <c r="AZ552" i="3"/>
  <c r="W13" i="34"/>
  <c r="AC13" i="34"/>
  <c r="W14" i="40"/>
  <c r="AC14" i="40"/>
  <c r="AC25" i="37"/>
  <c r="W25" i="37"/>
  <c r="AZ415" i="3"/>
  <c r="AC9" i="36"/>
  <c r="W9" i="36"/>
  <c r="W11" i="36"/>
  <c r="AZ219" i="3"/>
  <c r="AZ38" i="3"/>
  <c r="AC9" i="33"/>
  <c r="W9" i="33"/>
  <c r="U43" i="34"/>
  <c r="AZ180" i="3"/>
  <c r="W28" i="33"/>
  <c r="AC28" i="33"/>
  <c r="AZ145" i="3"/>
  <c r="AC31" i="21"/>
  <c r="W31" i="21"/>
  <c r="U31" i="21"/>
  <c r="AB31" i="21"/>
  <c r="E14" i="6"/>
  <c r="AZ178" i="3"/>
  <c r="AZ109" i="3"/>
  <c r="AZ210" i="3"/>
  <c r="AZ462" i="3"/>
  <c r="S32" i="34"/>
  <c r="AA32" i="34"/>
  <c r="AZ98" i="3"/>
  <c r="AZ491" i="3"/>
  <c r="AZ548" i="3"/>
  <c r="W24" i="35"/>
  <c r="AC24" i="35"/>
  <c r="AC12" i="40"/>
  <c r="W12" i="40"/>
  <c r="AZ42" i="3"/>
  <c r="AZ243" i="3"/>
  <c r="AZ20" i="3"/>
  <c r="AC31" i="39"/>
  <c r="W31" i="39"/>
  <c r="U25" i="37"/>
  <c r="AB25" i="37"/>
  <c r="E10" i="6"/>
  <c r="AZ83" i="3"/>
  <c r="G26" i="43"/>
  <c r="AZ107" i="3"/>
  <c r="AZ34" i="3"/>
  <c r="AZ186" i="3"/>
  <c r="AZ274" i="3"/>
  <c r="AZ302" i="3"/>
  <c r="AZ55" i="3"/>
  <c r="AZ471" i="3"/>
  <c r="AZ473" i="3"/>
  <c r="AZ422" i="3"/>
  <c r="AC44" i="34"/>
  <c r="AZ240" i="3"/>
  <c r="AZ110" i="3"/>
  <c r="AZ586" i="3"/>
  <c r="AB32" i="36"/>
  <c r="U32" i="36"/>
  <c r="AB14" i="40"/>
  <c r="U14" i="40"/>
  <c r="S25" i="36"/>
  <c r="AA25" i="36"/>
  <c r="AZ65" i="3"/>
  <c r="AZ189" i="3"/>
  <c r="AA31" i="21"/>
  <c r="S31" i="21"/>
  <c r="I24" i="43"/>
  <c r="C24" i="43" s="1"/>
  <c r="AZ296" i="3"/>
  <c r="AZ80" i="3"/>
  <c r="AZ215" i="3"/>
  <c r="AZ399" i="3"/>
  <c r="AZ525" i="3"/>
  <c r="AZ128" i="3"/>
  <c r="H16" i="1"/>
  <c r="AZ197" i="3"/>
  <c r="AZ488" i="3"/>
  <c r="AB12" i="40"/>
  <c r="U12" i="40"/>
  <c r="AZ582" i="3"/>
  <c r="E13" i="6"/>
  <c r="E62" i="39" s="1"/>
  <c r="AA12" i="34"/>
  <c r="AZ84" i="3"/>
  <c r="AZ238" i="3"/>
  <c r="AZ179" i="3"/>
  <c r="AB40" i="34"/>
  <c r="AZ280" i="3"/>
  <c r="AA14" i="40"/>
  <c r="S14" i="40"/>
  <c r="E15" i="6"/>
  <c r="E64" i="39" s="1"/>
  <c r="AZ32" i="3"/>
  <c r="AZ174" i="3"/>
  <c r="AZ299" i="3"/>
  <c r="AZ79" i="3"/>
  <c r="AZ183" i="3"/>
  <c r="AZ126" i="3"/>
  <c r="AZ70" i="3"/>
  <c r="AZ218" i="3"/>
  <c r="AZ440" i="3"/>
  <c r="AZ418" i="3"/>
  <c r="W19" i="34"/>
  <c r="AZ476" i="3"/>
  <c r="AZ229" i="3"/>
  <c r="AA37" i="39"/>
  <c r="S37" i="39"/>
  <c r="AA46" i="21"/>
  <c r="S46" i="21"/>
  <c r="S45" i="39"/>
  <c r="AA45" i="39"/>
  <c r="AZ569" i="3"/>
  <c r="W14" i="34"/>
  <c r="AC14" i="34"/>
  <c r="AB28" i="21"/>
  <c r="U28" i="21"/>
  <c r="D79" i="71"/>
  <c r="C78" i="71"/>
  <c r="D78" i="71" s="1"/>
  <c r="D38" i="71"/>
  <c r="C39" i="71"/>
  <c r="U25" i="36"/>
  <c r="AB25" i="36"/>
  <c r="U13" i="39"/>
  <c r="AB13" i="39"/>
  <c r="AZ121" i="3"/>
  <c r="AZ247" i="3"/>
  <c r="AZ414" i="3"/>
  <c r="S13" i="39"/>
  <c r="AA13" i="39"/>
  <c r="S30" i="34"/>
  <c r="AA30" i="34"/>
  <c r="AZ66" i="3"/>
  <c r="U44" i="33"/>
  <c r="AB44" i="33"/>
  <c r="S9" i="33"/>
  <c r="AZ63" i="3"/>
  <c r="S44" i="33"/>
  <c r="AA44" i="33"/>
  <c r="AZ47" i="3"/>
  <c r="AA23" i="35"/>
  <c r="S23" i="35"/>
  <c r="U27" i="37"/>
  <c r="AB27" i="37"/>
  <c r="AZ521" i="3"/>
  <c r="S45" i="33"/>
  <c r="AA45" i="33"/>
  <c r="U23" i="35"/>
  <c r="AB23" i="35"/>
  <c r="W14" i="21"/>
  <c r="AC14" i="21"/>
  <c r="W25" i="35"/>
  <c r="AC25" i="35"/>
  <c r="AZ485" i="3"/>
  <c r="U9" i="36"/>
  <c r="AZ101" i="3"/>
  <c r="AZ244" i="3"/>
  <c r="W43" i="34"/>
  <c r="AA28" i="33"/>
  <c r="S28" i="33"/>
  <c r="AZ261" i="3"/>
  <c r="AZ527" i="3"/>
  <c r="AZ57" i="3"/>
  <c r="AZ286" i="3"/>
  <c r="AZ435" i="3"/>
  <c r="AZ400" i="3"/>
  <c r="AZ289" i="3"/>
  <c r="U32" i="34"/>
  <c r="AB32" i="34"/>
  <c r="AP6" i="1"/>
  <c r="C8" i="74"/>
  <c r="AZ298" i="3"/>
  <c r="AC46" i="33"/>
  <c r="W46" i="33"/>
  <c r="AA13" i="34"/>
  <c r="S13" i="34"/>
  <c r="C60" i="71"/>
  <c r="D59" i="71"/>
  <c r="B20" i="31"/>
  <c r="B21" i="31" s="1"/>
  <c r="AZ26" i="3"/>
  <c r="AZ281" i="3"/>
  <c r="AZ348" i="3"/>
  <c r="AZ230" i="3"/>
  <c r="AZ69" i="3"/>
  <c r="AZ227" i="3"/>
  <c r="AZ416" i="3"/>
  <c r="AZ417" i="3"/>
  <c r="S19" i="34"/>
  <c r="AZ402" i="3"/>
  <c r="AC37" i="39"/>
  <c r="W37" i="39"/>
  <c r="U45" i="39"/>
  <c r="AB45" i="39"/>
  <c r="B66" i="71"/>
  <c r="N67" i="71"/>
  <c r="AB30" i="34"/>
  <c r="U30" i="34"/>
  <c r="AB14" i="34"/>
  <c r="U14" i="34"/>
  <c r="AA28" i="21"/>
  <c r="S28" i="21"/>
  <c r="S34" i="36"/>
  <c r="AA34" i="36"/>
  <c r="W32" i="34"/>
  <c r="AC32" i="34"/>
  <c r="S32" i="36"/>
  <c r="AA32" i="36"/>
  <c r="D8" i="53"/>
  <c r="D120" i="9"/>
  <c r="AC9" i="34"/>
  <c r="W9" i="34"/>
  <c r="N94" i="46"/>
  <c r="J26" i="43"/>
  <c r="N370" i="46"/>
  <c r="F26" i="43"/>
  <c r="E26" i="43"/>
  <c r="Q16" i="1"/>
  <c r="P6" i="1"/>
  <c r="C13" i="12" s="1"/>
  <c r="E28" i="6"/>
  <c r="K14" i="1" s="1"/>
  <c r="K16" i="1" s="1"/>
  <c r="F65" i="67"/>
  <c r="C27" i="67"/>
  <c r="F51" i="67"/>
  <c r="C6" i="67"/>
  <c r="C32" i="67" s="1"/>
  <c r="L56" i="67"/>
  <c r="L58" i="67"/>
  <c r="Q73" i="67" s="1"/>
  <c r="I54" i="67"/>
  <c r="J53" i="67"/>
  <c r="Q52" i="67" s="1"/>
  <c r="J57" i="67"/>
  <c r="J55" i="67" s="1"/>
  <c r="J58" i="67" s="1"/>
  <c r="Q50" i="67" s="1"/>
  <c r="F68" i="67"/>
  <c r="F71" i="67"/>
  <c r="Q71" i="67"/>
  <c r="F64" i="67"/>
  <c r="F50" i="67"/>
  <c r="M7" i="67"/>
  <c r="J6" i="67" s="1"/>
  <c r="J18" i="67" s="1"/>
  <c r="F31" i="67"/>
  <c r="G16" i="1"/>
  <c r="F10" i="39" s="1"/>
  <c r="S10" i="39" s="1"/>
  <c r="AZ71" i="3"/>
  <c r="AZ45" i="3"/>
  <c r="C64" i="71"/>
  <c r="D63" i="71"/>
  <c r="T52" i="71"/>
  <c r="D52" i="71"/>
  <c r="AZ64" i="3"/>
  <c r="AZ27" i="3"/>
  <c r="AZ459" i="3"/>
  <c r="AZ550" i="3"/>
  <c r="AC24" i="36"/>
  <c r="W24" i="36"/>
  <c r="C26" i="71"/>
  <c r="D26" i="71" s="1"/>
  <c r="D27" i="71"/>
  <c r="B19" i="71"/>
  <c r="B18" i="71" s="1"/>
  <c r="B17" i="71" s="1"/>
  <c r="B16" i="71" s="1"/>
  <c r="S20" i="71"/>
  <c r="C36" i="71"/>
  <c r="D35" i="71"/>
  <c r="AZ291" i="3"/>
  <c r="AZ457" i="3"/>
  <c r="U39" i="40"/>
  <c r="AB39" i="40"/>
  <c r="AB36" i="35"/>
  <c r="U36" i="35"/>
  <c r="U12" i="36"/>
  <c r="AB12" i="36"/>
  <c r="AZ271" i="3"/>
  <c r="AZ51" i="3"/>
  <c r="C22" i="71"/>
  <c r="D23" i="71"/>
  <c r="D67" i="71"/>
  <c r="C66" i="71"/>
  <c r="O67" i="71"/>
  <c r="AZ41" i="3"/>
  <c r="AZ31" i="3"/>
  <c r="D31" i="71"/>
  <c r="C32" i="71"/>
  <c r="AZ249" i="3"/>
  <c r="AZ461" i="3"/>
  <c r="AC39" i="40"/>
  <c r="W39" i="40"/>
  <c r="AC12" i="33"/>
  <c r="W12" i="33"/>
  <c r="G5" i="3"/>
  <c r="B3" i="3" s="1"/>
  <c r="E536" i="3" s="1"/>
  <c r="AZ58" i="3"/>
  <c r="AZ49" i="3"/>
  <c r="AZ130" i="3"/>
  <c r="AZ282" i="3"/>
  <c r="AZ241" i="3"/>
  <c r="AZ103" i="3"/>
  <c r="AZ59" i="3"/>
  <c r="AZ353" i="3"/>
  <c r="C56" i="71"/>
  <c r="D55" i="71"/>
  <c r="AZ332" i="3"/>
  <c r="AZ460" i="3"/>
  <c r="AC23" i="36"/>
  <c r="W23" i="36"/>
  <c r="AB24" i="36"/>
  <c r="U24" i="36"/>
  <c r="J7" i="37"/>
  <c r="W7" i="37" s="1"/>
  <c r="K1" i="73"/>
  <c r="E212" i="3"/>
  <c r="E575" i="3"/>
  <c r="E466" i="3"/>
  <c r="E449" i="3"/>
  <c r="AP6" i="3"/>
  <c r="E517" i="3"/>
  <c r="E417" i="3"/>
  <c r="E479" i="3"/>
  <c r="E152" i="3"/>
  <c r="E258" i="3"/>
  <c r="E241" i="3"/>
  <c r="E389" i="3"/>
  <c r="E409" i="3"/>
  <c r="E467" i="3"/>
  <c r="E46" i="3"/>
  <c r="E160" i="3"/>
  <c r="E371" i="3"/>
  <c r="E310" i="3"/>
  <c r="E492" i="3"/>
  <c r="E33" i="3"/>
  <c r="E184" i="3"/>
  <c r="E355" i="3"/>
  <c r="E63" i="3"/>
  <c r="E283" i="3"/>
  <c r="E309" i="3"/>
  <c r="E198" i="3"/>
  <c r="E281" i="3"/>
  <c r="E482" i="3"/>
  <c r="E18" i="3"/>
  <c r="E174" i="3"/>
  <c r="E383" i="3"/>
  <c r="E34" i="3"/>
  <c r="E206" i="3"/>
  <c r="E113" i="3"/>
  <c r="E308" i="3"/>
  <c r="E22" i="3"/>
  <c r="E173" i="3"/>
  <c r="E525" i="3"/>
  <c r="E405" i="3"/>
  <c r="E469" i="3"/>
  <c r="E408" i="3"/>
  <c r="E451" i="3"/>
  <c r="E13" i="3"/>
  <c r="E452" i="3"/>
  <c r="E26" i="3"/>
  <c r="E104" i="3"/>
  <c r="E41" i="3"/>
  <c r="E225" i="3"/>
  <c r="E243" i="3"/>
  <c r="E356" i="3"/>
  <c r="E412" i="3"/>
  <c r="E78" i="3"/>
  <c r="E190" i="3"/>
  <c r="E324" i="3"/>
  <c r="E342" i="3"/>
  <c r="E35" i="3"/>
  <c r="E232" i="3"/>
  <c r="E80" i="3"/>
  <c r="E158" i="3"/>
  <c r="E326" i="3"/>
  <c r="E83" i="3"/>
  <c r="E329" i="3"/>
  <c r="E16" i="3"/>
  <c r="E188" i="3"/>
  <c r="E223" i="3"/>
  <c r="E116" i="3"/>
  <c r="E105" i="3"/>
  <c r="E393" i="3"/>
  <c r="E493" i="3"/>
  <c r="E564" i="3"/>
  <c r="E543" i="3"/>
  <c r="E427" i="3"/>
  <c r="E507" i="3"/>
  <c r="E422" i="3"/>
  <c r="E440" i="3"/>
  <c r="E490" i="3"/>
  <c r="E376" i="3"/>
  <c r="AH6" i="3"/>
  <c r="J6" i="3"/>
  <c r="E498" i="3"/>
  <c r="E419" i="3"/>
  <c r="E401" i="3"/>
  <c r="E463" i="3"/>
  <c r="E40" i="3"/>
  <c r="E25" i="3"/>
  <c r="E108" i="3"/>
  <c r="E178" i="3"/>
  <c r="E226" i="3"/>
  <c r="E276" i="3"/>
  <c r="E346" i="3"/>
  <c r="E333" i="3"/>
  <c r="E372" i="3"/>
  <c r="L6" i="3"/>
  <c r="E60" i="3"/>
  <c r="E43" i="3"/>
  <c r="E540" i="3"/>
  <c r="E473" i="3"/>
  <c r="E15" i="3"/>
  <c r="E455" i="3"/>
  <c r="E79" i="3"/>
  <c r="E38" i="3"/>
  <c r="E170" i="3"/>
  <c r="E194" i="3"/>
  <c r="E234" i="3"/>
  <c r="E299" i="3"/>
  <c r="E339" i="3"/>
  <c r="E325" i="3"/>
  <c r="E392" i="3"/>
  <c r="AQ6" i="3"/>
  <c r="E52" i="3"/>
  <c r="E36" i="3"/>
  <c r="E112" i="3"/>
  <c r="E123" i="3"/>
  <c r="E147" i="3"/>
  <c r="E289" i="3"/>
  <c r="E340" i="3"/>
  <c r="E364"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S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56" i="39"/>
  <c r="H7" i="34"/>
  <c r="AB7" i="34" s="1"/>
  <c r="E67" i="39"/>
  <c r="E69" i="39" s="1"/>
  <c r="J7" i="34"/>
  <c r="W7" i="34" s="1"/>
  <c r="F7" i="34"/>
  <c r="S7" i="34" s="1"/>
  <c r="AA26" i="35"/>
  <c r="S26" i="35"/>
  <c r="AC26" i="35"/>
  <c r="W26" i="35"/>
  <c r="AB26" i="35"/>
  <c r="U26" i="35"/>
  <c r="E61" i="39"/>
  <c r="E56" i="40"/>
  <c r="C9" i="69"/>
  <c r="E72" i="43"/>
  <c r="B70" i="43" s="1"/>
  <c r="F27" i="11"/>
  <c r="C29" i="11" s="1"/>
  <c r="D27" i="11" s="1"/>
  <c r="F28" i="12"/>
  <c r="C29" i="12" s="1"/>
  <c r="D28" i="12" s="1"/>
  <c r="F31" i="6"/>
  <c r="E51" i="40"/>
  <c r="M14" i="1"/>
  <c r="D5" i="43"/>
  <c r="H10" i="40"/>
  <c r="AB10" i="40" s="1"/>
  <c r="D26" i="43"/>
  <c r="C25" i="43" s="1"/>
  <c r="C7" i="43"/>
  <c r="C5" i="43" s="1"/>
  <c r="D10" i="52"/>
  <c r="D125" i="9"/>
  <c r="D11" i="52" s="1"/>
  <c r="B7" i="74"/>
  <c r="C7" i="74" s="1"/>
  <c r="F59" i="67"/>
  <c r="H7" i="37"/>
  <c r="AB7" i="37" s="1"/>
  <c r="T42" i="37" s="1"/>
  <c r="G42" i="37" s="1"/>
  <c r="H7" i="33"/>
  <c r="J7" i="33"/>
  <c r="D65" i="40"/>
  <c r="E63" i="40"/>
  <c r="F48" i="35"/>
  <c r="AC7" i="37"/>
  <c r="U7" i="36"/>
  <c r="F7" i="33"/>
  <c r="E58" i="21"/>
  <c r="AC7" i="36"/>
  <c r="V36" i="36" s="1"/>
  <c r="I36" i="36" s="1"/>
  <c r="W7" i="36"/>
  <c r="F7" i="37"/>
  <c r="M17" i="15"/>
  <c r="F59" i="15"/>
  <c r="P28" i="43"/>
  <c r="B66" i="40" s="1"/>
  <c r="P25" i="43"/>
  <c r="P29" i="43"/>
  <c r="P27" i="43"/>
  <c r="B70" i="39" s="1"/>
  <c r="C49" i="15"/>
  <c r="J18" i="15"/>
  <c r="M11" i="67"/>
  <c r="J10" i="67" s="1"/>
  <c r="F11" i="15"/>
  <c r="M11" i="15"/>
  <c r="J10" i="15" s="1"/>
  <c r="J5" i="15" s="1"/>
  <c r="J24" i="15" s="1"/>
  <c r="F11" i="67"/>
  <c r="F1" i="15"/>
  <c r="Q52" i="15"/>
  <c r="C32" i="15"/>
  <c r="AE11" i="1"/>
  <c r="AE9" i="1"/>
  <c r="F27" i="68"/>
  <c r="AE7" i="1"/>
  <c r="AE8" i="1"/>
  <c r="AE12" i="1"/>
  <c r="AE10" i="1"/>
  <c r="C16" i="67"/>
  <c r="C16" i="15"/>
  <c r="F27" i="69"/>
  <c r="G1" i="73"/>
  <c r="AA7" i="36" l="1"/>
  <c r="R36" i="36" s="1"/>
  <c r="T60" i="71"/>
  <c r="D60" i="71"/>
  <c r="E58" i="40"/>
  <c r="N65" i="71"/>
  <c r="N66" i="71"/>
  <c r="E16" i="6"/>
  <c r="E60" i="40"/>
  <c r="Q73" i="15"/>
  <c r="E50" i="3"/>
  <c r="E137" i="3"/>
  <c r="E202" i="3"/>
  <c r="E486" i="3"/>
  <c r="E370" i="3"/>
  <c r="E497" i="3"/>
  <c r="E391" i="3"/>
  <c r="E544" i="3"/>
  <c r="C40" i="71"/>
  <c r="D39" i="71"/>
  <c r="AZ5" i="3"/>
  <c r="Q61" i="15"/>
  <c r="H6" i="3"/>
  <c r="T49" i="34"/>
  <c r="G49" i="34" s="1"/>
  <c r="E30" i="6"/>
  <c r="E31" i="6" s="1"/>
  <c r="E63" i="39"/>
  <c r="E59" i="40"/>
  <c r="Q74" i="67"/>
  <c r="D121" i="9"/>
  <c r="D7" i="52" s="1"/>
  <c r="K120" i="9"/>
  <c r="A18" i="62" s="1"/>
  <c r="B64" i="72" s="1"/>
  <c r="D6" i="52"/>
  <c r="D9" i="53"/>
  <c r="B25" i="72" s="1"/>
  <c r="B24" i="72"/>
  <c r="F67" i="39"/>
  <c r="C47" i="69"/>
  <c r="D45" i="69" s="1"/>
  <c r="C29" i="69"/>
  <c r="D27" i="69" s="1"/>
  <c r="F45" i="69"/>
  <c r="F10" i="40"/>
  <c r="S10" i="40" s="1"/>
  <c r="J10" i="40"/>
  <c r="AC10" i="40" s="1"/>
  <c r="AA10" i="39"/>
  <c r="H10" i="39"/>
  <c r="U10" i="39" s="1"/>
  <c r="J10" i="39"/>
  <c r="W10" i="39" s="1"/>
  <c r="Q60" i="67"/>
  <c r="E49" i="3"/>
  <c r="E220" i="3"/>
  <c r="E428" i="3"/>
  <c r="E115" i="3"/>
  <c r="E420" i="3"/>
  <c r="E360" i="3"/>
  <c r="E456" i="3"/>
  <c r="E197" i="3"/>
  <c r="AF6" i="3"/>
  <c r="E235" i="3"/>
  <c r="E42" i="3"/>
  <c r="E513" i="3"/>
  <c r="E68" i="3"/>
  <c r="E67" i="3"/>
  <c r="E267" i="3"/>
  <c r="E484" i="3"/>
  <c r="E349" i="3"/>
  <c r="E37" i="3"/>
  <c r="E554" i="3"/>
  <c r="E502" i="3"/>
  <c r="E430" i="3"/>
  <c r="E499" i="3"/>
  <c r="E539" i="3"/>
  <c r="E470" i="3"/>
  <c r="E556" i="3"/>
  <c r="E512" i="3"/>
  <c r="T6" i="3"/>
  <c r="E205" i="3"/>
  <c r="E102" i="3"/>
  <c r="E86" i="3"/>
  <c r="E96" i="3"/>
  <c r="AL6" i="3"/>
  <c r="E494" i="3"/>
  <c r="E81" i="3"/>
  <c r="E233" i="3"/>
  <c r="E84" i="3"/>
  <c r="E249" i="3"/>
  <c r="E64" i="3"/>
  <c r="E59" i="3"/>
  <c r="E292" i="3"/>
  <c r="E95" i="3"/>
  <c r="E491" i="3"/>
  <c r="E255" i="3"/>
  <c r="E442" i="3"/>
  <c r="E286" i="3"/>
  <c r="C49" i="67"/>
  <c r="J5" i="67"/>
  <c r="J24" i="67" s="1"/>
  <c r="F1" i="67"/>
  <c r="AY6" i="3"/>
  <c r="AY155" i="3" s="1"/>
  <c r="E3" i="6"/>
  <c r="C17" i="4" s="1"/>
  <c r="B4" i="52" s="1"/>
  <c r="B43" i="72" s="1"/>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T32" i="71"/>
  <c r="D32" i="71"/>
  <c r="D22" i="71"/>
  <c r="C21" i="71"/>
  <c r="D36" i="71"/>
  <c r="T36" i="71"/>
  <c r="M17" i="67"/>
  <c r="O65" i="71"/>
  <c r="D66" i="71"/>
  <c r="O66" i="71"/>
  <c r="D56" i="71"/>
  <c r="T56" i="71"/>
  <c r="T64" i="71"/>
  <c r="D64"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K24" i="6"/>
  <c r="K19" i="6"/>
  <c r="S6" i="1" s="1"/>
  <c r="O14" i="1"/>
  <c r="O16" i="1" s="1"/>
  <c r="M16" i="1"/>
  <c r="AY66" i="3"/>
  <c r="AY34" i="3"/>
  <c r="AY23" i="3"/>
  <c r="AY207" i="3"/>
  <c r="AY176" i="3"/>
  <c r="AY144" i="3"/>
  <c r="AY276" i="3"/>
  <c r="AY111" i="3"/>
  <c r="AY58" i="3"/>
  <c r="AY168" i="3"/>
  <c r="AY297" i="3"/>
  <c r="AY253" i="3"/>
  <c r="AY50" i="3"/>
  <c r="AY196" i="3"/>
  <c r="AY160" i="3"/>
  <c r="AY139" i="3"/>
  <c r="AY289" i="3"/>
  <c r="AY74" i="3"/>
  <c r="AY473" i="3"/>
  <c r="AY470" i="3"/>
  <c r="AY460" i="3"/>
  <c r="AY428" i="3"/>
  <c r="AY441" i="3"/>
  <c r="AY409" i="3"/>
  <c r="AY372" i="3"/>
  <c r="AY358" i="3"/>
  <c r="AY327" i="3"/>
  <c r="AY342" i="3"/>
  <c r="AY310" i="3"/>
  <c r="AY465" i="3"/>
  <c r="AY533" i="3"/>
  <c r="AY541" i="3"/>
  <c r="BE6" i="3"/>
  <c r="AY553" i="3"/>
  <c r="AY97" i="3"/>
  <c r="AY108" i="3"/>
  <c r="AY190" i="3"/>
  <c r="AY201" i="3"/>
  <c r="AY185" i="3"/>
  <c r="AY170" i="3"/>
  <c r="AY154" i="3"/>
  <c r="AY138" i="3"/>
  <c r="AY247" i="3"/>
  <c r="AY231" i="3"/>
  <c r="AY262" i="3"/>
  <c r="AY246" i="3"/>
  <c r="AY230" i="3"/>
  <c r="AY214" i="3"/>
  <c r="AY109" i="3"/>
  <c r="AY104" i="3"/>
  <c r="AY73" i="3"/>
  <c r="AY41" i="3"/>
  <c r="AY56" i="3"/>
  <c r="AY24" i="3"/>
  <c r="AY242" i="3"/>
  <c r="AY210" i="3"/>
  <c r="AY388" i="3"/>
  <c r="AY377" i="3"/>
  <c r="AY353" i="3"/>
  <c r="AY349" i="3"/>
  <c r="AY462" i="3"/>
  <c r="AY446" i="3"/>
  <c r="AY430" i="3"/>
  <c r="AY414" i="3"/>
  <c r="AY398" i="3"/>
  <c r="AY427" i="3"/>
  <c r="AY495" i="3"/>
  <c r="AY510" i="3"/>
  <c r="BG6" i="3"/>
  <c r="AY16" i="3"/>
  <c r="AY501" i="3"/>
  <c r="AY98" i="3"/>
  <c r="AY425" i="3"/>
  <c r="AY526" i="3"/>
  <c r="AY199" i="3"/>
  <c r="AY269" i="3"/>
  <c r="AY244" i="3"/>
  <c r="AY390" i="3"/>
  <c r="AY89" i="3"/>
  <c r="AY85" i="3"/>
  <c r="AY53" i="3"/>
  <c r="AY68" i="3"/>
  <c r="AY36" i="3"/>
  <c r="AY25" i="3"/>
  <c r="AY222" i="3"/>
  <c r="AY211" i="3"/>
  <c r="AY389" i="3"/>
  <c r="AY365" i="3"/>
  <c r="BS6" i="3"/>
  <c r="BI6" i="3"/>
  <c r="AY356" i="3"/>
  <c r="AY325" i="3"/>
  <c r="AY340" i="3"/>
  <c r="AY308" i="3"/>
  <c r="AY467" i="3"/>
  <c r="AY464" i="3"/>
  <c r="AY508" i="3"/>
  <c r="AY532" i="3"/>
  <c r="AY556" i="3"/>
  <c r="AY496" i="3"/>
  <c r="AY577" i="3"/>
  <c r="AY523" i="3"/>
  <c r="AY350" i="3"/>
  <c r="AY489" i="3"/>
  <c r="AY455" i="3"/>
  <c r="AY412" i="3"/>
  <c r="AY497" i="3"/>
  <c r="AY43" i="3"/>
  <c r="AY573" i="3"/>
  <c r="AY540" i="3"/>
  <c r="AY539" i="3"/>
  <c r="AY105" i="3"/>
  <c r="AY100" i="3"/>
  <c r="AY69" i="3"/>
  <c r="AY286" i="3"/>
  <c r="AY255" i="3"/>
  <c r="AY270" i="3"/>
  <c r="AY238" i="3"/>
  <c r="AY227" i="3"/>
  <c r="AY384" i="3"/>
  <c r="AY275" i="3"/>
  <c r="AY258" i="3"/>
  <c r="AY215" i="3"/>
  <c r="AY370" i="3"/>
  <c r="AY341" i="3"/>
  <c r="AY309" i="3"/>
  <c r="AY536" i="3"/>
  <c r="AY520" i="3"/>
  <c r="AY552" i="3"/>
  <c r="AY543" i="3"/>
  <c r="AY584" i="3"/>
  <c r="AY494" i="3"/>
  <c r="AY189" i="3"/>
  <c r="AY158" i="3"/>
  <c r="AY169" i="3"/>
  <c r="AY137" i="3"/>
  <c r="AY129" i="3"/>
  <c r="AY287" i="3"/>
  <c r="AY313" i="3"/>
  <c r="AY344" i="3"/>
  <c r="AY328" i="3"/>
  <c r="AY312" i="3"/>
  <c r="AY487" i="3"/>
  <c r="AY471" i="3"/>
  <c r="AY579" i="3"/>
  <c r="AY506" i="3"/>
  <c r="AY499" i="3"/>
  <c r="AY14" i="3"/>
  <c r="D3" i="6"/>
  <c r="AY524" i="3"/>
  <c r="AY94" i="3"/>
  <c r="AY63" i="3"/>
  <c r="AY78" i="3"/>
  <c r="AY46" i="3"/>
  <c r="AY35" i="3"/>
  <c r="AY192" i="3"/>
  <c r="AY221" i="3"/>
  <c r="AY378" i="3"/>
  <c r="AY376" i="3"/>
  <c r="AY362" i="3"/>
  <c r="AY331" i="3"/>
  <c r="AY346" i="3"/>
  <c r="AY512" i="3"/>
  <c r="BL6" i="3"/>
  <c r="AY587" i="3"/>
  <c r="AY91" i="3"/>
  <c r="AY86" i="3"/>
  <c r="AY55" i="3"/>
  <c r="AY273" i="3"/>
  <c r="AY241" i="3"/>
  <c r="AY256" i="3"/>
  <c r="AY224" i="3"/>
  <c r="AY213" i="3"/>
  <c r="AY391" i="3"/>
  <c r="AY550" i="3"/>
  <c r="BD6" i="3"/>
  <c r="BC6" i="3"/>
  <c r="AY511" i="3"/>
  <c r="AY504" i="3"/>
  <c r="AY586" i="3"/>
  <c r="AY321" i="3"/>
  <c r="AY336" i="3"/>
  <c r="AY304" i="3"/>
  <c r="AY492" i="3"/>
  <c r="AY461" i="3"/>
  <c r="AY450" i="3"/>
  <c r="AY110" i="3"/>
  <c r="AY47" i="3"/>
  <c r="AY30" i="3"/>
  <c r="AY203" i="3"/>
  <c r="AY140" i="3"/>
  <c r="AY120" i="3"/>
  <c r="AY528" i="3"/>
  <c r="AY576" i="3"/>
  <c r="AY102" i="3"/>
  <c r="AY39" i="3"/>
  <c r="AY22" i="3"/>
  <c r="AY195" i="3"/>
  <c r="AY413" i="3"/>
  <c r="AY15" i="3"/>
  <c r="AY583" i="3"/>
  <c r="AY567" i="3"/>
  <c r="AY64" i="3"/>
  <c r="AY21" i="3"/>
  <c r="AY479" i="3"/>
  <c r="AY476" i="3"/>
  <c r="AY445" i="3"/>
  <c r="AY434" i="3"/>
  <c r="AY402" i="3"/>
  <c r="AY415" i="3"/>
  <c r="AY19" i="3"/>
  <c r="AY172" i="3"/>
  <c r="AY151" i="3"/>
  <c r="AY301" i="3"/>
  <c r="AY265" i="3"/>
  <c r="AY248" i="3"/>
  <c r="AY71" i="3"/>
  <c r="AY54" i="3"/>
  <c r="AY200" i="3"/>
  <c r="AY164" i="3"/>
  <c r="AY143" i="3"/>
  <c r="AY293" i="3"/>
  <c r="BT6" i="3"/>
  <c r="D3" i="21"/>
  <c r="E6" i="6"/>
  <c r="D37" i="11"/>
  <c r="D14" i="12"/>
  <c r="M18" i="9"/>
  <c r="B118" i="9" s="1"/>
  <c r="B1" i="74" s="1"/>
  <c r="D3" i="34"/>
  <c r="C39" i="43"/>
  <c r="C42" i="43"/>
  <c r="E42" i="43" s="1"/>
  <c r="C38" i="43"/>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C53" i="67"/>
  <c r="C10" i="67"/>
  <c r="C5" i="67" s="1"/>
  <c r="C38" i="67" s="1"/>
  <c r="C53" i="15"/>
  <c r="C48" i="15" s="1"/>
  <c r="C66" i="15" s="1"/>
  <c r="C10" i="15"/>
  <c r="C5" i="15" s="1"/>
  <c r="C38" i="15" s="1"/>
  <c r="AE6" i="1"/>
  <c r="F41" i="15"/>
  <c r="M27" i="67"/>
  <c r="M27" i="15"/>
  <c r="AY62" i="3" l="1"/>
  <c r="AY352" i="3"/>
  <c r="AY407" i="3"/>
  <c r="AY291" i="3"/>
  <c r="AY254" i="3"/>
  <c r="BJ6" i="3"/>
  <c r="AY67" i="3"/>
  <c r="AY79" i="3"/>
  <c r="AY385" i="3"/>
  <c r="AY264" i="3"/>
  <c r="AY580" i="3"/>
  <c r="AY518" i="3"/>
  <c r="AY571" i="3"/>
  <c r="AY33" i="3"/>
  <c r="AY131" i="3"/>
  <c r="AY400" i="3"/>
  <c r="AY337" i="3"/>
  <c r="AY440" i="3"/>
  <c r="AY448" i="3"/>
  <c r="AY558" i="3"/>
  <c r="AY578" i="3"/>
  <c r="AY503" i="3"/>
  <c r="AY181" i="3"/>
  <c r="AY527" i="3"/>
  <c r="AY243" i="3"/>
  <c r="AY334" i="3"/>
  <c r="AY488" i="3"/>
  <c r="AY554" i="3"/>
  <c r="AY28" i="3"/>
  <c r="AY228" i="3"/>
  <c r="AY303" i="3"/>
  <c r="AY87" i="3"/>
  <c r="AY339" i="3"/>
  <c r="AY159" i="3"/>
  <c r="AY80" i="3"/>
  <c r="AY302" i="3"/>
  <c r="AY44" i="3"/>
  <c r="AY330" i="3"/>
  <c r="AY326" i="3"/>
  <c r="AY551" i="3"/>
  <c r="AY179" i="3"/>
  <c r="AY191" i="3"/>
  <c r="AY447" i="3"/>
  <c r="AY566" i="3"/>
  <c r="AY320" i="3"/>
  <c r="AY563" i="3"/>
  <c r="AY277" i="3"/>
  <c r="AY232" i="3"/>
  <c r="AY329" i="3"/>
  <c r="AY572" i="3"/>
  <c r="AY557" i="3"/>
  <c r="AY559" i="3"/>
  <c r="AY555" i="3"/>
  <c r="AY444" i="3"/>
  <c r="AY274" i="3"/>
  <c r="AY263" i="3"/>
  <c r="AY206" i="3"/>
  <c r="AY318" i="3"/>
  <c r="AY281" i="3"/>
  <c r="AY51" i="3"/>
  <c r="AY305" i="3"/>
  <c r="AY548" i="3"/>
  <c r="AY119" i="3"/>
  <c r="BA6" i="3"/>
  <c r="AY37" i="3"/>
  <c r="AY161" i="3"/>
  <c r="AY147" i="3"/>
  <c r="AY226" i="3"/>
  <c r="AY486" i="3"/>
  <c r="AY472" i="3"/>
  <c r="AY278" i="3"/>
  <c r="AY544" i="3"/>
  <c r="AY103" i="3"/>
  <c r="AY322" i="3"/>
  <c r="AY128" i="3"/>
  <c r="AY364" i="3"/>
  <c r="AY141" i="3"/>
  <c r="AY271" i="3"/>
  <c r="AY290" i="3"/>
  <c r="AY363" i="3"/>
  <c r="AY443" i="3"/>
  <c r="BP6" i="3"/>
  <c r="AY482" i="3"/>
  <c r="AY537" i="3"/>
  <c r="AY459" i="3"/>
  <c r="AY280" i="3"/>
  <c r="AY531" i="3"/>
  <c r="AY369" i="3"/>
  <c r="AY419" i="3"/>
  <c r="AY478" i="3"/>
  <c r="AY31" i="3"/>
  <c r="BN6" i="3"/>
  <c r="AY562" i="3"/>
  <c r="AY387" i="3"/>
  <c r="AY475" i="3"/>
  <c r="AY295" i="3"/>
  <c r="AY283" i="3"/>
  <c r="AY549" i="3"/>
  <c r="AY260" i="3"/>
  <c r="AY209" i="3"/>
  <c r="AY335" i="3"/>
  <c r="D3" i="37"/>
  <c r="AY408" i="3"/>
  <c r="AY545" i="3"/>
  <c r="AY375" i="3"/>
  <c r="AY575" i="3"/>
  <c r="AY298" i="3"/>
  <c r="AY490" i="3"/>
  <c r="AY148" i="3"/>
  <c r="AY437" i="3"/>
  <c r="AY285" i="3"/>
  <c r="AY426" i="3"/>
  <c r="AY380" i="3"/>
  <c r="AY65" i="3"/>
  <c r="AY406" i="3"/>
  <c r="AY72" i="3"/>
  <c r="AY162" i="3"/>
  <c r="AY132" i="3"/>
  <c r="AY516" i="3"/>
  <c r="AY130" i="3"/>
  <c r="AY117" i="3"/>
  <c r="AY535" i="3"/>
  <c r="AY237" i="3"/>
  <c r="AY561" i="3"/>
  <c r="AY491" i="3"/>
  <c r="AY114" i="3"/>
  <c r="AY357" i="3"/>
  <c r="AY299" i="3"/>
  <c r="AY60" i="3"/>
  <c r="AY513" i="3"/>
  <c r="AY245" i="3"/>
  <c r="AY252" i="3"/>
  <c r="AY366" i="3"/>
  <c r="AY42" i="3"/>
  <c r="D3" i="33"/>
  <c r="AY451" i="3"/>
  <c r="AY208" i="3"/>
  <c r="AY122" i="3"/>
  <c r="AY127" i="3"/>
  <c r="AY223" i="3"/>
  <c r="AY193" i="3"/>
  <c r="AY150" i="3"/>
  <c r="AY585" i="3"/>
  <c r="AY125" i="3"/>
  <c r="AY371" i="3"/>
  <c r="AY515" i="3"/>
  <c r="AY135" i="3"/>
  <c r="AY379" i="3"/>
  <c r="BM6" i="3"/>
  <c r="AY433" i="3"/>
  <c r="AY95" i="3"/>
  <c r="AY522" i="3"/>
  <c r="AY216" i="3"/>
  <c r="AY205" i="3"/>
  <c r="AY323" i="3"/>
  <c r="AY27" i="3"/>
  <c r="AY466" i="3"/>
  <c r="AY509" i="3"/>
  <c r="AY453" i="3"/>
  <c r="AY266" i="3"/>
  <c r="AY519" i="3"/>
  <c r="AY480" i="3"/>
  <c r="AY507" i="3"/>
  <c r="AY20" i="3"/>
  <c r="AY212" i="3"/>
  <c r="AY49" i="3"/>
  <c r="AY435" i="3"/>
  <c r="AY40" i="3"/>
  <c r="AY146" i="3"/>
  <c r="AY481" i="3"/>
  <c r="AY90" i="3"/>
  <c r="BQ6" i="3"/>
  <c r="AY348" i="3"/>
  <c r="AY166" i="3"/>
  <c r="AY397" i="3"/>
  <c r="AY133" i="3"/>
  <c r="AY61" i="3"/>
  <c r="AY420" i="3"/>
  <c r="AY26" i="3"/>
  <c r="AY261" i="3"/>
  <c r="AY225" i="3"/>
  <c r="AY115" i="3"/>
  <c r="AC6" i="3"/>
  <c r="E6" i="3" s="1"/>
  <c r="AY432" i="3"/>
  <c r="AY429" i="3"/>
  <c r="AY99" i="3"/>
  <c r="AY121" i="3"/>
  <c r="AY393" i="3"/>
  <c r="AY457" i="3"/>
  <c r="AY395" i="3"/>
  <c r="AY521" i="3"/>
  <c r="AY474" i="3"/>
  <c r="AY416" i="3"/>
  <c r="AY423" i="3"/>
  <c r="AY134" i="3"/>
  <c r="AY239" i="3"/>
  <c r="AY259" i="3"/>
  <c r="AY217" i="3"/>
  <c r="AY83" i="3"/>
  <c r="AY493" i="3"/>
  <c r="AY530" i="3"/>
  <c r="AY249" i="3"/>
  <c r="AY48" i="3"/>
  <c r="AY436" i="3"/>
  <c r="AY574" i="3"/>
  <c r="AY294" i="3"/>
  <c r="AY152" i="3"/>
  <c r="AY361" i="3"/>
  <c r="AY405" i="3"/>
  <c r="AY29" i="3"/>
  <c r="AY534" i="3"/>
  <c r="AY570" i="3"/>
  <c r="AY307" i="3"/>
  <c r="AY250" i="3"/>
  <c r="AY347" i="3"/>
  <c r="AY564" i="3"/>
  <c r="AY306" i="3"/>
  <c r="AY424" i="3"/>
  <c r="BR6" i="3"/>
  <c r="AY442" i="3"/>
  <c r="AY96" i="3"/>
  <c r="AY438" i="3"/>
  <c r="AY88" i="3"/>
  <c r="AY343" i="3"/>
  <c r="AY525" i="3"/>
  <c r="AY126" i="3"/>
  <c r="AY404" i="3"/>
  <c r="AY75" i="3"/>
  <c r="AY316" i="3"/>
  <c r="AY145" i="3"/>
  <c r="AY374" i="3"/>
  <c r="AY76" i="3"/>
  <c r="AY401" i="3"/>
  <c r="AY300" i="3"/>
  <c r="AY284" i="3"/>
  <c r="AY59" i="3"/>
  <c r="AY351" i="3"/>
  <c r="AY485" i="3"/>
  <c r="AY267" i="3"/>
  <c r="AY383" i="3"/>
  <c r="AY17" i="3"/>
  <c r="AY142" i="3"/>
  <c r="AY338" i="3"/>
  <c r="AY456" i="3"/>
  <c r="AY542" i="3"/>
  <c r="AY458" i="3"/>
  <c r="AY234" i="3"/>
  <c r="AY101" i="3"/>
  <c r="AY449" i="3"/>
  <c r="AY198" i="3"/>
  <c r="AY82" i="3"/>
  <c r="AY403" i="3"/>
  <c r="AY186" i="3"/>
  <c r="AY157" i="3"/>
  <c r="AY163" i="3"/>
  <c r="AY332" i="3"/>
  <c r="AY381" i="3"/>
  <c r="AY118" i="3"/>
  <c r="AY45" i="3"/>
  <c r="AY180" i="3"/>
  <c r="AY204" i="3"/>
  <c r="AY382" i="3"/>
  <c r="AY386" i="3"/>
  <c r="AY315" i="3"/>
  <c r="AY113" i="3"/>
  <c r="AY288" i="3"/>
  <c r="AY399" i="3"/>
  <c r="AY167" i="3"/>
  <c r="I46" i="37"/>
  <c r="J46" i="37" s="1"/>
  <c r="D19" i="11"/>
  <c r="C19" i="11" s="1"/>
  <c r="C20" i="11" s="1"/>
  <c r="C28" i="11" s="1"/>
  <c r="C27" i="11" s="1"/>
  <c r="AY240" i="3"/>
  <c r="AY359" i="3"/>
  <c r="AY538" i="3"/>
  <c r="AY153" i="3"/>
  <c r="AY136" i="3"/>
  <c r="AY233" i="3"/>
  <c r="AY431" i="3"/>
  <c r="AY32" i="3"/>
  <c r="AY354" i="3"/>
  <c r="AY38" i="3"/>
  <c r="AY469" i="3"/>
  <c r="AY156" i="3"/>
  <c r="AY565" i="3"/>
  <c r="AY468" i="3"/>
  <c r="AY251" i="3"/>
  <c r="AY582" i="3"/>
  <c r="AY483" i="3"/>
  <c r="AY368" i="3"/>
  <c r="AY52" i="3"/>
  <c r="AY229" i="3"/>
  <c r="AY81" i="3"/>
  <c r="AY422" i="3"/>
  <c r="AY57" i="3"/>
  <c r="AY178" i="3"/>
  <c r="AY311" i="3"/>
  <c r="AY171" i="3"/>
  <c r="AY581" i="3"/>
  <c r="AY317" i="3"/>
  <c r="AY197" i="3"/>
  <c r="AY392" i="3"/>
  <c r="AY149" i="3"/>
  <c r="AY77" i="3"/>
  <c r="AY452" i="3"/>
  <c r="AY106" i="3"/>
  <c r="AY123" i="3"/>
  <c r="AY236" i="3"/>
  <c r="AY124" i="3"/>
  <c r="T40" i="71"/>
  <c r="D40" i="71"/>
  <c r="AY107" i="3"/>
  <c r="AY13" i="3"/>
  <c r="AY560" i="3"/>
  <c r="AY194" i="3"/>
  <c r="AY220" i="3"/>
  <c r="AY546" i="3"/>
  <c r="AY569" i="3"/>
  <c r="AY568" i="3"/>
  <c r="AY421" i="3"/>
  <c r="AY517" i="3"/>
  <c r="AY345" i="3"/>
  <c r="AY417" i="3"/>
  <c r="BO6" i="3"/>
  <c r="BH6" i="3"/>
  <c r="AY319" i="3"/>
  <c r="AY547" i="3"/>
  <c r="AY218" i="3"/>
  <c r="AY439" i="3"/>
  <c r="AY292" i="3"/>
  <c r="BF6" i="3"/>
  <c r="BK6" i="3"/>
  <c r="AY500" i="3"/>
  <c r="AY235" i="3"/>
  <c r="AY410" i="3"/>
  <c r="AY173" i="3"/>
  <c r="AY279" i="3"/>
  <c r="AY360" i="3"/>
  <c r="AY188" i="3"/>
  <c r="AY477" i="3"/>
  <c r="AY396" i="3"/>
  <c r="AY272" i="3"/>
  <c r="AY184" i="3"/>
  <c r="BB6" i="3"/>
  <c r="AY177" i="3"/>
  <c r="AY257" i="3"/>
  <c r="AY394" i="3"/>
  <c r="AY505" i="3"/>
  <c r="AY174" i="3"/>
  <c r="AY175" i="3"/>
  <c r="AY296" i="3"/>
  <c r="AY418" i="3"/>
  <c r="AY498" i="3"/>
  <c r="AY367" i="3"/>
  <c r="AY70" i="3"/>
  <c r="AY314" i="3"/>
  <c r="AY187" i="3"/>
  <c r="AY502" i="3"/>
  <c r="AY484" i="3"/>
  <c r="AY282" i="3"/>
  <c r="AY514" i="3"/>
  <c r="AY324" i="3"/>
  <c r="AY373" i="3"/>
  <c r="AY84" i="3"/>
  <c r="AY116" i="3"/>
  <c r="AY112" i="3"/>
  <c r="AY454" i="3"/>
  <c r="AY93" i="3"/>
  <c r="AY182" i="3"/>
  <c r="AY355" i="3"/>
  <c r="AY18" i="3"/>
  <c r="AY411" i="3"/>
  <c r="AY333" i="3"/>
  <c r="AY202" i="3"/>
  <c r="AY219" i="3"/>
  <c r="AY165" i="3"/>
  <c r="AY92" i="3"/>
  <c r="AY463" i="3"/>
  <c r="AY529" i="3"/>
  <c r="AY183" i="3"/>
  <c r="AY268" i="3"/>
  <c r="R50" i="34"/>
  <c r="C49" i="34" s="1"/>
  <c r="G54" i="34"/>
  <c r="H54" i="34" s="1"/>
  <c r="AB10" i="39"/>
  <c r="F22" i="68"/>
  <c r="F41" i="68" s="1"/>
  <c r="F25" i="12"/>
  <c r="C26" i="12" s="1"/>
  <c r="D25" i="12" s="1"/>
  <c r="C48" i="67"/>
  <c r="C66" i="67" s="1"/>
  <c r="D21" i="71"/>
  <c r="C20" i="71"/>
  <c r="D116" i="43"/>
  <c r="F22" i="11"/>
  <c r="C23" i="11" s="1"/>
  <c r="F24" i="67"/>
  <c r="C24" i="67" s="1"/>
  <c r="F24" i="15"/>
  <c r="C24" i="15" s="1"/>
  <c r="F22" i="69"/>
  <c r="F41" i="69" s="1"/>
  <c r="E49" i="34"/>
  <c r="E54" i="34" s="1"/>
  <c r="F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7" i="12"/>
  <c r="C17" i="12" s="1"/>
  <c r="D10" i="11"/>
  <c r="C10" i="11" s="1"/>
  <c r="D20" i="12"/>
  <c r="C20" i="12" s="1"/>
  <c r="C18" i="12" s="1"/>
  <c r="D25" i="6"/>
  <c r="D15" i="6"/>
  <c r="D22" i="6"/>
  <c r="D21" i="6"/>
  <c r="D24" i="6"/>
  <c r="D20" i="6"/>
  <c r="M19" i="9"/>
  <c r="C118" i="9" s="1"/>
  <c r="B2" i="74" s="1"/>
  <c r="D26" i="6"/>
  <c r="D8" i="6"/>
  <c r="D14" i="6"/>
  <c r="D6" i="6"/>
  <c r="D9" i="6"/>
  <c r="D10" i="6"/>
  <c r="D29" i="6"/>
  <c r="H25" i="6"/>
  <c r="H22"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D10" i="68"/>
  <c r="F41" i="67"/>
  <c r="D10" i="69"/>
  <c r="C17" i="15"/>
  <c r="C14" i="67"/>
  <c r="C17" i="67"/>
  <c r="C34" i="69"/>
  <c r="D30" i="6" l="1"/>
  <c r="H24" i="6"/>
  <c r="C50" i="34"/>
  <c r="I54" i="34"/>
  <c r="J54" i="34" s="1"/>
  <c r="E53" i="34"/>
  <c r="F53" i="34" s="1"/>
  <c r="F69" i="67"/>
  <c r="C23" i="68"/>
  <c r="C44" i="68"/>
  <c r="D41" i="68" s="1"/>
  <c r="C26" i="68"/>
  <c r="D22" i="68" s="1"/>
  <c r="C60" i="67"/>
  <c r="C26" i="11"/>
  <c r="D22" i="11" s="1"/>
  <c r="C44" i="11"/>
  <c r="D41" i="11" s="1"/>
  <c r="D20" i="71"/>
  <c r="U20" i="71" s="1"/>
  <c r="T20" i="71"/>
  <c r="C19" i="71"/>
  <c r="C25" i="11"/>
  <c r="C24" i="11"/>
  <c r="C44" i="69"/>
  <c r="D41" i="69" s="1"/>
  <c r="C26" i="69"/>
  <c r="D22" i="69" s="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18" i="71" l="1"/>
  <c r="D19" i="71"/>
  <c r="C22" i="11"/>
  <c r="C31" i="1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67"/>
  <c r="M21" i="67"/>
  <c r="M21" i="15"/>
  <c r="F35" i="15"/>
  <c r="T16" i="71" l="1"/>
  <c r="D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B3" i="69"/>
  <c r="U16" i="71" l="1"/>
  <c r="M23" i="43"/>
  <c r="I42" i="35"/>
  <c r="J42" i="35" s="1"/>
  <c r="D15" i="71"/>
  <c r="C14"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6"/>
  <c r="D19" i="9"/>
  <c r="D2" i="37"/>
  <c r="L51" i="15"/>
  <c r="D2" i="34"/>
  <c r="D102" i="9" l="1"/>
  <c r="D21" i="9"/>
  <c r="D12" i="7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8" i="1"/>
  <c r="AO6" i="1"/>
  <c r="AO7" i="1"/>
  <c r="C19" i="9"/>
  <c r="D20" i="9"/>
  <c r="AO9" i="1"/>
  <c r="AO12" i="1"/>
  <c r="AO11" i="1"/>
  <c r="AO10" i="1"/>
  <c r="C102" i="9" l="1"/>
  <c r="C21" i="9"/>
  <c r="D22" i="9"/>
  <c r="G19" i="9"/>
  <c r="G21" i="9" s="1"/>
  <c r="B3" i="34"/>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D35" i="9" s="1"/>
  <c r="C9" i="71"/>
  <c r="D10"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4" i="9" l="1"/>
  <c r="D34" i="9" s="1"/>
  <c r="D9" i="7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G118" i="9"/>
  <c r="G4" i="52" s="1"/>
  <c r="B52" i="72" s="1"/>
  <c r="I118" i="9"/>
  <c r="H102" i="9" s="1"/>
  <c r="E14" i="74" s="1"/>
  <c r="C105" i="9" l="1"/>
  <c r="D7" i="53"/>
  <c r="B21" i="72" s="1"/>
  <c r="E118" i="9"/>
  <c r="H118" i="9"/>
  <c r="I4" i="52"/>
  <c r="F118" i="9"/>
  <c r="F119" i="9" l="1"/>
  <c r="F5" i="52" s="1"/>
  <c r="B53" i="72" s="1"/>
  <c r="F4" i="52"/>
  <c r="B51" i="72" s="1"/>
  <c r="H101" i="9"/>
  <c r="D14" i="74" s="1"/>
  <c r="B5" i="74" s="1"/>
  <c r="C104" i="9"/>
  <c r="H4" i="52"/>
  <c r="H119" i="9"/>
  <c r="H5" i="52" s="1"/>
  <c r="D118" i="9"/>
  <c r="E4" i="52"/>
  <c r="B48" i="72" s="1"/>
  <c r="F14" i="74" l="1"/>
  <c r="D5" i="74"/>
  <c r="C5" i="74"/>
  <c r="D119" i="9"/>
  <c r="D5" i="52" s="1"/>
  <c r="B49" i="72" s="1"/>
  <c r="D4" i="52"/>
  <c r="B47" i="72" s="1"/>
  <c r="H107" i="9"/>
  <c r="G14" i="74" s="1"/>
  <c r="B6" i="74" s="1"/>
  <c r="D6" i="74" s="1"/>
  <c r="D45" i="9"/>
  <c r="M48" i="9"/>
  <c r="D5" i="53"/>
  <c r="D13" i="53" l="1"/>
  <c r="D122" i="9"/>
  <c r="H108" i="9"/>
  <c r="M49" i="9"/>
  <c r="C85" i="9"/>
  <c r="C72" i="9"/>
  <c r="D52" i="9"/>
  <c r="C93" i="9"/>
  <c r="C86" i="9" s="1"/>
  <c r="C64" i="9"/>
  <c r="C63" i="9" s="1"/>
  <c r="C67" i="9" s="1"/>
  <c r="D53" i="9"/>
  <c r="C78" i="9"/>
  <c r="C73" i="9" s="1"/>
  <c r="D55" i="9"/>
  <c r="M53" i="9" s="1"/>
  <c r="B20" i="72"/>
  <c r="D6" i="53"/>
  <c r="B22" i="72" s="1"/>
  <c r="L65" i="9" l="1"/>
  <c r="M65" i="9" s="1"/>
  <c r="L68" i="9"/>
  <c r="M68" i="9" s="1"/>
  <c r="L66" i="9"/>
  <c r="M66" i="9" s="1"/>
  <c r="L63" i="9"/>
  <c r="M63" i="9" s="1"/>
  <c r="L67" i="9"/>
  <c r="M67" i="9" s="1"/>
  <c r="L64" i="9"/>
  <c r="M64" i="9" s="1"/>
  <c r="D15" i="53"/>
  <c r="B31" i="72" s="1"/>
  <c r="C6" i="74"/>
  <c r="C79" i="9"/>
  <c r="D123" i="9"/>
  <c r="D9" i="52" s="1"/>
  <c r="D8" i="52"/>
  <c r="D59" i="9"/>
  <c r="M55" i="9" s="1"/>
  <c r="C68" i="9"/>
  <c r="D54" i="9" s="1"/>
  <c r="C95" i="9"/>
  <c r="B30" i="72"/>
  <c r="D14" i="53"/>
  <c r="B32" i="72" s="1"/>
  <c r="C96" i="9" l="1"/>
  <c r="E96" i="9" s="1"/>
  <c r="E97" i="9" s="1"/>
  <c r="C80" i="9"/>
  <c r="E80" i="9" s="1"/>
  <c r="E81" i="9" s="1"/>
  <c r="M69" i="9"/>
  <c r="N69" i="9" s="1"/>
  <c r="C97" i="9" l="1"/>
  <c r="D58" i="9" s="1"/>
  <c r="D56" i="9" s="1"/>
  <c r="M54" i="9" s="1"/>
  <c r="N57" i="9" s="1"/>
  <c r="P57" i="9" s="1"/>
  <c r="C81" i="9"/>
  <c r="N58" i="9" l="1"/>
  <c r="N59" i="9"/>
  <c r="N61" i="9"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700-000002000000}">
      <text>
        <r>
          <rPr>
            <sz val="11"/>
            <color indexed="81"/>
            <rFont val="宋体"/>
            <family val="3"/>
            <charset val="134"/>
          </rPr>
          <t xml:space="preserve">录入层数，将对应的结果录入至左侧相应层的楼层修正系数单元格中
</t>
        </r>
      </text>
    </comment>
    <comment ref="C16" authorId="1" shapeId="0" xr:uid="{00000000-0006-0000-27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700-000004000000}">
      <text>
        <r>
          <rPr>
            <sz val="12"/>
            <color indexed="81"/>
            <rFont val="宋体"/>
            <family val="3"/>
            <charset val="134"/>
          </rPr>
          <t>1.05~1.1</t>
        </r>
        <r>
          <rPr>
            <sz val="9"/>
            <color indexed="81"/>
            <rFont val="宋体"/>
            <family val="3"/>
            <charset val="134"/>
          </rPr>
          <t xml:space="preserve">
</t>
        </r>
      </text>
    </comment>
    <comment ref="E16" authorId="1" shapeId="0" xr:uid="{00000000-0006-0000-27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7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7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7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color indexed="81"/>
            <rFont val="宋体"/>
            <family val="3"/>
            <charset val="134"/>
          </rPr>
          <t xml:space="preserve">需在此处填写剩余土地年限
</t>
        </r>
      </text>
    </comment>
    <comment ref="C111" authorId="0" shapeId="0" xr:uid="{00000000-0006-0000-27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7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7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7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7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7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7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7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7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7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7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7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7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<sst xmlns="http://schemas.openxmlformats.org/spreadsheetml/2006/main" count="7986" uniqueCount="3511">
  <si>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</si>
  <si>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</si>
  <si>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</si>
  <si>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</si>
  <si>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</si>
  <si>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</si>
  <si>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</si>
  <si>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</si>
  <si>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</si>
  <si>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</si>
  <si>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</si>
  <si>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</si>
  <si>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</si>
  <si>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</si>
  <si>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</si>
  <si>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</si>
  <si>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</si>
  <si>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</si>
  <si>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</si>
  <si>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</si>
  <si>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</si>
  <si>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</si>
  <si>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</si>
  <si>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</si>
  <si>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</si>
  <si>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</si>
  <si>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</si>
  <si>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</si>
  <si>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</si>
  <si>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</si>
  <si>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</si>
  <si>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</si>
  <si>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</si>
  <si>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</si>
  <si>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</si>
  <si>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</si>
  <si>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</si>
  <si>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</si>
  <si>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</si>
  <si>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</si>
  <si>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</si>
  <si>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</si>
  <si>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</si>
  <si>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</si>
  <si>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</si>
  <si>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</si>
  <si>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</si>
  <si>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</si>
  <si>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</si>
  <si>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</si>
  <si>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</si>
  <si>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</si>
  <si>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</si>
  <si>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</si>
  <si>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</si>
  <si>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</si>
  <si>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</si>
  <si>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</si>
  <si>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</si>
  <si>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</si>
  <si>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</si>
  <si>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</si>
  <si>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</si>
  <si>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</si>
  <si>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</si>
  <si>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</si>
  <si>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</si>
  <si>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</si>
  <si>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</si>
  <si>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</si>
  <si>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</si>
  <si>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</si>
  <si>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</si>
  <si>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</si>
  <si>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</si>
  <si>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</si>
  <si>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</si>
  <si>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</si>
  <si>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</si>
  <si>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</si>
  <si>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</si>
  <si>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</si>
  <si>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</si>
  <si>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</si>
  <si>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</si>
  <si>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</si>
  <si>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</si>
  <si>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</si>
  <si>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</si>
  <si>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</si>
  <si>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</si>
  <si>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</si>
  <si>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</si>
  <si>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</si>
  <si>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</si>
  <si>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</si>
  <si>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</si>
  <si>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</si>
  <si>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</si>
  <si>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</si>
  <si>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</si>
  <si>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</si>
  <si>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</si>
  <si>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</si>
  <si>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</si>
  <si>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</si>
  <si>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</si>
  <si>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</si>
  <si>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</si>
  <si>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</si>
  <si>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</si>
  <si>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</si>
  <si>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</si>
  <si>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</si>
  <si>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</si>
  <si>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</si>
  <si>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</si>
  <si>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</si>
  <si>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</si>
  <si>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</si>
  <si>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</si>
  <si>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</si>
  <si>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</si>
  <si>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</si>
  <si>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</si>
  <si>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</si>
  <si>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</si>
  <si>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</si>
  <si>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</si>
  <si>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</si>
  <si>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</si>
  <si>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</si>
  <si>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</si>
  <si>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</si>
  <si>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</si>
  <si>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</si>
  <si>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</si>
  <si>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</si>
  <si>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</si>
  <si>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</si>
  <si>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</si>
  <si>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</si>
  <si>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</si>
  <si>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</si>
  <si>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</si>
  <si>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</si>
  <si>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</si>
  <si>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</si>
  <si>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</si>
  <si>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</si>
  <si>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</si>
  <si>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</si>
  <si>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</si>
  <si>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</si>
  <si>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</si>
  <si>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</si>
  <si>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</si>
  <si>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</si>
  <si>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</si>
  <si>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</si>
  <si>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</si>
  <si>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</si>
  <si>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</si>
  <si>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</si>
  <si>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</si>
  <si>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</si>
  <si>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</si>
  <si>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</si>
  <si>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</si>
  <si>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</si>
  <si>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</si>
  <si>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</si>
  <si>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</si>
  <si>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</si>
  <si>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</si>
  <si>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</si>
  <si>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</si>
  <si>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</si>
  <si>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</si>
  <si>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</si>
  <si>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</si>
  <si>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</si>
  <si>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</si>
  <si>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</si>
  <si>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</si>
  <si>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</si>
  <si>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</si>
  <si>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</si>
  <si>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</si>
  <si>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</si>
  <si>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</si>
  <si>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</si>
  <si>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</si>
  <si>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</si>
  <si>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</si>
  <si>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</si>
  <si>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</si>
  <si>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</si>
  <si>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</si>
  <si>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</si>
  <si>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</si>
  <si>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</si>
  <si>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</si>
  <si>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</si>
  <si>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</si>
  <si>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</si>
  <si>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</si>
  <si>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</si>
  <si>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</si>
  <si>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</si>
  <si>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</si>
  <si>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</si>
  <si>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</si>
  <si>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</si>
  <si>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</si>
  <si>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</si>
  <si>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</si>
  <si>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</si>
  <si>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</si>
  <si>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</si>
  <si>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</si>
  <si>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</si>
  <si>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</si>
  <si>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</si>
  <si>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</si>
  <si>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</si>
  <si>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</si>
  <si>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</si>
  <si>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</si>
  <si>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</si>
  <si>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</si>
  <si>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</si>
  <si>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</si>
  <si>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</si>
  <si>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</si>
  <si>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</si>
  <si>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</si>
  <si>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</si>
  <si>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</si>
  <si>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</si>
  <si>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</si>
  <si>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</si>
  <si>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</si>
  <si>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</si>
  <si>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</si>
  <si>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</si>
  <si>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</si>
  <si>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</si>
  <si>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</si>
  <si>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</si>
  <si>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</si>
  <si>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</si>
  <si>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</si>
  <si>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</si>
  <si>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</si>
  <si>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</si>
  <si>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</si>
  <si>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</si>
  <si>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</si>
  <si>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</si>
  <si>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</si>
  <si>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</si>
  <si>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</si>
  <si>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</si>
  <si>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</si>
  <si>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</si>
  <si>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</si>
  <si>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</si>
  <si>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</si>
  <si>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</si>
  <si>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</si>
  <si>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</si>
  <si>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</si>
  <si>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</si>
  <si>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</si>
  <si>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</si>
  <si>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</si>
  <si>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</si>
  <si>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</si>
  <si>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</si>
  <si>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</si>
  <si>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</si>
  <si>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</si>
  <si>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</si>
  <si>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</si>
  <si>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</si>
  <si>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</si>
  <si>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</si>
  <si>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</si>
  <si>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</si>
  <si>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</si>
  <si>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</si>
  <si>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</si>
  <si>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</si>
  <si>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</si>
  <si>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</si>
  <si>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</si>
  <si>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</si>
  <si>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</si>
  <si>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</si>
  <si>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</si>
  <si>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</si>
  <si>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</si>
  <si>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</si>
  <si>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</si>
  <si>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</si>
  <si>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</si>
  <si>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</si>
  <si>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</si>
  <si>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</si>
  <si>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</si>
  <si>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</si>
  <si>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</si>
  <si>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</si>
  <si>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</si>
  <si>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</si>
  <si>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</si>
  <si>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</si>
  <si>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</si>
  <si>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</si>
  <si>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</si>
  <si>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</si>
  <si>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</si>
  <si>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</si>
  <si>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</si>
  <si>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</si>
  <si>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</si>
  <si>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</si>
  <si>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</si>
  <si>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</si>
  <si>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</si>
  <si>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</si>
  <si>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</si>
  <si>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</si>
  <si>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</si>
  <si>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</si>
  <si>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</si>
  <si>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</si>
  <si>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</si>
  <si>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</si>
  <si>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</si>
  <si>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</si>
  <si>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</si>
  <si>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</si>
  <si>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</si>
  <si>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</si>
  <si>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</si>
  <si>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</si>
  <si>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</si>
  <si>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</si>
  <si>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</si>
  <si>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</si>
  <si>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</si>
  <si>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</si>
  <si>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</si>
  <si>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</si>
  <si>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</si>
  <si>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</si>
  <si>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</si>
  <si>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</si>
  <si>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</si>
  <si>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</si>
  <si>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</si>
  <si>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</si>
  <si>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</si>
  <si>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</si>
  <si>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</si>
  <si>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</si>
  <si>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</si>
  <si>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</si>
  <si>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</si>
  <si>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</si>
  <si>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</si>
  <si>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</si>
  <si>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</si>
  <si>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</si>
  <si>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</si>
  <si>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</si>
  <si>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</si>
  <si>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</si>
  <si>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</si>
  <si>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</si>
  <si>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</si>
  <si>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</si>
  <si>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</si>
  <si>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</si>
  <si>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</si>
  <si>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</si>
  <si>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</si>
  <si>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</si>
  <si>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</si>
  <si>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</si>
  <si>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</si>
  <si>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</si>
  <si>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</si>
  <si>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</si>
  <si>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</si>
  <si>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</si>
  <si>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</si>
  <si>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</si>
  <si>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</si>
  <si>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</si>
  <si>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</si>
  <si>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</si>
  <si>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</si>
  <si>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</si>
  <si>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</si>
  <si>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</si>
  <si>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</si>
  <si>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</si>
  <si>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</si>
  <si>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</si>
  <si>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</si>
  <si>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</si>
  <si>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</si>
  <si>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</si>
  <si>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</si>
  <si>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</si>
  <si>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</si>
  <si>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</si>
  <si>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</si>
  <si>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</si>
  <si>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</si>
  <si>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</si>
  <si>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</si>
  <si>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</si>
  <si>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</si>
  <si>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</si>
  <si>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</si>
  <si>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</si>
  <si>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</si>
  <si>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</si>
  <si>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</si>
  <si>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</si>
  <si>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</si>
  <si>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</si>
  <si>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</si>
  <si>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</si>
  <si>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</si>
  <si>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</si>
  <si>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</si>
  <si>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</si>
  <si>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</si>
  <si>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</si>
  <si>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</si>
  <si>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</si>
  <si>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</si>
  <si>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</si>
  <si>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</si>
  <si>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</si>
  <si>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</si>
  <si>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</si>
  <si>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</si>
  <si>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</si>
  <si>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</si>
  <si>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</si>
  <si>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</si>
  <si>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</si>
  <si>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</si>
  <si>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</si>
  <si>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</si>
  <si>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</si>
  <si>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</si>
  <si>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</si>
  <si>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</si>
  <si>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</si>
  <si>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</si>
  <si>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</si>
  <si>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</si>
  <si>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</si>
  <si>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</si>
  <si>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</si>
  <si>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</si>
  <si>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</si>
  <si>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</si>
  <si>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</si>
  <si>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</si>
  <si>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</si>
  <si>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</si>
  <si>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</si>
  <si>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</si>
  <si>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</si>
  <si>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</si>
  <si>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</si>
  <si>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</si>
  <si>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</si>
  <si>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</si>
  <si>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</si>
  <si>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</si>
  <si>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</si>
  <si>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</si>
  <si>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</si>
  <si>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</si>
  <si>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</si>
  <si>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</si>
  <si>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</si>
  <si>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</si>
  <si>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</si>
  <si>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</si>
  <si>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</si>
  <si>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</si>
  <si>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</si>
  <si>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</si>
  <si>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</si>
  <si>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</si>
  <si>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</si>
  <si>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</si>
  <si>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</si>
  <si>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</si>
  <si>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</si>
  <si>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</si>
  <si>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</si>
  <si>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</si>
  <si>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</si>
  <si>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</si>
  <si>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</si>
  <si>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</si>
  <si>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</si>
  <si>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</si>
  <si>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</si>
  <si>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</si>
  <si>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</si>
  <si>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</si>
  <si>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</si>
  <si>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</si>
  <si>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</si>
  <si>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</si>
  <si>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</si>
  <si>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</si>
  <si>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</si>
  <si>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</si>
  <si>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</si>
  <si>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</si>
  <si>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</si>
  <si>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</si>
  <si>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</si>
  <si>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</si>
  <si>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</si>
  <si>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</si>
  <si>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</si>
  <si>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</si>
  <si>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</si>
  <si>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</si>
  <si>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</si>
  <si>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</si>
  <si>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</si>
  <si>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</si>
  <si>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</si>
  <si>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</si>
  <si>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</si>
  <si>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</si>
  <si>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</si>
  <si>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</si>
  <si>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</si>
  <si>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</si>
  <si>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</si>
  <si>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</si>
  <si>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</si>
  <si>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</si>
  <si>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</si>
  <si>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</si>
  <si>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</si>
  <si>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</si>
  <si>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</si>
  <si>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</si>
  <si>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</si>
  <si>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</si>
  <si>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</si>
  <si>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</si>
  <si>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</si>
  <si>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</si>
  <si>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</si>
  <si>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</si>
  <si>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</si>
  <si>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</si>
  <si>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</si>
  <si>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</si>
  <si>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</si>
  <si>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</si>
  <si>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</si>
  <si>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</si>
  <si>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</si>
  <si>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</si>
  <si>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</si>
  <si>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</si>
  <si>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</si>
  <si>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</si>
  <si>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</si>
  <si>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</si>
  <si>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</si>
  <si>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</si>
  <si>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</si>
  <si>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</si>
  <si>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</si>
  <si>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</si>
  <si>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</si>
  <si>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</si>
  <si>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</si>
  <si>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</si>
  <si>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</si>
  <si>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</si>
  <si>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</si>
  <si>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</si>
  <si>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</si>
  <si>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</si>
  <si>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</si>
  <si>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</si>
  <si>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</si>
  <si>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</si>
  <si>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</si>
  <si>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</si>
  <si>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</si>
  <si>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</si>
  <si>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</si>
  <si>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</si>
  <si>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</si>
  <si>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</si>
  <si>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</si>
  <si>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</si>
  <si>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</si>
  <si>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</si>
  <si>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</si>
  <si>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</si>
  <si>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</si>
  <si>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</si>
  <si>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</si>
  <si>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</si>
  <si>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</si>
  <si>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</si>
  <si>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</si>
  <si>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</si>
  <si>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</si>
  <si>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</si>
  <si>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</si>
  <si>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</si>
  <si>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</si>
  <si>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</si>
  <si>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</si>
  <si>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</si>
  <si>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</si>
  <si>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</si>
  <si>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</si>
  <si>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</si>
  <si>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</si>
  <si>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</si>
  <si>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</si>
  <si>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</si>
  <si>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</si>
  <si>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</si>
  <si>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</si>
  <si>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</si>
  <si>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</si>
  <si>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</si>
  <si>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</si>
  <si>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</si>
  <si>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</si>
  <si>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</si>
  <si>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</si>
  <si>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</si>
  <si>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</si>
  <si>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</si>
  <si>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</si>
  <si>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</si>
  <si>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</si>
  <si>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</si>
  <si>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</si>
  <si>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</si>
  <si>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</si>
  <si>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</si>
  <si>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</si>
  <si>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</si>
  <si>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</si>
  <si>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</si>
  <si>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</si>
  <si>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</si>
  <si>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</si>
  <si>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</si>
  <si>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</si>
  <si>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</si>
  <si>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</si>
  <si>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</si>
  <si>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</si>
  <si>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</si>
  <si>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</si>
  <si>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</si>
  <si>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</si>
  <si>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</si>
  <si>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</si>
  <si>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</si>
  <si>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</si>
  <si>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</si>
  <si>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</si>
  <si>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</si>
  <si>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</si>
  <si>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</si>
  <si>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</si>
  <si>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</si>
  <si>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</si>
  <si>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</si>
  <si>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</si>
  <si>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</si>
  <si>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</si>
  <si>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</si>
  <si>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</si>
  <si>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</si>
  <si>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</si>
  <si>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</si>
  <si>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</si>
  <si>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</si>
  <si>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</si>
  <si>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</si>
  <si>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</si>
  <si>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</si>
  <si>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</si>
  <si>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</si>
  <si>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</si>
  <si>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</si>
  <si>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</si>
  <si>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</si>
  <si>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</si>
  <si>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</si>
  <si>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</si>
  <si>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</si>
  <si>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</si>
  <si>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</si>
  <si>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</si>
  <si>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</si>
  <si>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</si>
  <si>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</si>
  <si>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</si>
  <si>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</si>
  <si>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</si>
  <si>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</si>
  <si>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</si>
  <si>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</si>
  <si>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</si>
  <si>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</si>
  <si>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</si>
  <si>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</si>
  <si>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</si>
  <si>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</si>
  <si>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</si>
  <si>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</si>
  <si>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</si>
  <si>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</si>
  <si>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</si>
  <si>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</si>
  <si>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</si>
  <si>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</si>
  <si>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</si>
  <si>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</si>
  <si>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</si>
  <si>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</si>
  <si>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</si>
  <si>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</si>
  <si>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</si>
  <si>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</si>
  <si>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</si>
  <si>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</si>
  <si>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</si>
  <si>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</si>
  <si>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</si>
  <si>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</si>
  <si>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</si>
  <si>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</si>
  <si>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</si>
  <si>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</si>
  <si>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</si>
  <si>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</si>
  <si>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</si>
  <si>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</si>
  <si>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</si>
  <si>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</si>
  <si>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</si>
  <si>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</si>
  <si>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</si>
  <si>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</si>
  <si>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</si>
  <si>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</si>
  <si>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</si>
  <si>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</si>
  <si>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</si>
  <si>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</si>
  <si>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</si>
  <si>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</si>
  <si>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</si>
  <si>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</si>
  <si>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</si>
  <si>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</si>
  <si>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</si>
  <si>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</si>
  <si>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</si>
  <si>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</si>
  <si>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</si>
  <si>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</si>
  <si>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</si>
  <si>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</si>
  <si>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</si>
  <si>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</si>
  <si>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</si>
  <si>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</si>
  <si>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</si>
  <si>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</si>
  <si>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</si>
  <si>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</si>
  <si>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</si>
  <si>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</si>
  <si>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</si>
  <si>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</si>
  <si>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</si>
  <si>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</si>
  <si>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</si>
  <si>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</si>
  <si>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</si>
  <si>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</si>
  <si>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</si>
  <si>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</si>
  <si>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</si>
  <si>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</si>
  <si>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</si>
  <si>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</si>
  <si>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</si>
  <si>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</si>
  <si>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</si>
  <si>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</si>
  <si>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</si>
  <si>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</si>
  <si>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</si>
  <si>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</si>
  <si>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</si>
  <si>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</si>
  <si>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</si>
  <si>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</si>
  <si>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</si>
  <si>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</si>
  <si>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</si>
  <si>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</si>
  <si>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</si>
  <si>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</si>
  <si>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</si>
  <si>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</si>
  <si>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</si>
  <si>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</si>
  <si>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</si>
  <si>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</si>
  <si>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</si>
  <si>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</si>
  <si>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</si>
  <si>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</si>
  <si>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</si>
  <si>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</si>
  <si>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</si>
  <si>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</si>
  <si>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</si>
  <si>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</si>
  <si>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</si>
  <si>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</si>
  <si>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</si>
  <si>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</si>
  <si>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</si>
  <si>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</si>
  <si>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</si>
  <si>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</si>
  <si>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</si>
  <si>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</si>
  <si>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</si>
  <si>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</si>
  <si>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</si>
  <si>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</si>
  <si>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</si>
  <si>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</si>
  <si>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</si>
  <si>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</si>
  <si>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</si>
  <si>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</si>
  <si>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</si>
  <si>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</si>
  <si>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</si>
  <si>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</si>
  <si>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</si>
  <si>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</si>
  <si>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</si>
  <si>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</si>
  <si>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</si>
  <si>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</si>
  <si>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</si>
  <si>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</si>
  <si>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</si>
  <si>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</si>
  <si>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</si>
  <si>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</si>
  <si>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</si>
  <si>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</si>
  <si>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</si>
  <si>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</si>
  <si>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</si>
  <si>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</si>
  <si>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</si>
  <si>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</si>
  <si>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</si>
  <si>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</si>
  <si>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</si>
  <si>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</si>
  <si>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</si>
  <si>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</si>
  <si>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</si>
  <si>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</si>
  <si>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</si>
  <si>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</si>
  <si>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</si>
  <si>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</si>
  <si>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</si>
  <si>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</si>
  <si>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</si>
  <si>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</si>
  <si>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</si>
  <si>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</si>
  <si>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</si>
  <si>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</si>
  <si>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</si>
  <si>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</si>
  <si>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</si>
  <si>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</si>
  <si>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</si>
  <si>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</si>
  <si>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</si>
  <si>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</si>
  <si>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</si>
  <si>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</si>
  <si>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</si>
  <si>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</si>
  <si>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</si>
  <si>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</si>
  <si>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</si>
  <si>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</si>
  <si>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</si>
  <si>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</si>
  <si>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</si>
  <si>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</si>
  <si>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</si>
  <si>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</si>
  <si>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</si>
  <si>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</si>
  <si>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</si>
  <si>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</si>
  <si>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</si>
  <si>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</si>
  <si>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</si>
  <si>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</si>
  <si>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</si>
  <si>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</si>
  <si>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</si>
  <si>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</si>
  <si>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</si>
  <si>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</si>
  <si>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</si>
  <si>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</si>
  <si>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</si>
  <si>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</si>
  <si>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</si>
  <si>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</si>
  <si>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</si>
  <si>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</si>
  <si>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</si>
  <si>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</si>
  <si>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</si>
  <si>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</si>
  <si>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</si>
  <si>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</si>
  <si>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</si>
  <si>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</si>
  <si>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</si>
  <si>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</si>
  <si>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</si>
  <si>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</si>
  <si>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</si>
  <si>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</si>
  <si>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</si>
  <si>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</si>
  <si>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</si>
  <si>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</si>
  <si>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</si>
  <si>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</si>
  <si>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</si>
  <si>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</si>
  <si>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</si>
  <si>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</si>
  <si>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</si>
  <si>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</si>
  <si>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</si>
  <si>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</si>
  <si>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</si>
  <si>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</si>
  <si>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</si>
  <si>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</si>
  <si>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</si>
  <si>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</si>
  <si>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</si>
  <si>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</si>
  <si>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</si>
  <si>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</si>
  <si>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</si>
  <si>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</si>
  <si>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</si>
  <si>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</si>
  <si>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</si>
  <si>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</si>
  <si>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</si>
  <si>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</si>
  <si>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</si>
  <si>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</si>
  <si>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</si>
  <si>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</si>
  <si>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</si>
  <si>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</si>
  <si>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</si>
  <si>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</si>
  <si>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</si>
  <si>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</si>
  <si>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</si>
  <si>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</si>
  <si>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</si>
  <si>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</si>
  <si>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</si>
  <si>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</si>
  <si>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</si>
  <si>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</si>
  <si>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</si>
  <si>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</si>
  <si>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</si>
  <si>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</si>
  <si>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</si>
  <si>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</si>
  <si>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</si>
  <si>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</si>
  <si>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</si>
  <si>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</si>
  <si>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</si>
  <si>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</si>
  <si>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</si>
  <si>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</si>
  <si>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</si>
  <si>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</si>
  <si>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</si>
  <si>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</si>
  <si>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</si>
  <si>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</si>
  <si>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</si>
  <si>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</si>
  <si>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</si>
  <si>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</si>
  <si>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</si>
  <si>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</si>
  <si>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</si>
  <si>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</si>
  <si>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</si>
  <si>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</si>
  <si>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</si>
  <si>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</si>
  <si>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</si>
  <si>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</si>
  <si>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</si>
  <si>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</si>
  <si>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</si>
  <si>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</si>
  <si>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</si>
  <si>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</si>
  <si>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</si>
  <si>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</si>
  <si>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</si>
  <si>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</si>
  <si>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</si>
  <si>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</si>
  <si>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</si>
  <si>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</si>
  <si>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</si>
  <si>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</si>
  <si>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</si>
  <si>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</si>
  <si>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</si>
  <si>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</si>
  <si>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</si>
  <si>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</si>
  <si>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</si>
  <si>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</si>
  <si>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</si>
  <si>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</si>
  <si>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</si>
  <si>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</si>
  <si>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</si>
  <si>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</si>
  <si>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</si>
  <si>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</si>
  <si>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</si>
  <si>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</si>
  <si>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</si>
  <si>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</si>
  <si>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</si>
  <si>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</si>
  <si>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</si>
  <si>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</si>
  <si>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</si>
  <si>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</si>
  <si>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</si>
  <si>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</si>
  <si>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</si>
  <si>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</si>
  <si>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</si>
  <si>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</si>
  <si>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</si>
  <si>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</si>
  <si>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</si>
  <si>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</si>
  <si>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</si>
  <si>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</si>
  <si>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</si>
  <si>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</si>
  <si>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</si>
  <si>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</si>
  <si>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</si>
  <si>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</si>
  <si>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</si>
  <si>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</si>
  <si>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</si>
  <si>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</si>
  <si>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</si>
  <si>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</si>
  <si>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</si>
  <si>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</si>
  <si>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</si>
  <si>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</si>
  <si>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</si>
  <si>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</si>
  <si>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</si>
  <si>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</si>
  <si>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</si>
  <si>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</si>
  <si>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</si>
  <si>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</si>
  <si>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</si>
  <si>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</si>
  <si>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</si>
  <si>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</si>
  <si>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</si>
  <si>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</si>
  <si>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</si>
  <si>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</si>
  <si>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</si>
  <si>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</si>
  <si>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</si>
  <si>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</si>
  <si>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</si>
  <si>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</si>
  <si>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</si>
  <si>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</si>
  <si>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</si>
  <si>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</si>
  <si>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</si>
  <si>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</si>
  <si>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</si>
  <si>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</si>
  <si>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</si>
  <si>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</si>
  <si>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</si>
  <si>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</si>
  <si>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</si>
  <si>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</si>
  <si>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</si>
  <si>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</si>
  <si>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</si>
  <si>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</si>
  <si>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</si>
  <si>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</si>
  <si>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</si>
  <si>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</si>
  <si>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</si>
  <si>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</si>
  <si>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</si>
  <si>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</si>
  <si>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</si>
  <si>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</si>
  <si>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</si>
  <si>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</si>
  <si>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</si>
  <si>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</si>
  <si>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</si>
  <si>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</si>
  <si>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</si>
  <si>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</si>
  <si>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</si>
  <si>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</si>
  <si>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</si>
  <si>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</si>
  <si>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</si>
  <si>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</si>
  <si>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</si>
  <si>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</si>
  <si>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</si>
  <si>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</si>
  <si>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</si>
  <si>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</si>
  <si>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</si>
  <si>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</si>
  <si>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</si>
  <si>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</si>
  <si>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</si>
  <si>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</si>
  <si>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</si>
  <si>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</si>
  <si>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</si>
  <si>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</si>
  <si>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</si>
  <si>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</si>
  <si>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</si>
  <si>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</si>
  <si>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</si>
  <si>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</si>
  <si>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</si>
  <si>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</si>
  <si>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</si>
  <si>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</si>
  <si>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</si>
  <si>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</si>
  <si>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</si>
  <si>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</si>
  <si>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</si>
  <si>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</si>
  <si>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</si>
  <si>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</si>
  <si>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</si>
  <si>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</si>
  <si>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</si>
  <si>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</si>
  <si>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</si>
  <si>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</si>
  <si>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</si>
  <si>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</si>
  <si>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</si>
  <si>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</si>
  <si>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</si>
  <si>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</si>
  <si>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</si>
  <si>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</si>
  <si>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</si>
  <si>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</si>
  <si>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</si>
  <si>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</si>
  <si>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</si>
  <si>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</si>
  <si>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</si>
  <si>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</si>
  <si>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</si>
  <si>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</si>
  <si>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</si>
  <si>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</si>
  <si>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</si>
  <si>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</si>
  <si>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</si>
  <si>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</si>
  <si>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</si>
  <si>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</si>
  <si>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</si>
  <si>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</si>
  <si>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</si>
  <si>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</si>
  <si>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</si>
  <si>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</si>
  <si>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</si>
  <si>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</si>
  <si>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</si>
  <si>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</si>
  <si>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</si>
  <si>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</si>
  <si>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</si>
  <si>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</si>
  <si>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</si>
  <si>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</si>
  <si>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</si>
  <si>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</si>
  <si>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</si>
  <si>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</si>
  <si>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</si>
  <si>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</si>
  <si>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</si>
  <si>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</si>
  <si>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</si>
  <si>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</si>
  <si>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</si>
  <si>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</si>
  <si>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</si>
  <si>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</si>
  <si>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</si>
  <si>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</si>
  <si>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</si>
  <si>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</si>
  <si>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</si>
  <si>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</si>
  <si>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</si>
  <si>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</si>
  <si>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</si>
  <si>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</si>
  <si>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</si>
  <si>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</si>
  <si>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</si>
  <si>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</si>
  <si>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</si>
  <si>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</si>
  <si>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</si>
  <si>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</si>
  <si>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</si>
  <si>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</si>
  <si>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</si>
  <si>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</si>
  <si>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</si>
  <si>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</si>
  <si>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</si>
  <si>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</si>
  <si>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</si>
  <si>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</si>
  <si>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</si>
  <si>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</si>
  <si>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</si>
  <si>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</si>
  <si>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</si>
  <si>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</si>
  <si>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</si>
  <si>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</si>
  <si>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</si>
  <si>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</si>
  <si>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</si>
  <si>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</si>
  <si>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</si>
  <si>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</si>
  <si>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</si>
  <si>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</si>
  <si>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</si>
  <si>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</si>
  <si>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</si>
  <si>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</si>
  <si>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</si>
  <si>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</si>
  <si>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</si>
  <si>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</si>
  <si>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</si>
  <si>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</si>
  <si>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</si>
  <si>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</si>
  <si>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</si>
  <si>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</si>
  <si>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</si>
  <si>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</si>
  <si>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</si>
  <si>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</si>
  <si>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</si>
  <si>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</si>
  <si>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</si>
  <si>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</si>
  <si>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</si>
  <si>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</si>
  <si>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</si>
  <si>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</si>
  <si>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</si>
  <si>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</si>
  <si>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</si>
  <si>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</si>
  <si>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</si>
  <si>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</si>
  <si>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</si>
  <si>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</si>
  <si>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</si>
  <si>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</si>
  <si>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</si>
  <si>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</si>
  <si>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</si>
  <si>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</si>
  <si>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</si>
  <si>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</si>
  <si>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</si>
  <si>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</si>
  <si>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</si>
  <si>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</si>
  <si>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</si>
  <si>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</si>
  <si>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</si>
  <si>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</si>
  <si>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</si>
  <si>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</si>
  <si>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</si>
  <si>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</si>
  <si>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</si>
  <si>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</si>
  <si>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</si>
  <si>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</si>
  <si>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</si>
  <si>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</si>
  <si>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</si>
  <si>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</si>
  <si>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</si>
  <si>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</si>
  <si>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</si>
  <si>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</si>
  <si>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</si>
  <si>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</si>
  <si>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</si>
  <si>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</si>
  <si>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</si>
  <si>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</si>
  <si>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</si>
  <si>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</si>
  <si>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</si>
  <si>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</si>
  <si>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</si>
  <si>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</si>
  <si>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</si>
  <si>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</si>
  <si>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</si>
  <si>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</si>
  <si>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</si>
  <si>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</si>
  <si>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</si>
  <si>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</si>
  <si>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</si>
  <si>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</si>
  <si>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</si>
  <si>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</si>
  <si>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</si>
  <si>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</si>
  <si>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</si>
  <si>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</si>
  <si>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</si>
  <si>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</si>
  <si>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</si>
  <si>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</si>
  <si>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</si>
  <si>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</si>
  <si>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</si>
  <si>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</si>
  <si>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</si>
  <si>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</si>
  <si>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</si>
  <si>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</si>
  <si>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</si>
  <si>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</si>
  <si>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</si>
  <si>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</si>
  <si>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</si>
  <si>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</si>
  <si>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</si>
  <si>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</si>
  <si>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</si>
  <si>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</si>
  <si>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</si>
  <si>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</si>
  <si>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</si>
  <si>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</si>
  <si>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</si>
  <si>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</si>
  <si>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</si>
  <si>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</si>
  <si>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</si>
  <si>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</si>
  <si>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</si>
  <si>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</si>
  <si>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</si>
  <si>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</si>
  <si>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</si>
  <si>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</si>
  <si>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</si>
  <si>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</si>
  <si>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</si>
  <si>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</si>
  <si>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</si>
  <si>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</si>
  <si>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</si>
  <si>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</si>
  <si>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</si>
  <si>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</si>
  <si>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</si>
  <si>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</si>
  <si>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</si>
  <si>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</si>
  <si>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</si>
  <si>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</si>
  <si>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</si>
  <si>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</si>
  <si>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</si>
  <si>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</si>
  <si>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</si>
  <si>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</si>
  <si>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</si>
  <si>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</si>
  <si>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</si>
  <si>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</si>
  <si>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</si>
  <si>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</si>
  <si>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</si>
  <si>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</si>
  <si>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</si>
  <si>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</si>
  <si>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</si>
  <si>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</si>
  <si>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</si>
  <si>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</si>
  <si>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</si>
  <si>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</si>
  <si>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</si>
  <si>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</si>
  <si>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</si>
  <si>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</si>
  <si>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</si>
  <si>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</si>
  <si>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</si>
  <si>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</si>
  <si>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</si>
  <si>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</si>
  <si>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</si>
  <si>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</si>
  <si>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</si>
  <si>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</si>
  <si>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</si>
  <si>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</si>
  <si>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</si>
  <si>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</si>
  <si>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</si>
  <si>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</si>
  <si>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</si>
  <si>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</si>
  <si>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</si>
  <si>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</si>
  <si>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</si>
  <si>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</si>
  <si>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</si>
  <si>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</si>
  <si>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</si>
  <si>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</si>
  <si>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</si>
  <si>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</si>
  <si>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</si>
  <si>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</si>
  <si>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</si>
  <si>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</si>
  <si>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</si>
  <si>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</si>
  <si>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</si>
  <si>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</si>
  <si>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</si>
  <si>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</si>
  <si>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</si>
  <si>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</si>
  <si>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</si>
  <si>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</si>
  <si>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</si>
  <si>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</si>
  <si>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</si>
  <si>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</si>
  <si>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</si>
  <si>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</si>
  <si>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</si>
  <si>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</si>
  <si>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</si>
  <si>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</si>
  <si>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</si>
  <si>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</si>
  <si>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</si>
  <si>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</si>
  <si>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</si>
  <si>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</si>
  <si>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</si>
  <si>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</si>
  <si>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</si>
  <si>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</si>
  <si>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</si>
  <si>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</si>
  <si>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</si>
  <si>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</si>
  <si>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</si>
  <si>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</si>
  <si>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</si>
  <si>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</si>
  <si>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</si>
  <si>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</si>
  <si>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</si>
  <si>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</si>
  <si>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</si>
  <si>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</si>
  <si>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</si>
  <si>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</si>
  <si>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</si>
  <si>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</si>
  <si>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</si>
  <si>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</si>
  <si>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</si>
  <si>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</si>
  <si>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</si>
  <si>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</si>
  <si>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</si>
  <si>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</si>
  <si>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</si>
  <si>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</si>
  <si>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</si>
  <si>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</si>
  <si>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</si>
  <si>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</si>
  <si>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</si>
  <si>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</si>
  <si>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</si>
  <si>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</si>
  <si>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</si>
  <si>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</si>
  <si>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</si>
  <si>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</si>
  <si>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</si>
  <si>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</si>
  <si>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</si>
  <si>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</si>
  <si>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</si>
  <si>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</si>
  <si>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</si>
  <si>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</si>
  <si>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</si>
  <si>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</si>
  <si>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</si>
  <si>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</si>
  <si>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</si>
  <si>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</si>
  <si>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</si>
  <si>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</si>
  <si>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</si>
  <si>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</si>
  <si>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</si>
  <si>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</si>
  <si>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</si>
  <si>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</si>
  <si>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</si>
  <si>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</si>
  <si>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</si>
  <si>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</si>
  <si>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</si>
  <si>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</si>
  <si>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</si>
  <si>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</si>
  <si>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</si>
  <si>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</si>
  <si>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</si>
  <si>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</si>
  <si>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</si>
  <si>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</si>
  <si>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</si>
  <si>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</si>
  <si>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</si>
  <si>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</si>
  <si>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</si>
  <si>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</si>
  <si>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</si>
  <si>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</si>
  <si>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</si>
  <si>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</si>
  <si>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</si>
  <si>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</si>
  <si>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</si>
  <si>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</si>
  <si>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</si>
  <si>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</si>
  <si>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</si>
  <si>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</si>
  <si>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</si>
  <si>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</si>
  <si>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</si>
  <si>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</si>
  <si>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</si>
  <si>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</si>
  <si>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</si>
  <si>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</si>
  <si>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</si>
  <si>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</si>
  <si>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</si>
  <si>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</si>
  <si>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</si>
  <si>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</si>
  <si>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</si>
  <si>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</si>
  <si>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</si>
  <si>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</si>
  <si>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</si>
  <si>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</si>
  <si>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</si>
  <si>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</si>
  <si>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</si>
  <si>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</si>
  <si>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</si>
  <si>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</si>
  <si>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</si>
  <si>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</si>
  <si>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</si>
  <si>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</si>
  <si>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</si>
  <si>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</si>
  <si>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</si>
  <si>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</si>
  <si>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</si>
  <si>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</si>
  <si>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</si>
  <si>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</si>
  <si>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</si>
  <si>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</si>
  <si>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</si>
  <si>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</si>
  <si>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</si>
  <si>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</si>
  <si>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</si>
  <si>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</si>
  <si>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</si>
  <si>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</si>
  <si>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</si>
  <si>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</si>
  <si>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</si>
  <si>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</si>
  <si>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</si>
  <si>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</si>
  <si>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</si>
  <si>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</si>
  <si>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</si>
  <si>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</si>
  <si>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</si>
  <si>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</si>
  <si>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</si>
  <si>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</si>
  <si>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</si>
  <si>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</si>
  <si>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</si>
  <si>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</si>
  <si>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</si>
  <si>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</si>
  <si>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</si>
  <si>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</si>
  <si>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</si>
  <si>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</si>
  <si>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</si>
  <si>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</si>
  <si>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</si>
  <si>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</si>
  <si>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</si>
  <si>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</si>
  <si>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</si>
  <si>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</si>
  <si>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</si>
  <si>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</si>
  <si>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</si>
  <si>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</si>
  <si>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</si>
  <si>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</si>
  <si>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</si>
  <si>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</si>
  <si>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</si>
  <si>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</si>
  <si>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</si>
  <si>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</si>
  <si>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</si>
  <si>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</si>
  <si>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</si>
  <si>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</si>
  <si>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</si>
  <si>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</si>
  <si>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</si>
  <si>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</si>
  <si>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</si>
  <si>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</si>
  <si>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</si>
  <si>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</si>
  <si>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</si>
  <si>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</si>
  <si>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</si>
  <si>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</si>
  <si>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</si>
  <si>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</si>
  <si>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</si>
  <si>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</si>
  <si>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</si>
  <si>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</si>
  <si>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</si>
  <si>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</si>
  <si>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</si>
  <si>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</si>
  <si>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</si>
  <si>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</si>
  <si>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</si>
  <si>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</si>
  <si>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</si>
  <si>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</si>
  <si>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</si>
  <si>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</si>
  <si>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</si>
  <si>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</si>
  <si>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</si>
  <si>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</si>
  <si>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</si>
  <si>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</si>
  <si>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</si>
  <si>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</si>
  <si>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</si>
  <si>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</si>
  <si>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</si>
  <si>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</si>
  <si>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</si>
  <si>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</si>
  <si>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</si>
  <si>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</si>
  <si>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</si>
  <si>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</si>
  <si>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</si>
  <si>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</si>
  <si>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</si>
  <si>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</si>
  <si>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</si>
  <si>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</si>
  <si>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</si>
  <si>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</si>
  <si>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</si>
  <si>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</si>
  <si>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</si>
  <si>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</si>
  <si>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</si>
  <si>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</si>
  <si>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</si>
  <si>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</si>
  <si>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</si>
  <si>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</si>
  <si>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</si>
  <si>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</si>
  <si>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</si>
  <si>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</si>
  <si>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</si>
  <si>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</si>
  <si>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</si>
  <si>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</si>
  <si>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</si>
  <si>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</si>
  <si>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</si>
  <si>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</si>
  <si>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</si>
  <si>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</si>
  <si>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</si>
  <si>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</si>
  <si>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</si>
  <si>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</si>
  <si>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</si>
  <si>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</si>
  <si>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</si>
  <si>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</si>
  <si>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</si>
  <si>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</si>
  <si>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</si>
  <si>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</si>
  <si>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</si>
  <si>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</si>
  <si>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</si>
  <si>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</si>
  <si>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</si>
  <si>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</si>
  <si>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</si>
  <si>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</si>
  <si>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</si>
  <si>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</si>
  <si>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</si>
  <si>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</si>
  <si>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</si>
  <si>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</si>
  <si>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</si>
  <si>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</si>
  <si>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</si>
  <si>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</si>
  <si>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</si>
  <si>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</si>
  <si>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</si>
  <si>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</si>
  <si>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</si>
  <si>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</si>
  <si>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</si>
  <si>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</si>
  <si>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</si>
  <si>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</si>
  <si>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</si>
  <si>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</si>
  <si>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</si>
  <si>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</si>
  <si>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</si>
  <si>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</si>
  <si>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</si>
  <si>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</si>
  <si>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</si>
  <si>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</si>
  <si>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</si>
  <si>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</si>
  <si>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</si>
  <si>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</si>
  <si>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</si>
  <si>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</si>
  <si>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</si>
  <si>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</si>
  <si>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</si>
  <si>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</si>
  <si>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</si>
  <si>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</si>
  <si>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</si>
  <si>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</si>
  <si>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</si>
  <si>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</si>
  <si>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</si>
  <si>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</si>
  <si>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</si>
  <si>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</si>
  <si>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</si>
  <si>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</si>
  <si>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</si>
  <si>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</si>
  <si>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</si>
  <si>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</si>
  <si>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</si>
  <si>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</si>
  <si>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</si>
  <si>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</si>
  <si>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</si>
  <si>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</si>
  <si>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</si>
  <si>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</si>
  <si>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</si>
  <si>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</si>
  <si>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</si>
  <si>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</si>
  <si>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</si>
  <si>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</si>
  <si>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</si>
  <si>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</si>
  <si>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</si>
  <si>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</si>
  <si>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</si>
  <si>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</si>
  <si>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</si>
  <si>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</si>
  <si>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</si>
  <si>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</si>
  <si>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</si>
  <si>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</si>
  <si>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</si>
  <si>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</si>
  <si>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</si>
  <si>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</si>
  <si>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</si>
  <si>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</si>
  <si>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</si>
  <si>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</si>
  <si>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</si>
  <si>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</si>
  <si>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</si>
  <si>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</si>
  <si>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</si>
  <si>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</si>
  <si>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</si>
  <si>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</si>
  <si>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</si>
  <si>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</si>
  <si>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</si>
  <si>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</si>
  <si>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</si>
  <si>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</si>
  <si>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</si>
  <si>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</si>
  <si>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</si>
  <si>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</si>
  <si>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</si>
  <si>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</si>
  <si>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</si>
  <si>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</si>
  <si>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</si>
  <si>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</si>
  <si>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</si>
  <si>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</si>
  <si>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</si>
  <si>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</si>
  <si>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</si>
  <si>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</si>
  <si>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</si>
  <si>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</si>
  <si>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</si>
  <si>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</si>
  <si>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</si>
  <si>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</si>
  <si>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</si>
  <si>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</si>
  <si>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</si>
  <si>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</si>
  <si>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</si>
  <si>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</si>
  <si>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</si>
  <si>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</si>
  <si>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</si>
  <si>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</si>
  <si>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</si>
  <si>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</si>
  <si>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</si>
  <si>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</si>
  <si>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</si>
  <si>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</si>
  <si>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</si>
  <si>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</si>
  <si>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</si>
  <si>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</si>
  <si>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</si>
  <si>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</si>
  <si>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</si>
  <si>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</si>
  <si>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</si>
  <si>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</si>
  <si>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</si>
  <si>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</si>
  <si>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</si>
  <si>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</si>
  <si>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</si>
  <si>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</si>
  <si>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</si>
  <si>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</si>
  <si>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</si>
  <si>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</si>
  <si>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</si>
  <si>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</si>
  <si>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</si>
  <si>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</si>
  <si>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</si>
  <si>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</si>
  <si>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</si>
  <si>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</si>
  <si>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</si>
  <si>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</si>
  <si>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</si>
  <si>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</si>
  <si>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</si>
  <si>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</si>
  <si>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</si>
  <si>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</si>
  <si>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</si>
  <si>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</si>
  <si>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</si>
  <si>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</si>
  <si>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</si>
  <si>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</si>
  <si>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</si>
  <si>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</si>
  <si>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</si>
  <si>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</si>
  <si>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</si>
  <si>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</si>
  <si>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</si>
  <si>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</si>
  <si>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</si>
  <si>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</si>
  <si>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</si>
  <si>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</si>
  <si>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</si>
  <si>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</si>
  <si>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</si>
  <si>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</si>
  <si>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</si>
  <si>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</si>
  <si>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</si>
  <si>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</si>
  <si>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</si>
  <si>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</si>
  <si>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</si>
  <si>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</si>
  <si>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</si>
  <si>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</si>
  <si>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</si>
  <si>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</si>
  <si>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</si>
  <si>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</si>
  <si>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</si>
  <si>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</si>
  <si>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</si>
  <si>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</si>
  <si>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</si>
  <si>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</si>
  <si>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</si>
  <si>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</si>
  <si>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</si>
  <si>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</si>
  <si>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</si>
  <si>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</si>
  <si>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</si>
  <si>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</si>
  <si>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</si>
  <si>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</si>
  <si>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</si>
  <si>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</si>
  <si>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</si>
  <si>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</si>
  <si>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</si>
  <si>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</si>
  <si>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</si>
  <si>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</si>
  <si>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</si>
  <si>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</si>
  <si>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</si>
  <si>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</si>
  <si>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</si>
  <si>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</si>
  <si>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</si>
  <si>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</si>
  <si>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</si>
  <si>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</si>
  <si>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</si>
  <si>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</si>
  <si>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</si>
  <si>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</si>
  <si>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</si>
  <si>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</si>
  <si>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</si>
  <si>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</si>
  <si>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</si>
  <si>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</si>
  <si>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</si>
  <si>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</si>
  <si>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</si>
  <si>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</si>
  <si>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</si>
  <si>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</si>
  <si>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</si>
  <si>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</si>
  <si>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</si>
  <si>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</si>
  <si>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</si>
  <si>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</si>
  <si>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</si>
  <si>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</si>
  <si>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</si>
  <si>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</si>
  <si>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</si>
  <si>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</si>
  <si>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</si>
  <si>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</si>
  <si>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</si>
  <si>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</si>
  <si>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</si>
  <si>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</si>
  <si>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</si>
  <si>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</si>
  <si>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</si>
  <si>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</si>
  <si>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</si>
  <si>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</si>
  <si>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</si>
  <si>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</si>
  <si>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</si>
  <si>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</si>
  <si>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</si>
  <si>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</si>
  <si>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</si>
  <si>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</si>
  <si>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</si>
  <si>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</si>
  <si>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</si>
  <si>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</si>
  <si>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</si>
  <si>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</si>
  <si>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</si>
  <si>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</si>
  <si>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</si>
  <si>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</si>
  <si>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</si>
  <si>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</si>
  <si>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</si>
  <si>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</si>
  <si>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</si>
  <si>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</si>
  <si>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</si>
  <si>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</si>
  <si>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</si>
  <si>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</si>
  <si>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</si>
  <si>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</si>
  <si>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</si>
  <si>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</si>
  <si>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</si>
  <si>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</si>
  <si>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</si>
  <si>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</si>
  <si>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</si>
  <si>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</si>
  <si>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</si>
  <si>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</si>
  <si>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</si>
  <si>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</si>
  <si>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</si>
  <si>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</si>
  <si>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</si>
  <si>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</si>
  <si>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</si>
  <si>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</si>
  <si>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</si>
  <si>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</si>
  <si>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</si>
  <si>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</si>
  <si>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</si>
  <si>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</si>
  <si>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</si>
  <si>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</si>
  <si>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</si>
  <si>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</si>
  <si>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</si>
  <si>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</si>
  <si>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</si>
  <si>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</si>
  <si>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</si>
  <si>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</si>
  <si>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</si>
  <si>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</si>
  <si>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</si>
  <si>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</si>
  <si>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</si>
  <si>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</si>
  <si>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</si>
  <si>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</si>
  <si>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</si>
  <si>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</si>
  <si>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</si>
  <si>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</si>
  <si>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</si>
  <si>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</si>
  <si>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</si>
  <si>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</si>
  <si>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</si>
  <si>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</si>
  <si>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</si>
  <si>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</si>
  <si>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</si>
  <si>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</si>
  <si>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</si>
  <si>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</si>
  <si>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</si>
  <si>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</si>
  <si>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</si>
  <si>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</si>
  <si>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</si>
  <si>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</si>
  <si>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</si>
  <si>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</si>
  <si>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</si>
  <si>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</si>
  <si>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</si>
  <si>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</si>
  <si>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</si>
  <si>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</si>
  <si>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</si>
  <si>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</si>
  <si>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</si>
  <si>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</si>
  <si>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</si>
  <si>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</si>
  <si>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</si>
  <si>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</si>
  <si>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</si>
  <si>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</si>
  <si>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</si>
  <si>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</si>
  <si>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</si>
  <si>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</si>
  <si>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</si>
  <si>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</si>
  <si>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</si>
  <si>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</si>
  <si>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</si>
  <si>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</si>
  <si>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</si>
  <si>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</si>
  <si>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</si>
  <si>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</si>
  <si>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</si>
  <si>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</si>
  <si>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</si>
  <si>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</si>
  <si>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</si>
  <si>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</si>
  <si>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</si>
  <si>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</si>
  <si>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</si>
  <si>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</si>
  <si>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</si>
  <si>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</si>
  <si>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</si>
  <si>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</si>
  <si>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</si>
  <si>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</si>
  <si>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</si>
  <si>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</si>
  <si>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</si>
  <si>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</si>
  <si>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</si>
  <si>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</si>
  <si>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</si>
  <si>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</si>
  <si>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</si>
  <si>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</si>
  <si>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</si>
  <si>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</si>
  <si>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</si>
  <si>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</si>
  <si>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</si>
  <si>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</si>
  <si>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</si>
  <si>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</si>
  <si>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</si>
  <si>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</si>
  <si>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</si>
  <si>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</si>
  <si>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</si>
  <si>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</si>
  <si>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</si>
  <si>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</si>
  <si>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</si>
  <si>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</si>
  <si>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</si>
  <si>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</si>
  <si>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</si>
  <si>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</si>
  <si>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</si>
  <si>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</si>
  <si>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</si>
  <si>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</si>
  <si>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</si>
  <si>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</si>
  <si>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</si>
  <si>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</si>
  <si>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</si>
  <si>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</si>
  <si>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</si>
  <si>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</si>
  <si>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</si>
  <si>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</si>
  <si>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</si>
  <si>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</si>
  <si>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</si>
  <si>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</si>
  <si>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</si>
  <si>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</si>
  <si>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</si>
  <si>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</si>
  <si>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</si>
  <si>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</si>
  <si>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</si>
  <si>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</si>
  <si>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</si>
  <si>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</si>
  <si>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</si>
  <si>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</si>
  <si>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</si>
  <si>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</si>
  <si>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</si>
  <si>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</si>
  <si>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</si>
  <si>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</si>
  <si>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</si>
  <si>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</si>
  <si>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</si>
  <si>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</si>
  <si>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</si>
  <si>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</si>
  <si>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</si>
  <si>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</si>
  <si>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</si>
  <si>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</si>
  <si>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</si>
  <si>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</si>
  <si>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</si>
  <si>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</si>
  <si>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</si>
  <si>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</si>
  <si>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</si>
  <si>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</si>
  <si>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</si>
  <si>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</si>
  <si>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</si>
  <si>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</si>
  <si>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</si>
  <si>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</si>
  <si>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</si>
  <si>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</si>
  <si>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</si>
  <si>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</si>
  <si>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</si>
  <si>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</si>
  <si>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</si>
  <si>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</si>
  <si>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</si>
  <si>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</si>
  <si>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</si>
  <si>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</si>
  <si>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</si>
  <si>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</si>
  <si>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</si>
  <si>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</si>
  <si>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</si>
  <si>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</si>
  <si>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</si>
  <si>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</si>
  <si>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</si>
  <si>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</si>
  <si>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</si>
  <si>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</si>
  <si>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</si>
  <si>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</si>
  <si>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</si>
  <si>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</si>
  <si>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</si>
  <si>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</si>
  <si>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</si>
  <si>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</si>
  <si>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</si>
  <si>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</si>
  <si>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</si>
  <si>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</si>
  <si>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</si>
  <si>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</si>
  <si>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</si>
  <si>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</si>
  <si>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</si>
  <si>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</si>
  <si>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</si>
  <si>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</si>
  <si>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</si>
  <si>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</si>
  <si>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</si>
  <si>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</si>
  <si>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</si>
  <si>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</si>
  <si>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</si>
  <si>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</si>
  <si>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</si>
  <si>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</si>
  <si>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</si>
  <si>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</si>
  <si>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</si>
  <si>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</si>
  <si>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</si>
  <si>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</si>
  <si>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</si>
  <si>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</si>
  <si>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</si>
  <si>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</si>
  <si>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</si>
  <si>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</si>
  <si>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</si>
  <si>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</si>
  <si>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</si>
  <si>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</si>
  <si>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</si>
  <si>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</si>
  <si>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</si>
  <si>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</si>
  <si>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</si>
  <si>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</si>
  <si>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</si>
  <si>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</si>
  <si>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</si>
  <si>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</si>
  <si>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</si>
  <si>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</si>
  <si>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</si>
  <si>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</si>
  <si>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</si>
  <si>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</si>
  <si>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</si>
  <si>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</si>
  <si>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</si>
  <si>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</si>
  <si>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</si>
  <si>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</si>
  <si>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</si>
  <si>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</si>
  <si>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</si>
  <si>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</si>
  <si>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</si>
  <si>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</si>
  <si>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</si>
  <si>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</si>
  <si>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</si>
  <si>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</si>
  <si>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</si>
  <si>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</si>
  <si>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</si>
  <si>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</si>
  <si>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</si>
  <si>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</si>
  <si>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</si>
  <si>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</si>
  <si>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</si>
  <si>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</si>
  <si>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</si>
  <si>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</si>
  <si>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</si>
  <si>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</si>
  <si>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</si>
  <si>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</si>
  <si>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</si>
  <si>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</si>
  <si>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</si>
  <si>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</si>
  <si>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</si>
  <si>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</si>
  <si>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</si>
  <si>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</si>
  <si>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</si>
  <si>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</si>
  <si>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</si>
  <si>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</si>
  <si>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</si>
  <si>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</si>
  <si>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</si>
  <si>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</si>
  <si>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</si>
  <si>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</si>
  <si>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</si>
  <si>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</si>
  <si>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</si>
  <si>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</si>
  <si>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</si>
  <si>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</si>
  <si>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</si>
  <si>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</si>
  <si>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</si>
  <si>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</si>
  <si>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</si>
  <si>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</si>
  <si>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</si>
  <si>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</si>
  <si>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</si>
  <si>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</si>
  <si>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</si>
  <si>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</si>
  <si>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</si>
  <si>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</si>
  <si>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</si>
  <si>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</si>
  <si>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</si>
  <si>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</si>
  <si>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</si>
  <si>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</si>
  <si>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</si>
  <si>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</si>
  <si>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</si>
  <si>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</si>
  <si>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</si>
  <si>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</si>
  <si>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</si>
  <si>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</si>
  <si>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</si>
  <si>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</si>
  <si>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</si>
  <si>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</si>
  <si>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</si>
  <si>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</si>
  <si>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</si>
  <si>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</si>
  <si>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</si>
  <si>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</si>
  <si>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</si>
  <si>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</si>
  <si>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</si>
  <si>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</si>
  <si>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</si>
  <si>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</si>
  <si>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</si>
  <si>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</si>
  <si>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</si>
  <si>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</si>
  <si>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</si>
  <si>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</si>
  <si>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</si>
  <si>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</si>
  <si>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</si>
  <si>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</si>
  <si>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</si>
  <si>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</si>
  <si>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</si>
  <si>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</si>
  <si>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</si>
  <si>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</si>
  <si>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</si>
  <si>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</si>
  <si>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</si>
  <si>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</si>
  <si>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</si>
  <si>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</si>
  <si>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</si>
  <si>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</si>
  <si>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</si>
  <si>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</si>
  <si>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</si>
  <si>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</si>
  <si>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</si>
  <si>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</si>
  <si>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</si>
  <si>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</si>
  <si>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</si>
  <si>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</si>
  <si>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</si>
  <si>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</si>
  <si>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</si>
  <si>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</si>
  <si>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</si>
  <si>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</si>
  <si>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</si>
  <si>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</si>
  <si>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</si>
  <si>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</si>
  <si>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</si>
  <si>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</si>
  <si>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</si>
  <si>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</si>
  <si>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</si>
  <si>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</si>
  <si>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</si>
  <si>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</si>
  <si>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</si>
  <si>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</si>
  <si>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</si>
  <si>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</si>
  <si>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</si>
  <si>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</si>
  <si>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</si>
  <si>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</si>
  <si>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</si>
  <si>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</si>
  <si>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</si>
  <si>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</si>
  <si>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</si>
  <si>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</si>
  <si>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</si>
  <si>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</si>
  <si>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</si>
  <si>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</si>
  <si>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</si>
  <si>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</si>
  <si>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</si>
  <si>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</si>
  <si>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</si>
  <si>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</si>
  <si>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</si>
  <si>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</si>
  <si>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</si>
  <si>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</si>
  <si>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</si>
  <si>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</si>
  <si>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</si>
  <si>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</si>
  <si>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</si>
  <si>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</si>
  <si>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</si>
  <si>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</si>
  <si>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</si>
  <si>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</si>
  <si>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</si>
  <si>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</si>
  <si>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</si>
  <si>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</si>
  <si>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</si>
  <si>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</si>
  <si>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</si>
  <si>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</si>
  <si>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</si>
  <si>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</si>
  <si>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</si>
  <si>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</si>
  <si>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</si>
  <si>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</si>
  <si>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</si>
  <si>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</si>
  <si>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</si>
  <si>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</si>
  <si>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</si>
  <si>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</si>
  <si>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</si>
  <si>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</si>
  <si>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</si>
  <si>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</si>
  <si>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</si>
  <si>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</si>
  <si>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</si>
  <si>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</si>
  <si>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</si>
  <si>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</si>
  <si>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</si>
  <si>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</si>
  <si>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</si>
  <si>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</si>
  <si>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</si>
  <si>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</si>
  <si>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</si>
  <si>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</si>
  <si>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</si>
  <si>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</si>
  <si>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</si>
  <si>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</si>
  <si>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</si>
  <si>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</si>
  <si>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</si>
  <si>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</si>
  <si>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</si>
  <si>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</si>
  <si>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</si>
  <si>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</si>
  <si>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</si>
  <si>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</si>
  <si>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</si>
  <si>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</si>
  <si>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</si>
  <si>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</si>
  <si>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</si>
  <si>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</si>
  <si>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</si>
  <si>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</si>
  <si>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</si>
  <si>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</si>
  <si>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</si>
  <si>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</si>
  <si>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</si>
  <si>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</si>
  <si>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</si>
  <si>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</si>
  <si>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</si>
  <si>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</si>
  <si>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</si>
  <si>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</si>
  <si>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</si>
  <si>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</si>
  <si>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</si>
  <si>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</si>
  <si>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</si>
  <si>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</si>
  <si>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</si>
  <si>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</si>
  <si>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</si>
  <si>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</si>
  <si>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</si>
  <si>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</si>
  <si>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</si>
  <si>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</si>
  <si>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</si>
  <si>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</si>
  <si>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</si>
  <si>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</si>
  <si>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</si>
  <si>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</si>
  <si>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</si>
  <si>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</si>
  <si>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</si>
  <si>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</si>
  <si>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</si>
  <si>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</si>
  <si>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</si>
  <si>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</si>
  <si>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</si>
  <si>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</si>
  <si>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</si>
  <si>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</si>
  <si>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</si>
  <si>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</si>
  <si>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</si>
  <si>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</si>
  <si>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</si>
  <si>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</si>
  <si>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</si>
  <si>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</si>
  <si>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</si>
  <si>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</si>
  <si>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</si>
  <si>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</si>
  <si>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</si>
  <si>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</si>
  <si>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</si>
  <si>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</si>
  <si>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</si>
  <si>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</si>
  <si>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</si>
  <si>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</si>
  <si>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</si>
  <si>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</si>
  <si>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</si>
  <si>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</si>
  <si>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</si>
  <si>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</si>
  <si>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</si>
  <si>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</si>
  <si>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</si>
  <si>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</si>
  <si>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</si>
  <si>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</si>
  <si>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</si>
  <si>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</si>
  <si>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</si>
  <si>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</si>
  <si>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</si>
  <si>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</si>
  <si>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</si>
  <si>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</si>
  <si>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</si>
  <si>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</si>
  <si>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</si>
  <si>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</si>
  <si>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</si>
  <si>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</si>
  <si>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</si>
  <si>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</si>
  <si>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</si>
  <si>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</si>
  <si>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</si>
  <si>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</si>
  <si>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</si>
  <si>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</si>
  <si>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</si>
  <si>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</si>
  <si>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</si>
  <si>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</si>
  <si>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</si>
  <si>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</si>
  <si>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</si>
  <si>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</si>
  <si>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</si>
  <si>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</si>
  <si>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</si>
  <si>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</si>
  <si>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</si>
  <si>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</si>
  <si>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</si>
  <si>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</si>
  <si>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</si>
  <si>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</si>
  <si>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</si>
  <si>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</si>
  <si>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</si>
  <si>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</si>
  <si>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</si>
  <si>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</si>
  <si>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</si>
  <si>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</si>
  <si>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</si>
  <si>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</si>
  <si>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</si>
  <si>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</si>
  <si>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</si>
  <si>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</si>
  <si>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</si>
  <si>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</si>
  <si>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</si>
  <si>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</si>
  <si>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</si>
  <si>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</si>
  <si>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</si>
  <si>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</si>
  <si>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</si>
  <si>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</si>
  <si>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</si>
  <si>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</si>
  <si>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</si>
  <si>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</si>
  <si>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</si>
  <si>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</si>
  <si>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</si>
  <si>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</si>
  <si>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</si>
  <si>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</si>
  <si>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</si>
  <si>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</si>
  <si>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</si>
  <si>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</si>
  <si>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</si>
  <si>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</si>
  <si>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</si>
  <si>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</si>
  <si>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</si>
  <si>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</si>
  <si>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</si>
  <si>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</si>
  <si>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</si>
  <si>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</si>
  <si>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</si>
  <si>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</si>
  <si>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</si>
  <si>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</si>
  <si>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</si>
  <si>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</si>
  <si>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</si>
  <si>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</si>
  <si>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</si>
  <si>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</si>
  <si>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</si>
  <si>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</si>
  <si>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</si>
  <si>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</si>
  <si>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</si>
  <si>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</si>
  <si>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</si>
  <si>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</si>
  <si>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</si>
  <si>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</si>
  <si>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</si>
  <si>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</si>
  <si>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</si>
  <si>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</si>
  <si>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</si>
  <si>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</si>
  <si>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</si>
  <si>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</si>
  <si>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</si>
  <si>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</si>
  <si>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</si>
  <si>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</si>
  <si>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</si>
  <si>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</si>
  <si>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</si>
  <si>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</si>
  <si>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</si>
  <si>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</si>
  <si>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</si>
  <si>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</si>
  <si>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</si>
  <si>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</si>
  <si>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</si>
  <si>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</si>
  <si>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</si>
  <si>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</si>
  <si>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</si>
  <si>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</si>
  <si>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</si>
  <si>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</si>
  <si>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</si>
  <si>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</si>
  <si>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</si>
  <si>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</si>
  <si>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</si>
  <si>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</si>
  <si>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</si>
  <si>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</si>
  <si>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</si>
  <si>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</si>
  <si>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</si>
  <si>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</si>
  <si>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</si>
  <si>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</si>
  <si>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</si>
  <si>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</si>
  <si>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</si>
  <si>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</si>
  <si>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</si>
  <si>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</si>
  <si>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</si>
  <si>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</si>
  <si>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</si>
  <si>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</si>
  <si>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</si>
  <si>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</si>
  <si>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</si>
  <si>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</si>
  <si>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</si>
  <si>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</si>
  <si>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</si>
  <si>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</si>
  <si>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</si>
  <si>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</si>
  <si>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</si>
  <si>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</si>
  <si>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</si>
  <si>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</si>
  <si>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</si>
  <si>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</si>
  <si>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</si>
  <si>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</si>
  <si>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</si>
  <si>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</si>
  <si>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</si>
  <si>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</si>
  <si>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</si>
  <si>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</si>
  <si>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</si>
  <si>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</si>
  <si>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</si>
  <si>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</si>
  <si>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</si>
  <si>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</si>
  <si>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</si>
  <si>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</si>
  <si>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</si>
  <si>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</si>
  <si>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</si>
  <si>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</si>
  <si>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</si>
  <si>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</si>
  <si>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</si>
  <si>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</si>
  <si>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</si>
  <si>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</si>
  <si>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</si>
  <si>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</si>
  <si>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</si>
  <si>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</si>
  <si>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</si>
  <si>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</si>
  <si>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</si>
  <si>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</si>
  <si>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</si>
  <si>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</si>
  <si>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</si>
  <si>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</si>
  <si>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</si>
  <si>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</si>
  <si>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</si>
  <si>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</si>
  <si>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</si>
  <si>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</si>
  <si>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</si>
  <si>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</si>
  <si>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</si>
  <si>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</si>
  <si>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</si>
  <si>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</si>
  <si>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</si>
  <si>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</si>
  <si>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</si>
  <si>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</si>
  <si>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</si>
  <si>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</si>
  <si>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</si>
  <si>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</si>
  <si>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</si>
  <si>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</si>
  <si>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</si>
  <si>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</si>
  <si>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</si>
  <si>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</si>
  <si>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</si>
  <si>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</si>
  <si>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</si>
  <si>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</si>
  <si>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</si>
  <si>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</si>
  <si>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</si>
  <si>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</si>
  <si>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</si>
  <si>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</si>
  <si>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</si>
  <si>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</si>
  <si>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</si>
  <si>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</si>
  <si>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</si>
  <si>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</si>
  <si>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</si>
  <si>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</si>
  <si>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</si>
  <si>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</si>
  <si>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</si>
  <si>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</si>
  <si>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</si>
  <si>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</si>
  <si>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</si>
  <si>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</si>
  <si>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</si>
  <si>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</si>
  <si>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</si>
  <si>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</si>
  <si>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</si>
  <si>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</si>
  <si>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</si>
  <si>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</si>
  <si>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</si>
  <si>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</si>
  <si>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</si>
  <si>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</si>
  <si>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</si>
  <si>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</si>
  <si>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</si>
  <si>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</si>
  <si>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</si>
  <si>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</si>
  <si>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</si>
  <si>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</si>
  <si>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</si>
  <si>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</si>
  <si>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</si>
  <si>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</si>
  <si>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</si>
  <si>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</si>
  <si>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</si>
  <si>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</si>
  <si>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</si>
  <si>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</si>
  <si>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</si>
  <si>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</si>
  <si>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</si>
  <si>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</si>
  <si>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</si>
  <si>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</si>
  <si>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</si>
  <si>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</si>
  <si>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</si>
  <si>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</si>
  <si>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</si>
  <si>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</si>
  <si>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</si>
  <si>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</si>
  <si>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</si>
  <si>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</si>
  <si>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</si>
  <si>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</si>
  <si>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</si>
  <si>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</si>
  <si>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</si>
  <si>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</si>
  <si>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</si>
  <si>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</si>
  <si>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</si>
  <si>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</si>
  <si>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</si>
  <si>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</si>
  <si>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</si>
  <si>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</si>
  <si>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</si>
  <si>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</si>
  <si>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</si>
  <si>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</si>
  <si>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</si>
  <si>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</si>
  <si>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</si>
  <si>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</si>
  <si>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</si>
  <si>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</si>
  <si>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</si>
  <si>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</si>
  <si>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</si>
  <si>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</si>
  <si>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</si>
  <si>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</si>
  <si>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</si>
  <si>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</si>
  <si>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</si>
  <si>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</si>
  <si>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</si>
  <si>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</si>
  <si>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</si>
  <si>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</si>
  <si>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</si>
  <si>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</si>
  <si>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</si>
  <si>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</si>
  <si>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</si>
  <si>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</si>
  <si>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</si>
  <si>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</si>
  <si>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</si>
  <si>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</si>
  <si>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</si>
  <si>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</si>
  <si>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</si>
  <si>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</si>
  <si>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</si>
  <si>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</si>
  <si>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</si>
  <si>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</si>
  <si>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</si>
  <si>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</si>
  <si>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</si>
  <si>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</si>
  <si>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</si>
  <si>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</si>
  <si>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</si>
  <si>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</si>
  <si>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</si>
  <si>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</si>
  <si>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</si>
  <si>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</si>
  <si>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</si>
  <si>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</si>
  <si>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</si>
  <si>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</si>
  <si>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</si>
  <si>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</si>
  <si>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</si>
  <si>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</si>
  <si>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</si>
  <si>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</si>
  <si>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</si>
  <si>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</si>
  <si>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</si>
  <si>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</si>
  <si>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</si>
  <si>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</si>
  <si>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</si>
  <si>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</si>
  <si>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</si>
  <si>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</si>
  <si>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</si>
  <si>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</si>
  <si>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</si>
  <si>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</si>
  <si>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</si>
  <si>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</si>
  <si>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</si>
  <si>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</si>
  <si>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</si>
  <si>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</si>
  <si>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</si>
  <si>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</si>
  <si>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</si>
  <si>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</si>
  <si>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</si>
  <si>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</si>
  <si>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</si>
  <si>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</si>
  <si>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</si>
  <si>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</si>
  <si>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</si>
  <si>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</si>
  <si>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</si>
  <si>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</si>
  <si>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</si>
  <si>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</si>
  <si>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</si>
  <si>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</si>
  <si>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</si>
  <si>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</si>
  <si>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</si>
  <si>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</si>
  <si>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</si>
  <si>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</si>
  <si>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</si>
  <si>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</si>
  <si>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</si>
  <si>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</si>
  <si>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</si>
  <si>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</si>
  <si>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</si>
  <si>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</si>
  <si>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</si>
  <si>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</si>
  <si>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</si>
  <si>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</si>
  <si>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</si>
  <si>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</si>
  <si>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</si>
  <si>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</si>
  <si>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</si>
  <si>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</si>
  <si>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</si>
  <si>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</si>
  <si>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</si>
  <si>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</si>
  <si>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</si>
  <si>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</si>
  <si>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</si>
  <si>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</si>
  <si>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</si>
  <si>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</si>
  <si>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</si>
  <si>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</si>
  <si>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</si>
  <si>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</si>
  <si>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</si>
  <si>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</si>
  <si>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</si>
  <si>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</si>
  <si>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</si>
  <si>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</si>
  <si>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</si>
  <si>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</si>
  <si>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</si>
  <si>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</si>
  <si>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</si>
  <si>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</si>
  <si>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</si>
  <si>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</si>
  <si>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</si>
  <si>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</si>
  <si>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</si>
  <si>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</si>
  <si>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</si>
  <si>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</si>
  <si>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</si>
  <si>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</si>
  <si>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</si>
  <si>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</si>
  <si>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</si>
  <si>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</si>
  <si>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</si>
  <si>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</si>
  <si>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</si>
  <si>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</si>
  <si>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</si>
  <si>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</si>
  <si>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</si>
  <si>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</si>
  <si>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</si>
  <si>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</si>
  <si>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</si>
  <si>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</si>
  <si>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</si>
  <si>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</si>
  <si>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</si>
  <si>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</si>
  <si>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</si>
  <si>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</si>
  <si>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</si>
  <si>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</si>
  <si>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</si>
  <si>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</si>
  <si>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</si>
  <si>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</si>
  <si>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</si>
  <si>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</si>
  <si>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</si>
  <si>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</si>
  <si>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</si>
  <si>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</si>
  <si>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</si>
  <si>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</si>
  <si>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</si>
  <si>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</si>
  <si>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</si>
  <si>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</si>
  <si>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</si>
  <si>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</si>
  <si>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</si>
  <si>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</si>
  <si>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</si>
  <si>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</si>
  <si>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</si>
  <si>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</si>
  <si>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</si>
  <si>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</si>
  <si>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</si>
  <si>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</si>
  <si>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</si>
  <si>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</si>
  <si>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</si>
  <si>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</si>
  <si>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</si>
  <si>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</si>
  <si>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</si>
  <si>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</si>
  <si>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</si>
  <si>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</si>
  <si>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</si>
  <si>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</si>
  <si>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</si>
  <si>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</si>
  <si>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</si>
  <si>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</si>
  <si>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</si>
  <si>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</si>
  <si>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</si>
  <si>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</si>
  <si>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</si>
  <si>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</si>
  <si>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</si>
  <si>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</si>
  <si>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</si>
  <si>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</si>
  <si>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</si>
  <si>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</si>
  <si>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</si>
  <si>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</si>
  <si>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</si>
  <si>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</si>
  <si>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</si>
  <si>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</si>
  <si>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</si>
  <si>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</si>
  <si>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</si>
  <si>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</si>
  <si>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</si>
  <si>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</si>
  <si>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</si>
  <si>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</si>
  <si>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</si>
  <si>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</si>
  <si>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</si>
  <si>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</si>
  <si>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</si>
  <si>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</si>
  <si>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</si>
  <si>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</si>
  <si>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</si>
  <si>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</si>
  <si>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</si>
  <si>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</si>
  <si>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</si>
  <si>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</si>
  <si>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</si>
  <si>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</si>
  <si>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</si>
  <si>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</si>
  <si>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</si>
  <si>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</si>
  <si>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</si>
  <si>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</si>
  <si>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</si>
  <si>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</si>
  <si>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</si>
  <si>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</si>
  <si>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</si>
  <si>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</si>
  <si>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</si>
  <si>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</si>
  <si>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</si>
  <si>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</si>
  <si>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</si>
  <si>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</si>
  <si>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</si>
  <si>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</si>
  <si>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北京出岫科技有限公司</t>
    <phoneticPr fontId="6" type="noConversion"/>
  </si>
  <si>
    <r>
      <rPr>
        <sz val="10"/>
        <color theme="9" tint="-0.249977111117893"/>
        <rFont val="宋体"/>
        <family val="3"/>
        <charset val="134"/>
      </rPr>
      <t>房山区怡和北路</t>
    </r>
    <r>
      <rPr>
        <sz val="10"/>
        <color theme="9" tint="-0.249977111117893"/>
        <rFont val="Arial"/>
        <family val="2"/>
      </rPr>
      <t>5</t>
    </r>
    <r>
      <rPr>
        <sz val="10"/>
        <color theme="9" tint="-0.249977111117893"/>
        <rFont val="宋体"/>
        <family val="3"/>
        <charset val="134"/>
      </rPr>
      <t>号院</t>
    </r>
    <r>
      <rPr>
        <sz val="10"/>
        <color theme="9" tint="-0.249977111117893"/>
        <rFont val="Arial"/>
        <family val="2"/>
      </rPr>
      <t>14</t>
    </r>
    <r>
      <rPr>
        <sz val="10"/>
        <color theme="9" tint="-0.249977111117893"/>
        <rFont val="宋体"/>
        <family val="3"/>
        <charset val="134"/>
      </rPr>
      <t>号楼</t>
    </r>
    <r>
      <rPr>
        <sz val="10"/>
        <color theme="9" tint="-0.249977111117893"/>
        <rFont val="Arial"/>
        <family val="2"/>
      </rPr>
      <t>2</t>
    </r>
    <r>
      <rPr>
        <sz val="10"/>
        <color theme="9" tint="-0.249977111117893"/>
        <rFont val="宋体"/>
        <family val="3"/>
        <charset val="134"/>
      </rPr>
      <t>层</t>
    </r>
    <r>
      <rPr>
        <sz val="10"/>
        <color theme="9" tint="-0.249977111117893"/>
        <rFont val="Arial"/>
        <family val="2"/>
      </rPr>
      <t>201</t>
    </r>
    <phoneticPr fontId="6" type="noConversion"/>
  </si>
  <si>
    <t>否</t>
  </si>
  <si>
    <t>商务办公</t>
    <phoneticPr fontId="6" type="noConversion"/>
  </si>
  <si>
    <t>办公项目</t>
  </si>
  <si>
    <t>现房</t>
  </si>
  <si>
    <t>是</t>
  </si>
  <si>
    <t>地上</t>
  </si>
  <si>
    <t>成新度</t>
  </si>
  <si>
    <t>竣工时间</t>
    <phoneticPr fontId="3" type="noConversion"/>
  </si>
  <si>
    <t>根据产权证</t>
    <phoneticPr fontId="3" type="noConversion"/>
  </si>
  <si>
    <t>直线</t>
    <phoneticPr fontId="3" type="noConversion"/>
  </si>
  <si>
    <t>钢混</t>
  </si>
  <si>
    <t>钢混</t>
    <phoneticPr fontId="3" type="noConversion"/>
  </si>
  <si>
    <t>长阳镇</t>
    <phoneticPr fontId="3" type="noConversion"/>
  </si>
  <si>
    <t>收益法 (元)</t>
  </si>
  <si>
    <t>未包含在土地购买价格中</t>
  </si>
  <si>
    <t>已包含在土地取得成本中</t>
  </si>
  <si>
    <t>押一</t>
  </si>
  <si>
    <t>非生产用房</t>
  </si>
  <si>
    <t>商务金融用地</t>
  </si>
  <si>
    <t>级别平均容积率</t>
    <phoneticPr fontId="7" type="noConversion"/>
  </si>
  <si>
    <t>自定义容积率</t>
  </si>
  <si>
    <t>中心城区以外</t>
  </si>
  <si>
    <t>较好</t>
  </si>
  <si>
    <t>好</t>
  </si>
  <si>
    <t>单套模式</t>
  </si>
  <si>
    <t>售价</t>
  </si>
  <si>
    <t>首开熙悦广场</t>
    <phoneticPr fontId="3" type="noConversion"/>
  </si>
  <si>
    <t>郑燚</t>
  </si>
  <si>
    <t>吴薇</t>
  </si>
  <si>
    <t>正常</t>
  </si>
  <si>
    <t>挂牌价</t>
  </si>
  <si>
    <t>挂牌价</t>
    <phoneticPr fontId="31" type="noConversion"/>
  </si>
  <si>
    <t>商务办公</t>
  </si>
  <si>
    <t>商务办公</t>
    <phoneticPr fontId="31" type="noConversion"/>
  </si>
  <si>
    <t>七通</t>
  </si>
  <si>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</si>
  <si>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</si>
  <si>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</si>
  <si>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</si>
  <si>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</si>
  <si>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r>
      <t>30-40</t>
    </r>
    <r>
      <rPr>
        <sz val="11"/>
        <color indexed="8"/>
        <rFont val="宋体"/>
        <family val="3"/>
        <charset val="134"/>
      </rPr>
      <t>（含）</t>
    </r>
    <phoneticPr fontId="31"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</si>
  <si>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</si>
  <si>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</si>
  <si>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phoneticPr fontId="31" type="noConversion"/>
  </si>
  <si>
    <t>支路</t>
    <phoneticPr fontId="31" type="noConversion"/>
  </si>
  <si>
    <t>低楼层</t>
  </si>
  <si>
    <t>中楼层</t>
  </si>
  <si>
    <t>中楼层</t>
    <phoneticPr fontId="31" type="noConversion"/>
  </si>
  <si>
    <t>高楼层</t>
  </si>
  <si>
    <t>中高层建筑</t>
  </si>
  <si>
    <t>中高层建筑</t>
    <phoneticPr fontId="31" type="noConversion"/>
  </si>
  <si>
    <t>钢混</t>
    <phoneticPr fontId="31" type="noConversion"/>
  </si>
  <si>
    <t>精装修</t>
    <phoneticPr fontId="31" type="noConversion"/>
  </si>
  <si>
    <t>普通装修</t>
  </si>
  <si>
    <t>普通装修</t>
    <phoneticPr fontId="31" type="noConversion"/>
  </si>
  <si>
    <t>简单装修</t>
    <phoneticPr fontId="31" type="noConversion"/>
  </si>
  <si>
    <t>毛坯</t>
    <phoneticPr fontId="31" type="noConversion"/>
  </si>
  <si>
    <t>普通物业管理</t>
  </si>
  <si>
    <t>普通物业管理</t>
    <phoneticPr fontId="31" type="noConversion"/>
  </si>
  <si>
    <t>七通</t>
    <phoneticPr fontId="31" type="noConversion"/>
  </si>
  <si>
    <t>六通</t>
  </si>
  <si>
    <t>六通</t>
    <phoneticPr fontId="31" type="noConversion"/>
  </si>
  <si>
    <t>五通</t>
    <phoneticPr fontId="31" type="noConversion"/>
  </si>
  <si>
    <r>
      <t>4</t>
    </r>
    <r>
      <rPr>
        <sz val="11"/>
        <rFont val="宋体"/>
        <family val="3"/>
        <charset val="134"/>
      </rPr>
      <t>米以上</t>
    </r>
    <phoneticPr fontId="31" type="noConversion"/>
  </si>
  <si>
    <t>4米以上</t>
  </si>
  <si>
    <t>案例1</t>
    <phoneticPr fontId="134" type="noConversion"/>
  </si>
  <si>
    <t>案例2</t>
    <phoneticPr fontId="134" type="noConversion"/>
  </si>
  <si>
    <t>案例3</t>
    <phoneticPr fontId="134" type="noConversion"/>
  </si>
  <si>
    <t>楼层</t>
    <phoneticPr fontId="134" type="noConversion"/>
  </si>
  <si>
    <t>高楼层</t>
    <phoneticPr fontId="134" type="noConversion"/>
  </si>
  <si>
    <t>中楼层</t>
    <phoneticPr fontId="134" type="noConversion"/>
  </si>
  <si>
    <t>比较法-办公</t>
  </si>
  <si>
    <t>楼面单价</t>
  </si>
  <si>
    <t>自定义</t>
  </si>
  <si>
    <t>成交价</t>
    <phoneticPr fontId="134" type="noConversion"/>
  </si>
  <si>
    <t>左右</t>
    <phoneticPr fontId="134" type="noConversion"/>
  </si>
  <si>
    <t>链家马香枝</t>
    <phoneticPr fontId="134" type="noConversion"/>
  </si>
  <si>
    <r>
      <t>5</t>
    </r>
    <r>
      <rPr>
        <sz val="11"/>
        <color theme="1"/>
        <rFont val="宋体"/>
        <family val="3"/>
        <charset val="134"/>
        <scheme val="minor"/>
      </rPr>
      <t>0平的东南朝向，报价75万，70万业主能卖</t>
    </r>
    <phoneticPr fontId="134" type="noConversion"/>
  </si>
  <si>
    <t>东南朝向较好，东北朝向、西北朝向不见阳光</t>
    <phoneticPr fontId="134" type="noConversion"/>
  </si>
  <si>
    <t>与级别开发程度不一致</t>
  </si>
  <si>
    <t>通路</t>
  </si>
  <si>
    <t>通电</t>
  </si>
  <si>
    <t>通讯</t>
  </si>
  <si>
    <t>通上水</t>
  </si>
  <si>
    <t>通下水</t>
  </si>
  <si>
    <t>通热</t>
  </si>
  <si>
    <t>平整</t>
  </si>
  <si>
    <t>较差</t>
  </si>
  <si>
    <t>买一层送一层，户型为loft</t>
    <phoneticPr fontId="134" type="noConversion"/>
  </si>
  <si>
    <t>询价</t>
    <phoneticPr fontId="8" type="noConversion"/>
  </si>
  <si>
    <r>
      <t>1.2</t>
    </r>
    <r>
      <rPr>
        <sz val="10"/>
        <color rgb="FFFF0000"/>
        <rFont val="宋体"/>
        <family val="3"/>
        <charset val="134"/>
      </rPr>
      <t>万</t>
    </r>
    <r>
      <rPr>
        <sz val="10"/>
        <color rgb="FFFF0000"/>
        <rFont val="Arial"/>
        <family val="2"/>
      </rPr>
      <t>/</t>
    </r>
    <r>
      <rPr>
        <sz val="10"/>
        <color rgb="FFFF0000"/>
        <rFont val="宋体"/>
        <family val="3"/>
        <charset val="134"/>
      </rPr>
      <t>平方米</t>
    </r>
    <phoneticPr fontId="8" type="noConversion"/>
  </si>
  <si>
    <t>高楼层</t>
    <phoneticPr fontId="31" type="noConversion"/>
  </si>
  <si>
    <t>低楼层</t>
    <phoneticPr fontId="31" type="noConversion"/>
  </si>
  <si>
    <t>2700-3200元/月不等</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</si>
</sst>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77" fillId="7" borderId="54" xfId="0" applyFont="1" applyFill="1" applyBorder="1" applyAlignment="1" applyProtection="1">
      <alignment vertical="center" wrapText="1"/>
      <protection locked="0"/>
    </xf>
    <xf numFmtId="49" fontId="272" fillId="12" borderId="4" xfId="0" applyNumberFormat="1" applyFont="1" applyFill="1" applyBorder="1" applyAlignment="1" applyProtection="1">
      <alignment horizontal="left" vertical="center"/>
      <protection locked="0"/>
    </xf>
    <xf numFmtId="0" fontId="77" fillId="12" borderId="0" xfId="0" applyFont="1" applyFill="1" applyProtection="1">
      <alignment vertical="center"/>
      <protection locked="0"/>
    </xf>
    <xf numFmtId="179" fontId="128" fillId="12" borderId="0" xfId="0" applyNumberFormat="1" applyFont="1" applyFill="1" applyProtection="1">
      <alignment vertical="center"/>
      <protection locked="0"/>
    </xf>
    <xf numFmtId="0" fontId="128" fillId="12" borderId="0" xfId="0"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5" fillId="5" borderId="0" xfId="0" applyFont="1" applyFill="1">
      <alignment vertical="center"/>
    </xf>
    <xf numFmtId="0" fontId="53" fillId="5" borderId="32" xfId="0" applyFont="1" applyFill="1" applyBorder="1" applyAlignment="1" applyProtection="1">
      <alignment horizontal="right" vertical="center" wrapText="1"/>
      <protection locked="0"/>
    </xf>
    <xf numFmtId="0" fontId="77" fillId="6"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23"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17</xdr:col>
      <xdr:colOff>0</xdr:colOff>
      <xdr:row>20</xdr:row>
      <xdr:rowOff>0</xdr:rowOff>
    </xdr:from>
    <xdr:to>
      <xdr:col>29</xdr:col>
      <xdr:colOff>341943</xdr:colOff>
      <xdr:row>60</xdr:row>
      <xdr:rowOff>151467</xdr:rowOff>
    </xdr:to>
    <xdr:pic>
      <xdr:nvPicPr>
        <xdr:cNvPr id="6" name="图片 5">
          <a:extLst>
            <a:ext uri="{FF2B5EF4-FFF2-40B4-BE49-F238E27FC236}">
              <a16:creationId xmlns:a16="http://schemas.microsoft.com/office/drawing/2014/main" id="{F36B135A-F6B7-0DBC-9838-F603FB43E29D}"/>
            </a:ext>
          </a:extLst>
        </xdr:cNvPr>
        <xdr:cNvPicPr>
          <a:picLocks noChangeAspect="1"/>
        </xdr:cNvPicPr>
      </xdr:nvPicPr>
      <xdr:blipFill>
        <a:blip xmlns:r="http://schemas.openxmlformats.org/officeDocument/2006/relationships" r:embed="rId1"/>
        <a:stretch>
          <a:fillRect/>
        </a:stretch>
      </xdr:blipFill>
      <xdr:spPr>
        <a:xfrm>
          <a:off x="10363200" y="3657600"/>
          <a:ext cx="7657143" cy="7466667"/>
        </a:xfrm>
        <a:prstGeom prst="rect">
          <a:avLst/>
        </a:prstGeom>
      </xdr:spPr>
    </xdr:pic>
    <xdr:clientData/>
  </xdr:twoCellAnchor>
  <xdr:twoCellAnchor editAs="oneCell">
    <xdr:from>
      <xdr:col>17</xdr:col>
      <xdr:colOff>0</xdr:colOff>
      <xdr:row>61</xdr:row>
      <xdr:rowOff>0</xdr:rowOff>
    </xdr:from>
    <xdr:to>
      <xdr:col>29</xdr:col>
      <xdr:colOff>218133</xdr:colOff>
      <xdr:row>102</xdr:row>
      <xdr:rowOff>120968</xdr:rowOff>
    </xdr:to>
    <xdr:pic>
      <xdr:nvPicPr>
        <xdr:cNvPr id="7" name="图片 6">
          <a:extLst>
            <a:ext uri="{FF2B5EF4-FFF2-40B4-BE49-F238E27FC236}">
              <a16:creationId xmlns:a16="http://schemas.microsoft.com/office/drawing/2014/main" id="{A29903C2-0EE4-3053-72C7-98DF6209B338}"/>
            </a:ext>
          </a:extLst>
        </xdr:cNvPr>
        <xdr:cNvPicPr>
          <a:picLocks noChangeAspect="1"/>
        </xdr:cNvPicPr>
      </xdr:nvPicPr>
      <xdr:blipFill>
        <a:blip xmlns:r="http://schemas.openxmlformats.org/officeDocument/2006/relationships" r:embed="rId2"/>
        <a:stretch>
          <a:fillRect/>
        </a:stretch>
      </xdr:blipFill>
      <xdr:spPr>
        <a:xfrm>
          <a:off x="10363200" y="11155680"/>
          <a:ext cx="7533333" cy="7619048"/>
        </a:xfrm>
        <a:prstGeom prst="rect">
          <a:avLst/>
        </a:prstGeom>
      </xdr:spPr>
    </xdr:pic>
    <xdr:clientData/>
  </xdr:twoCellAnchor>
  <xdr:twoCellAnchor editAs="oneCell">
    <xdr:from>
      <xdr:col>17</xdr:col>
      <xdr:colOff>0</xdr:colOff>
      <xdr:row>103</xdr:row>
      <xdr:rowOff>0</xdr:rowOff>
    </xdr:from>
    <xdr:to>
      <xdr:col>29</xdr:col>
      <xdr:colOff>551467</xdr:colOff>
      <xdr:row>144</xdr:row>
      <xdr:rowOff>44777</xdr:rowOff>
    </xdr:to>
    <xdr:pic>
      <xdr:nvPicPr>
        <xdr:cNvPr id="8" name="图片 7">
          <a:extLst>
            <a:ext uri="{FF2B5EF4-FFF2-40B4-BE49-F238E27FC236}">
              <a16:creationId xmlns:a16="http://schemas.microsoft.com/office/drawing/2014/main" id="{CAF5D0D9-3188-36C6-F908-E38AA6A0D206}"/>
            </a:ext>
          </a:extLst>
        </xdr:cNvPr>
        <xdr:cNvPicPr>
          <a:picLocks noChangeAspect="1"/>
        </xdr:cNvPicPr>
      </xdr:nvPicPr>
      <xdr:blipFill>
        <a:blip xmlns:r="http://schemas.openxmlformats.org/officeDocument/2006/relationships" r:embed="rId3"/>
        <a:stretch>
          <a:fillRect/>
        </a:stretch>
      </xdr:blipFill>
      <xdr:spPr>
        <a:xfrm>
          <a:off x="10363200" y="18836640"/>
          <a:ext cx="7866667" cy="7542857"/>
        </a:xfrm>
        <a:prstGeom prst="rect">
          <a:avLst/>
        </a:prstGeom>
      </xdr:spPr>
    </xdr:pic>
    <xdr:clientData/>
  </xdr:twoCellAnchor>
  <xdr:twoCellAnchor editAs="oneCell">
    <xdr:from>
      <xdr:col>17</xdr:col>
      <xdr:colOff>0</xdr:colOff>
      <xdr:row>145</xdr:row>
      <xdr:rowOff>0</xdr:rowOff>
    </xdr:from>
    <xdr:to>
      <xdr:col>29</xdr:col>
      <xdr:colOff>341943</xdr:colOff>
      <xdr:row>185</xdr:row>
      <xdr:rowOff>75276</xdr:rowOff>
    </xdr:to>
    <xdr:pic>
      <xdr:nvPicPr>
        <xdr:cNvPr id="9" name="图片 8">
          <a:extLst>
            <a:ext uri="{FF2B5EF4-FFF2-40B4-BE49-F238E27FC236}">
              <a16:creationId xmlns:a16="http://schemas.microsoft.com/office/drawing/2014/main" id="{2291F7CB-0E26-0E53-F345-58BE28CF8732}"/>
            </a:ext>
          </a:extLst>
        </xdr:cNvPr>
        <xdr:cNvPicPr>
          <a:picLocks noChangeAspect="1"/>
        </xdr:cNvPicPr>
      </xdr:nvPicPr>
      <xdr:blipFill>
        <a:blip xmlns:r="http://schemas.openxmlformats.org/officeDocument/2006/relationships" r:embed="rId4"/>
        <a:stretch>
          <a:fillRect/>
        </a:stretch>
      </xdr:blipFill>
      <xdr:spPr>
        <a:xfrm>
          <a:off x="10363200" y="26517600"/>
          <a:ext cx="7657143" cy="7390476"/>
        </a:xfrm>
        <a:prstGeom prst="rect">
          <a:avLst/>
        </a:prstGeom>
      </xdr:spPr>
    </xdr:pic>
    <xdr:clientData/>
  </xdr:twoCellAnchor>
  <xdr:twoCellAnchor editAs="oneCell">
    <xdr:from>
      <xdr:col>17</xdr:col>
      <xdr:colOff>0</xdr:colOff>
      <xdr:row>186</xdr:row>
      <xdr:rowOff>0</xdr:rowOff>
    </xdr:from>
    <xdr:to>
      <xdr:col>30</xdr:col>
      <xdr:colOff>113295</xdr:colOff>
      <xdr:row>226</xdr:row>
      <xdr:rowOff>151467</xdr:rowOff>
    </xdr:to>
    <xdr:pic>
      <xdr:nvPicPr>
        <xdr:cNvPr id="10" name="图片 9">
          <a:extLst>
            <a:ext uri="{FF2B5EF4-FFF2-40B4-BE49-F238E27FC236}">
              <a16:creationId xmlns:a16="http://schemas.microsoft.com/office/drawing/2014/main" id="{1D66E09B-2906-D29F-B0DC-695B26046FFB}"/>
            </a:ext>
          </a:extLst>
        </xdr:cNvPr>
        <xdr:cNvPicPr>
          <a:picLocks noChangeAspect="1"/>
        </xdr:cNvPicPr>
      </xdr:nvPicPr>
      <xdr:blipFill>
        <a:blip xmlns:r="http://schemas.openxmlformats.org/officeDocument/2006/relationships" r:embed="rId5"/>
        <a:stretch>
          <a:fillRect/>
        </a:stretch>
      </xdr:blipFill>
      <xdr:spPr>
        <a:xfrm>
          <a:off x="10363200" y="34015680"/>
          <a:ext cx="8038095" cy="7466667"/>
        </a:xfrm>
        <a:prstGeom prst="rect">
          <a:avLst/>
        </a:prstGeom>
      </xdr:spPr>
    </xdr:pic>
    <xdr:clientData/>
  </xdr:twoCellAnchor>
  <xdr:twoCellAnchor editAs="oneCell">
    <xdr:from>
      <xdr:col>0</xdr:col>
      <xdr:colOff>0</xdr:colOff>
      <xdr:row>0</xdr:row>
      <xdr:rowOff>0</xdr:rowOff>
    </xdr:from>
    <xdr:to>
      <xdr:col>11</xdr:col>
      <xdr:colOff>38100</xdr:colOff>
      <xdr:row>31</xdr:row>
      <xdr:rowOff>96208</xdr:rowOff>
    </xdr:to>
    <xdr:pic>
      <xdr:nvPicPr>
        <xdr:cNvPr id="11" name="图片 10">
          <a:extLst>
            <a:ext uri="{FF2B5EF4-FFF2-40B4-BE49-F238E27FC236}">
              <a16:creationId xmlns:a16="http://schemas.microsoft.com/office/drawing/2014/main" id="{8BC6A262-97CC-0CA9-923E-5BCFF94ECC83}"/>
            </a:ext>
          </a:extLst>
        </xdr:cNvPr>
        <xdr:cNvPicPr>
          <a:picLocks noChangeAspect="1"/>
        </xdr:cNvPicPr>
      </xdr:nvPicPr>
      <xdr:blipFill>
        <a:blip xmlns:r="http://schemas.openxmlformats.org/officeDocument/2006/relationships" r:embed="rId6"/>
        <a:stretch>
          <a:fillRect/>
        </a:stretch>
      </xdr:blipFill>
      <xdr:spPr>
        <a:xfrm>
          <a:off x="0" y="0"/>
          <a:ext cx="6743700" cy="5765488"/>
        </a:xfrm>
        <a:prstGeom prst="rect">
          <a:avLst/>
        </a:prstGeom>
      </xdr:spPr>
    </xdr:pic>
    <xdr:clientData/>
  </xdr:twoCellAnchor>
  <xdr:twoCellAnchor editAs="oneCell">
    <xdr:from>
      <xdr:col>0</xdr:col>
      <xdr:colOff>53340</xdr:colOff>
      <xdr:row>72</xdr:row>
      <xdr:rowOff>175260</xdr:rowOff>
    </xdr:from>
    <xdr:to>
      <xdr:col>12</xdr:col>
      <xdr:colOff>595283</xdr:colOff>
      <xdr:row>114</xdr:row>
      <xdr:rowOff>84776</xdr:rowOff>
    </xdr:to>
    <xdr:pic>
      <xdr:nvPicPr>
        <xdr:cNvPr id="12" name="图片 11">
          <a:extLst>
            <a:ext uri="{FF2B5EF4-FFF2-40B4-BE49-F238E27FC236}">
              <a16:creationId xmlns:a16="http://schemas.microsoft.com/office/drawing/2014/main" id="{FE05C7CB-A288-7F03-E29A-49E2ACF2342B}"/>
            </a:ext>
          </a:extLst>
        </xdr:cNvPr>
        <xdr:cNvPicPr>
          <a:picLocks noChangeAspect="1"/>
        </xdr:cNvPicPr>
      </xdr:nvPicPr>
      <xdr:blipFill>
        <a:blip xmlns:r="http://schemas.openxmlformats.org/officeDocument/2006/relationships" r:embed="rId7"/>
        <a:stretch>
          <a:fillRect/>
        </a:stretch>
      </xdr:blipFill>
      <xdr:spPr>
        <a:xfrm>
          <a:off x="53340" y="13342620"/>
          <a:ext cx="7857143" cy="7590476"/>
        </a:xfrm>
        <a:prstGeom prst="rect">
          <a:avLst/>
        </a:prstGeom>
      </xdr:spPr>
    </xdr:pic>
    <xdr:clientData/>
  </xdr:twoCellAnchor>
  <xdr:twoCellAnchor editAs="oneCell">
    <xdr:from>
      <xdr:col>0</xdr:col>
      <xdr:colOff>45720</xdr:colOff>
      <xdr:row>31</xdr:row>
      <xdr:rowOff>167640</xdr:rowOff>
    </xdr:from>
    <xdr:to>
      <xdr:col>12</xdr:col>
      <xdr:colOff>273377</xdr:colOff>
      <xdr:row>72</xdr:row>
      <xdr:rowOff>69560</xdr:rowOff>
    </xdr:to>
    <xdr:pic>
      <xdr:nvPicPr>
        <xdr:cNvPr id="14" name="图片 13">
          <a:extLst>
            <a:ext uri="{FF2B5EF4-FFF2-40B4-BE49-F238E27FC236}">
              <a16:creationId xmlns:a16="http://schemas.microsoft.com/office/drawing/2014/main" id="{903B873D-9EFC-3182-BADC-7FFCD38A92F8}"/>
            </a:ext>
          </a:extLst>
        </xdr:cNvPr>
        <xdr:cNvPicPr>
          <a:picLocks noChangeAspect="1"/>
        </xdr:cNvPicPr>
      </xdr:nvPicPr>
      <xdr:blipFill>
        <a:blip xmlns:r="http://schemas.openxmlformats.org/officeDocument/2006/relationships" r:embed="rId8"/>
        <a:stretch>
          <a:fillRect/>
        </a:stretch>
      </xdr:blipFill>
      <xdr:spPr>
        <a:xfrm>
          <a:off x="45720" y="5836920"/>
          <a:ext cx="7542857" cy="74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351467</xdr:colOff>
      <xdr:row>45</xdr:row>
      <xdr:rowOff>27543</xdr:rowOff>
    </xdr:to>
    <xdr:pic>
      <xdr:nvPicPr>
        <xdr:cNvPr id="2" name="图片 1">
          <a:extLst>
            <a:ext uri="{FF2B5EF4-FFF2-40B4-BE49-F238E27FC236}">
              <a16:creationId xmlns:a16="http://schemas.microsoft.com/office/drawing/2014/main" id="{664E21FA-DE80-9F97-6019-4648906EF27B}"/>
            </a:ext>
          </a:extLst>
        </xdr:cNvPr>
        <xdr:cNvPicPr>
          <a:picLocks noChangeAspect="1"/>
        </xdr:cNvPicPr>
      </xdr:nvPicPr>
      <xdr:blipFill>
        <a:blip xmlns:r="http://schemas.openxmlformats.org/officeDocument/2006/relationships" r:embed="rId1"/>
        <a:stretch>
          <a:fillRect/>
        </a:stretch>
      </xdr:blipFill>
      <xdr:spPr>
        <a:xfrm>
          <a:off x="0" y="0"/>
          <a:ext cx="7666667" cy="8257143"/>
        </a:xfrm>
        <a:prstGeom prst="rect">
          <a:avLst/>
        </a:prstGeom>
      </xdr:spPr>
    </xdr:pic>
    <xdr:clientData/>
  </xdr:twoCellAnchor>
  <xdr:twoCellAnchor editAs="oneCell">
    <xdr:from>
      <xdr:col>0</xdr:col>
      <xdr:colOff>0</xdr:colOff>
      <xdr:row>46</xdr:row>
      <xdr:rowOff>0</xdr:rowOff>
    </xdr:from>
    <xdr:to>
      <xdr:col>12</xdr:col>
      <xdr:colOff>170514</xdr:colOff>
      <xdr:row>91</xdr:row>
      <xdr:rowOff>56114</xdr:rowOff>
    </xdr:to>
    <xdr:pic>
      <xdr:nvPicPr>
        <xdr:cNvPr id="3" name="图片 2">
          <a:extLst>
            <a:ext uri="{FF2B5EF4-FFF2-40B4-BE49-F238E27FC236}">
              <a16:creationId xmlns:a16="http://schemas.microsoft.com/office/drawing/2014/main" id="{0B282364-BC9D-BEA9-31BE-C4D3510FC063}"/>
            </a:ext>
          </a:extLst>
        </xdr:cNvPr>
        <xdr:cNvPicPr>
          <a:picLocks noChangeAspect="1"/>
        </xdr:cNvPicPr>
      </xdr:nvPicPr>
      <xdr:blipFill>
        <a:blip xmlns:r="http://schemas.openxmlformats.org/officeDocument/2006/relationships" r:embed="rId2"/>
        <a:stretch>
          <a:fillRect/>
        </a:stretch>
      </xdr:blipFill>
      <xdr:spPr>
        <a:xfrm>
          <a:off x="0" y="8412480"/>
          <a:ext cx="7485714" cy="8285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122057</xdr:colOff>
      <xdr:row>30</xdr:row>
      <xdr:rowOff>27886</xdr:rowOff>
    </xdr:to>
    <xdr:pic>
      <xdr:nvPicPr>
        <xdr:cNvPr id="2" name="图片 1">
          <a:extLst>
            <a:ext uri="{FF2B5EF4-FFF2-40B4-BE49-F238E27FC236}">
              <a16:creationId xmlns:a16="http://schemas.microsoft.com/office/drawing/2014/main" id="{5AA8A438-64FC-9052-74D3-5C1908C33554}"/>
            </a:ext>
          </a:extLst>
        </xdr:cNvPr>
        <xdr:cNvPicPr>
          <a:picLocks noChangeAspect="1"/>
        </xdr:cNvPicPr>
      </xdr:nvPicPr>
      <xdr:blipFill>
        <a:blip xmlns:r="http://schemas.openxmlformats.org/officeDocument/2006/relationships" r:embed="rId1"/>
        <a:stretch>
          <a:fillRect/>
        </a:stretch>
      </xdr:blipFill>
      <xdr:spPr>
        <a:xfrm>
          <a:off x="0" y="0"/>
          <a:ext cx="14142857" cy="55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284648</xdr:colOff>
      <xdr:row>37</xdr:row>
      <xdr:rowOff>42964</xdr:rowOff>
    </xdr:to>
    <xdr:pic>
      <xdr:nvPicPr>
        <xdr:cNvPr id="2" name="图片 1">
          <a:extLst>
            <a:ext uri="{FF2B5EF4-FFF2-40B4-BE49-F238E27FC236}">
              <a16:creationId xmlns:a16="http://schemas.microsoft.com/office/drawing/2014/main" id="{60E4D0CF-D8B5-09CB-2EDA-A7CF2E08301E}"/>
            </a:ext>
          </a:extLst>
        </xdr:cNvPr>
        <xdr:cNvPicPr>
          <a:picLocks noChangeAspect="1"/>
        </xdr:cNvPicPr>
      </xdr:nvPicPr>
      <xdr:blipFill>
        <a:blip xmlns:r="http://schemas.openxmlformats.org/officeDocument/2006/relationships" r:embed="rId1"/>
        <a:stretch>
          <a:fillRect/>
        </a:stretch>
      </xdr:blipFill>
      <xdr:spPr>
        <a:xfrm>
          <a:off x="0" y="0"/>
          <a:ext cx="8819048" cy="68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北京市房山区怡和北路5号院14号楼2层201房地产抵押价值预评估</v>
      </c>
    </row>
    <row r="3" spans="1:2">
      <c r="A3" s="1119" t="s">
        <v>523</v>
      </c>
      <c r="B3" s="1120">
        <f>'预评函-封皮'!B40</f>
        <v>0</v>
      </c>
    </row>
    <row r="4" spans="1:2">
      <c r="A4" s="1119" t="s">
        <v>524</v>
      </c>
      <c r="B4" s="1120" t="str">
        <f ca="1">'预评函-封皮'!B46</f>
        <v>郑燚（注册号：1120070131)、吴薇（注册号：1419970001)</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受贵公司委托，我公司对北京市房山区怡和北路5号院14号楼2层201房地产抵押价值进行了预评估。</v>
      </c>
    </row>
    <row r="7" spans="1:2">
      <c r="A7" s="1119" t="s">
        <v>566</v>
      </c>
      <c r="B7" s="1120" t="str">
        <f>'预评函-1'!A7</f>
        <v>估价对象为北京市房山区怡和北路5号院14号楼2层201房地产，为北京出岫科技有限公司所有。根据《国有土地使用证》[]，估价对象（分摊）出让国有建设用地使用权面积为0平方米，建筑面积为66.63平方米。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山区怡和北路5号院14号楼2层201房地产,属北京出岫科技有限公司开发建设的办公项目，该项目尚在开发建设中。根据《国有土地使用证》[]，估价对象（分摊）出让国有建设用地使用权面积为0平方米，规划建筑面积为66.63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山区怡和北路5号院14号楼2层201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2025年6月6日（评估专业人员实地查勘之日）</v>
      </c>
    </row>
    <row r="13" spans="1:2">
      <c r="A13" s="1119" t="s">
        <v>529</v>
      </c>
      <c r="B13" s="1120" t="str">
        <f>'预评函-1'!A18</f>
        <v>本次估价的“房地产价值”是指在正常市场情况下，在价值时点2025年6月6日，估价对象规划用途为商务办公，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82</v>
      </c>
    </row>
    <row r="21" spans="1:2">
      <c r="A21" s="1119" t="s">
        <v>537</v>
      </c>
      <c r="B21" s="1120">
        <f ca="1">'预评函-2'!D7</f>
        <v>12344</v>
      </c>
    </row>
    <row r="22" spans="1:2">
      <c r="A22" s="1119" t="s">
        <v>538</v>
      </c>
      <c r="B22" s="1120" t="str">
        <f ca="1">'预评函-2'!D6</f>
        <v>捌拾贰万元整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82</v>
      </c>
    </row>
    <row r="31" spans="1:2">
      <c r="A31" s="1119" t="s">
        <v>576</v>
      </c>
      <c r="B31" s="1120">
        <f ca="1">'预评函-2'!D15</f>
        <v>12344</v>
      </c>
    </row>
    <row r="32" spans="1:2">
      <c r="A32" s="1119" t="s">
        <v>543</v>
      </c>
      <c r="B32" s="1120" t="str">
        <f ca="1">'预评函-2'!D14</f>
        <v>捌拾贰万元整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北京市房山区怡和北路5号院14号楼2层201房地产</v>
      </c>
    </row>
    <row r="42" spans="1:2" ht="31.2">
      <c r="A42" s="1119" t="s">
        <v>590</v>
      </c>
      <c r="B42" s="1120" t="str">
        <f>'预评函-3'!B2</f>
        <v>建筑面积</v>
      </c>
    </row>
    <row r="43" spans="1:2">
      <c r="A43" s="1119" t="s">
        <v>591</v>
      </c>
      <c r="B43" s="1120">
        <f>'预评函-3'!B4</f>
        <v>66.63</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t="str">
        <f>'预评函-4'!A5</f>
        <v>吴薇</v>
      </c>
    </row>
    <row r="73" spans="1:2" s="1115" customFormat="1" ht="16.2" thickBot="1">
      <c r="A73" s="1122" t="s">
        <v>565</v>
      </c>
      <c r="B73" s="1123">
        <f ca="1">'预评函-4'!B5</f>
        <v>1419970001</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2577</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2578</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山区怡和北路5号院14号楼2层201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6月6日，估价对象规划用途为商务办公土地取得方式为出让，出让国有建设用地使用权剩余土地使用年限为XX年(多用途剩余年限尾数不同时，可只体现小数点后一位)，假定未设立法定优先受偿款下的房地产市场价值。</v>
      </c>
    </row>
    <row r="54" spans="1:4">
      <c r="A54" s="3214"/>
      <c r="B54" s="1447" t="s">
        <v>385</v>
      </c>
      <c r="C54" s="1445" t="s">
        <v>583</v>
      </c>
    </row>
    <row r="55" spans="1:4">
      <c r="A55" s="3214"/>
      <c r="B55" s="1447" t="s">
        <v>386</v>
      </c>
      <c r="C55" s="1445" t="s">
        <v>584</v>
      </c>
    </row>
    <row r="56" spans="1:4">
      <c r="A56" s="3214"/>
      <c r="B56" s="1447" t="s">
        <v>387</v>
      </c>
      <c r="C56" s="1445" t="s">
        <v>588</v>
      </c>
    </row>
    <row r="57" spans="1:4">
      <c r="A57" s="321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G52" sqref="G52"/>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215" t="s">
        <v>2580</v>
      </c>
      <c r="J2" s="3215"/>
      <c r="K2" s="3215"/>
      <c r="L2" s="3215"/>
      <c r="M2" s="3215"/>
      <c r="N2" s="3215"/>
      <c r="O2" s="3215"/>
      <c r="P2" s="3215"/>
      <c r="Q2" s="3215"/>
      <c r="R2" s="3215"/>
    </row>
    <row r="3" spans="1:18">
      <c r="A3" s="2760" t="s">
        <v>2501</v>
      </c>
      <c r="B3" s="2761">
        <f>项目基本情况!D3</f>
        <v>45814</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1.53</v>
      </c>
      <c r="D5" s="2765">
        <f>IF(ISERROR(ROUND(POWER(1+E5,A5-C5)*(POWER(1+E5,C5)-1)/(POWER(1+E5,A5)-1),3)),0,ROUND(POWER(1+E5,A5-C5)*(POWER(1+E5,C5)-1)/(POWER(1+E5,A5)-1),4))</f>
        <v>7.3599999999999999E-2</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11.54</v>
      </c>
      <c r="D6" s="2765">
        <f>IF(ISERROR(ROUND(POWER(1+E6,A6-C6)*(POWER(1+E6,C6)-1)/(POWER(1+E6,A6)-1),3)),0,ROUND(POWER(1+E6,A6-C6)*(POWER(1+E6,C6)-1)/(POWER(1+E6,A6)-1),4))</f>
        <v>0.42359999999999998</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31.55</v>
      </c>
      <c r="D7" s="2765">
        <f>IF(ISERROR(ROUND(POWER(1+E7,A7-C7)*(POWER(1+E7,C7)-1)/(POWER(1+E7,A7)-1),3)),0,ROUND(POWER(1+E7,A7-C7)*(POWER(1+E7,C7)-1)/(POWER(1+E7,A7)-1),4))</f>
        <v>0.75860000000000005</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4">
      <c r="A17" s="2760" t="s">
        <v>2517</v>
      </c>
      <c r="B17" s="2768">
        <v>4810</v>
      </c>
      <c r="C17" s="2762"/>
      <c r="D17" s="2758"/>
      <c r="E17" s="2758"/>
      <c r="F17" s="2759"/>
    </row>
    <row r="18" spans="1:14" ht="15" thickBot="1">
      <c r="A18" s="2770" t="s">
        <v>2516</v>
      </c>
      <c r="B18" s="2771">
        <f>ROUND(B17*F11/F12,2)</f>
        <v>5541.87</v>
      </c>
      <c r="C18" s="2771">
        <f>ROUND(F11/F12,4)</f>
        <v>1.1521999999999999</v>
      </c>
      <c r="D18" s="2772"/>
      <c r="E18" s="2772"/>
      <c r="F18" s="2773"/>
    </row>
    <row r="19" spans="1:14" ht="15" thickBot="1"/>
    <row r="20" spans="1:14" s="2806" customFormat="1" ht="15" thickTop="1">
      <c r="A20" s="2803" t="s">
        <v>2519</v>
      </c>
      <c r="B20" s="2804"/>
      <c r="C20" s="2804"/>
      <c r="D20" s="2804"/>
      <c r="E20" s="2804"/>
      <c r="F20" s="2804"/>
      <c r="G20" s="2805"/>
      <c r="I20" s="2807" t="s">
        <v>2564</v>
      </c>
      <c r="J20" s="2807" t="s">
        <v>2569</v>
      </c>
      <c r="K20" s="2807"/>
      <c r="L20" s="2807"/>
      <c r="M20" s="2807"/>
    </row>
    <row r="21" spans="1:14">
      <c r="A21" s="2774"/>
      <c r="B21" s="2775" t="s">
        <v>2520</v>
      </c>
      <c r="C21" s="2775" t="s">
        <v>2521</v>
      </c>
      <c r="D21" s="2775" t="s">
        <v>2522</v>
      </c>
      <c r="E21" s="2775" t="s">
        <v>2523</v>
      </c>
      <c r="F21" s="2775" t="s">
        <v>2524</v>
      </c>
      <c r="G21" s="2776" t="s">
        <v>2525</v>
      </c>
      <c r="I21" s="2797">
        <v>5</v>
      </c>
      <c r="J21" s="2797">
        <v>54.2</v>
      </c>
    </row>
    <row r="22" spans="1:14">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N23" s="3150" t="s">
        <v>2568</v>
      </c>
    </row>
    <row r="24" spans="1:14">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N24" s="3150">
        <v>10</v>
      </c>
    </row>
    <row r="25" spans="1:14">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N25" s="3150">
        <v>8</v>
      </c>
    </row>
    <row r="26" spans="1:14">
      <c r="A26" s="2779"/>
      <c r="B26" s="2780"/>
      <c r="C26" s="2780"/>
      <c r="D26" s="2780"/>
      <c r="E26" s="2780"/>
      <c r="F26" s="2780"/>
      <c r="G26" s="2781"/>
      <c r="I26" s="2797">
        <v>30</v>
      </c>
      <c r="J26" s="2797">
        <v>90.5</v>
      </c>
      <c r="K26" s="2797">
        <f t="shared" si="2"/>
        <v>4.2000000000000028</v>
      </c>
      <c r="L26" s="2797" t="s">
        <v>2571</v>
      </c>
      <c r="N26" s="3150">
        <v>5</v>
      </c>
    </row>
    <row r="27" spans="1:14">
      <c r="A27" s="2779" t="s">
        <v>2530</v>
      </c>
      <c r="B27" s="2780"/>
      <c r="C27" s="2780"/>
      <c r="D27" s="2780"/>
      <c r="E27" s="2780"/>
      <c r="F27" s="2780"/>
      <c r="G27" s="2781"/>
      <c r="I27" s="2797">
        <v>35</v>
      </c>
      <c r="J27" s="2797">
        <v>93.8</v>
      </c>
      <c r="K27" s="2797">
        <f t="shared" si="2"/>
        <v>3.2999999999999972</v>
      </c>
      <c r="L27" s="2797" t="s">
        <v>2572</v>
      </c>
      <c r="N27" s="3150">
        <v>3</v>
      </c>
    </row>
    <row r="28" spans="1:14">
      <c r="A28" s="2779" t="s">
        <v>2531</v>
      </c>
      <c r="B28" s="2780"/>
      <c r="C28" s="2780"/>
      <c r="D28" s="2780"/>
      <c r="E28" s="2780"/>
      <c r="F28" s="2780"/>
      <c r="G28" s="2781"/>
      <c r="I28" s="2797">
        <v>40</v>
      </c>
      <c r="J28" s="2797">
        <v>96.4</v>
      </c>
      <c r="K28" s="2797">
        <f t="shared" si="2"/>
        <v>2.6000000000000085</v>
      </c>
      <c r="L28" s="2797" t="s">
        <v>2573</v>
      </c>
      <c r="N28" s="3150">
        <v>2</v>
      </c>
    </row>
    <row r="29" spans="1:14">
      <c r="A29" s="2779" t="s">
        <v>2532</v>
      </c>
      <c r="B29" s="2780"/>
      <c r="C29" s="2780"/>
      <c r="D29" s="2780"/>
      <c r="E29" s="2780"/>
      <c r="F29" s="2780"/>
      <c r="G29" s="2781"/>
      <c r="I29" s="2797">
        <v>45</v>
      </c>
      <c r="J29" s="2797">
        <v>98.4</v>
      </c>
      <c r="K29" s="2797">
        <f t="shared" si="2"/>
        <v>2</v>
      </c>
    </row>
    <row r="30" spans="1:14">
      <c r="A30" s="2779" t="s">
        <v>2533</v>
      </c>
      <c r="B30" s="2780"/>
      <c r="C30" s="2780"/>
      <c r="D30" s="2780"/>
      <c r="E30" s="2780"/>
      <c r="F30" s="2780"/>
      <c r="G30" s="2781"/>
      <c r="I30" s="2797">
        <v>50</v>
      </c>
      <c r="J30" s="2797">
        <v>100</v>
      </c>
      <c r="K30" s="2797">
        <f t="shared" si="2"/>
        <v>1.5999999999999943</v>
      </c>
    </row>
    <row r="31" spans="1:14">
      <c r="A31" s="2779" t="s">
        <v>2534</v>
      </c>
      <c r="B31" s="2780"/>
      <c r="C31" s="2780"/>
      <c r="D31" s="2780"/>
      <c r="E31" s="2780"/>
      <c r="F31" s="2780"/>
      <c r="G31" s="2781"/>
      <c r="I31" s="2797" t="s">
        <v>2565</v>
      </c>
    </row>
    <row r="32" spans="1:14">
      <c r="A32" s="2779" t="s">
        <v>2535</v>
      </c>
      <c r="B32" s="2780"/>
      <c r="C32" s="2780"/>
      <c r="D32" s="2780"/>
      <c r="E32" s="2780"/>
      <c r="F32" s="2780"/>
      <c r="G32" s="2781"/>
    </row>
    <row r="33" spans="1:14">
      <c r="A33" s="2779" t="s">
        <v>2536</v>
      </c>
      <c r="B33" s="2780"/>
      <c r="C33" s="2780"/>
      <c r="D33" s="2780"/>
      <c r="E33" s="2780"/>
      <c r="F33" s="2780"/>
      <c r="G33" s="2781"/>
      <c r="I33" s="2797" t="s">
        <v>2564</v>
      </c>
      <c r="J33" s="2797" t="s">
        <v>2574</v>
      </c>
    </row>
    <row r="34" spans="1:14">
      <c r="A34" s="2779" t="s">
        <v>2537</v>
      </c>
      <c r="B34" s="2780"/>
      <c r="C34" s="2780"/>
      <c r="D34" s="2780"/>
      <c r="E34" s="2780"/>
      <c r="F34" s="2780"/>
      <c r="G34" s="2781"/>
      <c r="I34" s="2797">
        <v>5</v>
      </c>
      <c r="J34" s="2797">
        <v>55.1</v>
      </c>
    </row>
    <row r="35" spans="1:14">
      <c r="A35" s="2779" t="s">
        <v>2538</v>
      </c>
      <c r="B35" s="2780"/>
      <c r="C35" s="2780"/>
      <c r="D35" s="2780"/>
      <c r="E35" s="2780"/>
      <c r="F35" s="2780"/>
      <c r="G35" s="2781"/>
      <c r="I35" s="2797">
        <v>10</v>
      </c>
      <c r="J35" s="2797">
        <v>67</v>
      </c>
      <c r="K35" s="2797">
        <f>J35-J34</f>
        <v>11.899999999999999</v>
      </c>
    </row>
    <row r="36" spans="1:14">
      <c r="A36" s="2779" t="s">
        <v>2539</v>
      </c>
      <c r="B36" s="2780"/>
      <c r="C36" s="2780"/>
      <c r="D36" s="2780"/>
      <c r="E36" s="2780"/>
      <c r="F36" s="2780"/>
      <c r="G36" s="2781"/>
      <c r="I36" s="2797">
        <v>15</v>
      </c>
      <c r="J36" s="2797">
        <v>76.3</v>
      </c>
      <c r="K36" s="2797">
        <f t="shared" ref="K36:K41" si="3">J36-J35</f>
        <v>9.2999999999999972</v>
      </c>
      <c r="L36" s="2797" t="s">
        <v>2567</v>
      </c>
      <c r="N36" s="3150" t="s">
        <v>2568</v>
      </c>
    </row>
    <row r="37" spans="1:14">
      <c r="A37" s="2779" t="s">
        <v>2540</v>
      </c>
      <c r="B37" s="2780"/>
      <c r="C37" s="2780"/>
      <c r="D37" s="2780"/>
      <c r="E37" s="2780"/>
      <c r="F37" s="2780"/>
      <c r="G37" s="2781"/>
      <c r="I37" s="2797">
        <v>20</v>
      </c>
      <c r="J37" s="2797">
        <v>83.6</v>
      </c>
      <c r="K37" s="2797">
        <f t="shared" si="3"/>
        <v>7.2999999999999972</v>
      </c>
      <c r="L37" s="2797" t="s">
        <v>2566</v>
      </c>
      <c r="N37" s="3150">
        <v>10</v>
      </c>
    </row>
    <row r="38" spans="1:14">
      <c r="A38" s="2779" t="s">
        <v>2541</v>
      </c>
      <c r="B38" s="2780"/>
      <c r="C38" s="2780"/>
      <c r="D38" s="2780"/>
      <c r="E38" s="2780"/>
      <c r="F38" s="2780"/>
      <c r="G38" s="2781"/>
      <c r="I38" s="2797">
        <v>25</v>
      </c>
      <c r="J38" s="2797">
        <v>89.3</v>
      </c>
      <c r="K38" s="2797">
        <f t="shared" si="3"/>
        <v>5.7000000000000028</v>
      </c>
      <c r="L38" s="2797" t="s">
        <v>2570</v>
      </c>
      <c r="N38" s="3150">
        <v>8</v>
      </c>
    </row>
    <row r="39" spans="1:14">
      <c r="A39" s="2779"/>
      <c r="B39" s="2780"/>
      <c r="C39" s="2780"/>
      <c r="D39" s="2780"/>
      <c r="E39" s="2780"/>
      <c r="F39" s="2780"/>
      <c r="G39" s="2781"/>
      <c r="I39" s="2797">
        <v>30</v>
      </c>
      <c r="J39" s="2797">
        <v>93.8</v>
      </c>
      <c r="K39" s="2797">
        <f t="shared" si="3"/>
        <v>4.5</v>
      </c>
      <c r="L39" s="2797" t="s">
        <v>2571</v>
      </c>
      <c r="N39" s="3150">
        <v>6</v>
      </c>
    </row>
    <row r="40" spans="1:14">
      <c r="A40" s="2782" t="s">
        <v>2542</v>
      </c>
      <c r="B40" s="2783"/>
      <c r="C40" s="2783"/>
      <c r="D40" s="2783"/>
      <c r="E40" s="2783"/>
      <c r="F40" s="2783"/>
      <c r="G40" s="2784"/>
      <c r="I40" s="2797">
        <v>35</v>
      </c>
      <c r="J40" s="2797">
        <v>97.2</v>
      </c>
      <c r="K40" s="2797">
        <f t="shared" si="3"/>
        <v>3.4000000000000057</v>
      </c>
      <c r="L40" s="2797" t="s">
        <v>2572</v>
      </c>
      <c r="N40" s="3150">
        <v>3</v>
      </c>
    </row>
    <row r="41" spans="1:14">
      <c r="A41" s="2785" t="s">
        <v>2543</v>
      </c>
      <c r="B41" s="2786" t="s">
        <v>2544</v>
      </c>
      <c r="C41" s="2787" t="s">
        <v>2545</v>
      </c>
      <c r="D41" s="2787" t="s">
        <v>2546</v>
      </c>
      <c r="E41" s="2788"/>
      <c r="F41" s="2789"/>
      <c r="G41" s="2790"/>
      <c r="I41" s="2797">
        <v>40</v>
      </c>
      <c r="J41" s="2797">
        <v>100</v>
      </c>
      <c r="K41" s="2797">
        <f t="shared" si="3"/>
        <v>2.7999999999999972</v>
      </c>
    </row>
    <row r="42" spans="1:14">
      <c r="A42" s="2785" t="s">
        <v>2547</v>
      </c>
      <c r="B42" s="2786" t="s">
        <v>2548</v>
      </c>
      <c r="C42" s="2787" t="s">
        <v>2549</v>
      </c>
      <c r="D42" s="2791" t="s">
        <v>2550</v>
      </c>
      <c r="E42" s="2783" t="s">
        <v>2551</v>
      </c>
      <c r="F42" s="2783"/>
      <c r="G42" s="2784"/>
    </row>
    <row r="43" spans="1:14">
      <c r="A43" s="2785" t="s">
        <v>2552</v>
      </c>
      <c r="B43" s="2786" t="s">
        <v>2553</v>
      </c>
      <c r="C43" s="2787" t="s">
        <v>2554</v>
      </c>
      <c r="D43" s="2787" t="s">
        <v>2555</v>
      </c>
      <c r="E43" s="2788" t="s">
        <v>2556</v>
      </c>
      <c r="F43" s="2789"/>
      <c r="G43" s="2790"/>
      <c r="I43" s="2797" t="s">
        <v>2564</v>
      </c>
      <c r="J43" s="2797" t="s">
        <v>2575</v>
      </c>
    </row>
    <row r="44" spans="1:14">
      <c r="A44" s="2785" t="s">
        <v>2557</v>
      </c>
      <c r="B44" s="2786" t="s">
        <v>2558</v>
      </c>
      <c r="C44" s="2787" t="s">
        <v>2559</v>
      </c>
      <c r="D44" s="2791">
        <v>0.5</v>
      </c>
      <c r="E44" s="2788" t="s">
        <v>2560</v>
      </c>
      <c r="F44" s="2789"/>
      <c r="G44" s="2790"/>
      <c r="I44" s="2797">
        <v>30</v>
      </c>
      <c r="J44" s="2797">
        <v>81.7</v>
      </c>
    </row>
    <row r="45" spans="1:14" ht="15" thickBot="1">
      <c r="A45" s="2792" t="s">
        <v>2561</v>
      </c>
      <c r="B45" s="2793" t="s">
        <v>2548</v>
      </c>
      <c r="C45" s="2794" t="s">
        <v>2548</v>
      </c>
      <c r="D45" s="2794" t="s">
        <v>2562</v>
      </c>
      <c r="E45" s="2795" t="s">
        <v>2563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3386</v>
      </c>
    </row>
    <row r="50" spans="1:4">
      <c r="A50" s="3142" t="s">
        <v>3387</v>
      </c>
      <c r="B50" s="3142" t="s">
        <v>3388</v>
      </c>
      <c r="C50" s="3142" t="s">
        <v>3389</v>
      </c>
      <c r="D50" s="3142" t="s">
        <v>3390</v>
      </c>
    </row>
    <row r="51" spans="1:4">
      <c r="A51" s="3142" t="s">
        <v>3391</v>
      </c>
      <c r="B51" s="2762">
        <f>B52+B53</f>
        <v>15000</v>
      </c>
      <c r="C51" s="3143">
        <f>D51/B51</f>
        <v>2666.6666666666665</v>
      </c>
      <c r="D51" s="2762">
        <f>D52+D53</f>
        <v>40000000</v>
      </c>
    </row>
    <row r="52" spans="1:4">
      <c r="A52" s="3144" t="s">
        <v>3392</v>
      </c>
      <c r="B52" s="3145">
        <v>10000</v>
      </c>
      <c r="C52" s="3145">
        <v>1500</v>
      </c>
      <c r="D52" s="3146">
        <f>C52*B52</f>
        <v>15000000</v>
      </c>
    </row>
    <row r="53" spans="1:4">
      <c r="A53" s="3144" t="s">
        <v>3393</v>
      </c>
      <c r="B53" s="3145">
        <v>5000</v>
      </c>
      <c r="C53" s="3145">
        <v>5000</v>
      </c>
      <c r="D53" s="3146">
        <f>C53*B53</f>
        <v>25000000</v>
      </c>
    </row>
    <row r="54" spans="1:4">
      <c r="A54" s="3142" t="s">
        <v>3394</v>
      </c>
      <c r="B54" s="2762">
        <f>B51</f>
        <v>15000</v>
      </c>
      <c r="C54" s="2768">
        <v>700</v>
      </c>
      <c r="D54" s="2762">
        <f t="shared" ref="D54:D55" si="5">C54*B54</f>
        <v>10500000</v>
      </c>
    </row>
    <row r="55" spans="1:4">
      <c r="A55" s="3142" t="s">
        <v>3395</v>
      </c>
      <c r="B55" s="2762">
        <f>B51</f>
        <v>15000</v>
      </c>
      <c r="C55" s="2768">
        <v>1500</v>
      </c>
      <c r="D55" s="2762">
        <f t="shared" si="5"/>
        <v>22500000</v>
      </c>
    </row>
    <row r="56" spans="1:4">
      <c r="A56" s="3142" t="s">
        <v>3396</v>
      </c>
      <c r="B56" s="2762">
        <f>B51</f>
        <v>15000</v>
      </c>
      <c r="C56" s="3147">
        <f>C51+C54+C55</f>
        <v>4866.6666666666661</v>
      </c>
      <c r="D56" s="2762">
        <f>D51+D54+D55</f>
        <v>73000000</v>
      </c>
    </row>
    <row r="58" spans="1:4">
      <c r="A58" s="3142" t="s">
        <v>3397</v>
      </c>
      <c r="B58" s="3148">
        <v>0.05</v>
      </c>
      <c r="C58" s="2762">
        <f>C56*(1+B58)</f>
        <v>5110</v>
      </c>
      <c r="D58" s="2762">
        <f>D56*B58</f>
        <v>3650000</v>
      </c>
    </row>
    <row r="60" spans="1:4">
      <c r="A60" s="3142" t="s">
        <v>3398</v>
      </c>
      <c r="B60" s="2768">
        <v>3500</v>
      </c>
      <c r="C60" s="2768">
        <f>C53</f>
        <v>5000</v>
      </c>
      <c r="D60" s="2762">
        <f>C60*B60</f>
        <v>17500000</v>
      </c>
    </row>
    <row r="62" spans="1:4">
      <c r="A62" s="3142" t="s">
        <v>3399</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G8" sqref="G8"/>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0" t="s">
        <v>2168</v>
      </c>
      <c r="B1" s="3223" t="str">
        <f>IF(B10="北京市","北京市",C10)&amp;F10&amp;IF(结果表!G1="在建","出让国有建设用地使用权及在建建筑物",IF(结果表!G1="土地","出让国有建设用地使用权",))&amp;B9&amp;"预评估"</f>
        <v>北京市房山区怡和北路5号院14号楼2层201房地产抵押价值预评估</v>
      </c>
      <c r="C1" s="3224"/>
      <c r="D1" s="3224"/>
      <c r="E1" s="3224"/>
      <c r="F1" s="3224"/>
      <c r="G1" s="3224"/>
      <c r="H1" s="3224"/>
      <c r="I1" s="3225"/>
      <c r="J1" s="2243"/>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北京市房山区怡和北路5号院14号楼2层201房地产抵押价值</v>
      </c>
      <c r="T1" s="1618"/>
      <c r="U1" s="1618"/>
      <c r="V1" s="1618"/>
      <c r="W1" s="1618"/>
      <c r="X1" s="1618"/>
      <c r="Y1" s="1618"/>
      <c r="Z1" s="1618"/>
      <c r="AA1" s="1618"/>
      <c r="AB1" s="1618"/>
    </row>
    <row r="2" spans="1:30">
      <c r="A2" s="2181" t="s">
        <v>2169</v>
      </c>
      <c r="B2" s="122"/>
      <c r="D2" s="2445"/>
      <c r="E2" s="2439"/>
      <c r="F2" s="2439"/>
      <c r="G2" s="2440"/>
      <c r="H2" s="2440"/>
      <c r="I2" s="2440"/>
      <c r="J2" s="2243"/>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北京市房山区怡和北路5号院14号楼2层201房地产</v>
      </c>
      <c r="T2" s="1618"/>
      <c r="U2" s="1618"/>
      <c r="V2" s="1618"/>
      <c r="W2" s="1618"/>
      <c r="X2" s="1618"/>
      <c r="Y2" s="1618"/>
      <c r="Z2" s="1618"/>
      <c r="AA2" s="1618"/>
      <c r="AB2" s="1618"/>
    </row>
    <row r="3" spans="1:30">
      <c r="A3" s="294" t="s">
        <v>2170</v>
      </c>
      <c r="B3" s="2184">
        <v>45814</v>
      </c>
      <c r="C3" s="2185" t="s">
        <v>2171</v>
      </c>
      <c r="D3" s="2184">
        <f>B3</f>
        <v>45814</v>
      </c>
      <c r="E3" s="2440"/>
      <c r="F3" s="2440"/>
      <c r="G3" s="2440"/>
      <c r="H3" s="2440"/>
      <c r="I3" s="2440"/>
      <c r="J3" s="2243"/>
      <c r="K3" s="2182"/>
      <c r="L3" s="2183"/>
      <c r="M3" s="2183"/>
      <c r="N3" s="2181"/>
      <c r="O3" s="1466"/>
      <c r="P3" s="2181"/>
      <c r="Q3" s="2181"/>
      <c r="R3" s="2181"/>
      <c r="S3" s="1561"/>
      <c r="T3" s="1618"/>
      <c r="U3" s="1618"/>
      <c r="V3" s="1618"/>
      <c r="W3" s="1618"/>
      <c r="X3" s="1618"/>
      <c r="Y3" s="1618"/>
      <c r="Z3" s="1618"/>
      <c r="AA3" s="1618"/>
      <c r="AB3" s="1618"/>
    </row>
    <row r="4" spans="1:30" ht="13.8" thickBot="1">
      <c r="A4" s="1027" t="s">
        <v>2172</v>
      </c>
      <c r="B4" s="2186" t="s">
        <v>3444</v>
      </c>
      <c r="C4" s="2187">
        <f ca="1">SUMIF(注册房地产估价师,B4,估价师及机构信息!B3:B24)</f>
        <v>1120070131</v>
      </c>
      <c r="D4" s="2186" t="s">
        <v>3445</v>
      </c>
      <c r="E4" s="2187">
        <f ca="1">SUMIF(注册房地产估价师,D4,估价师及机构信息!B3:B24)</f>
        <v>1419970001</v>
      </c>
      <c r="F4" s="2186"/>
      <c r="G4" s="2187">
        <f>SUMIF(注册房地产估价师,F4,估价师及机构信息!B3:B24)</f>
        <v>0</v>
      </c>
      <c r="H4" s="2186"/>
      <c r="I4" s="2187">
        <f>SUMIF(注册房地产估价师,H4,估价师及机构信息!B3:B24)</f>
        <v>0</v>
      </c>
      <c r="J4" s="2243"/>
      <c r="K4" s="2188" t="str">
        <f ca="1">CONCATENATE(B4,"（注册号：",C4,")、",D4,"（注册号：",E4,")")</f>
        <v>郑燚（注册号：1120070131)、吴薇（注册号：1419970001)</v>
      </c>
      <c r="L4" s="2183"/>
      <c r="M4" s="2183"/>
      <c r="N4" s="2181"/>
      <c r="O4" s="1466"/>
      <c r="P4" s="2181"/>
      <c r="Q4" s="2181"/>
      <c r="R4" s="2181"/>
      <c r="S4" s="1561"/>
      <c r="T4" s="1618"/>
      <c r="U4" s="1618"/>
      <c r="V4" s="1618"/>
      <c r="W4" s="1618"/>
      <c r="X4" s="1618"/>
      <c r="Y4" s="1618"/>
      <c r="Z4" s="1618"/>
      <c r="AA4" s="1618"/>
      <c r="AB4" s="1618"/>
    </row>
    <row r="5" spans="1:30" ht="13.8" thickTop="1">
      <c r="A5" s="2189" t="s">
        <v>2173</v>
      </c>
      <c r="B5" s="2190"/>
      <c r="C5" s="2191"/>
      <c r="D5" s="2192"/>
      <c r="E5" s="2440"/>
      <c r="F5" s="2440"/>
      <c r="G5" s="2440"/>
      <c r="H5" s="2440"/>
      <c r="I5" s="2440"/>
      <c r="J5" s="2243"/>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39"/>
      <c r="F6" s="2440"/>
      <c r="G6" s="2440"/>
      <c r="H6" s="2440"/>
      <c r="I6" s="2440"/>
      <c r="J6" s="2243"/>
      <c r="K6" s="2399" t="str">
        <f>IF(COUNTIF(B6,"*上海银行*"),"上海银行","")</f>
        <v/>
      </c>
      <c r="L6" s="2397"/>
      <c r="M6" s="2397"/>
      <c r="N6" s="2243"/>
      <c r="O6" s="1670"/>
      <c r="P6" s="2243"/>
      <c r="Q6" s="2243"/>
      <c r="R6" s="2243"/>
    </row>
    <row r="7" spans="1:30">
      <c r="A7" s="2193" t="s">
        <v>2175</v>
      </c>
      <c r="B7" s="2197"/>
      <c r="C7" s="2195"/>
      <c r="D7" s="2196"/>
      <c r="E7" s="2439"/>
      <c r="F7" s="2440"/>
      <c r="G7" s="2440"/>
      <c r="H7" s="2440"/>
      <c r="I7" s="2440"/>
      <c r="J7" s="2243"/>
      <c r="K7" s="2400"/>
      <c r="L7" s="2397"/>
      <c r="M7" s="2397"/>
      <c r="N7" s="2243"/>
      <c r="O7" s="1670"/>
      <c r="P7" s="2243"/>
      <c r="Q7" s="2243"/>
      <c r="R7" s="2243"/>
    </row>
    <row r="8" spans="1:30">
      <c r="A8" s="2198" t="s">
        <v>2176</v>
      </c>
      <c r="B8" s="2199" t="s">
        <v>3411</v>
      </c>
      <c r="C8" s="2200"/>
      <c r="D8" s="3226" t="s">
        <v>2177</v>
      </c>
      <c r="E8" s="2201" t="s">
        <v>3412</v>
      </c>
      <c r="F8" s="2202"/>
      <c r="G8" s="2440"/>
      <c r="H8" s="2440"/>
      <c r="I8" s="2440"/>
      <c r="J8" s="2243"/>
      <c r="K8" s="2398"/>
      <c r="L8" s="2397"/>
      <c r="M8" s="2397"/>
      <c r="N8" s="2243"/>
      <c r="O8" s="1670"/>
      <c r="P8" s="2243"/>
      <c r="Q8" s="2243"/>
      <c r="R8" s="2243"/>
    </row>
    <row r="9" spans="1:30" ht="13.8" thickBot="1">
      <c r="A9" s="2203" t="s">
        <v>2178</v>
      </c>
      <c r="B9" s="2204" t="s">
        <v>3412</v>
      </c>
      <c r="C9" s="2205"/>
      <c r="D9" s="3227"/>
      <c r="E9" s="2204" t="s">
        <v>43</v>
      </c>
      <c r="F9" s="2206"/>
      <c r="G9" s="2441"/>
      <c r="H9" s="2441"/>
      <c r="I9" s="2441"/>
      <c r="J9" s="2243"/>
      <c r="K9" s="2400"/>
      <c r="L9" s="2397"/>
      <c r="M9" s="2397"/>
      <c r="N9" s="2243"/>
      <c r="O9" s="1670"/>
      <c r="P9" s="2243"/>
      <c r="Q9" s="2243"/>
      <c r="R9" s="2243"/>
    </row>
    <row r="10" spans="1:30" ht="13.8" thickTop="1">
      <c r="A10" s="2207" t="s">
        <v>2179</v>
      </c>
      <c r="B10" s="2208" t="s">
        <v>3413</v>
      </c>
      <c r="C10" s="2209"/>
      <c r="D10" s="2192"/>
      <c r="E10" s="2210" t="s">
        <v>2180</v>
      </c>
      <c r="F10" s="3161" t="s">
        <v>3416</v>
      </c>
      <c r="G10" s="2442"/>
      <c r="H10" s="2443"/>
      <c r="I10" s="2444"/>
      <c r="J10" s="2243"/>
      <c r="K10" s="2400"/>
      <c r="L10" s="2397"/>
      <c r="M10" s="2397"/>
      <c r="N10" s="2243"/>
      <c r="O10" s="1670"/>
      <c r="P10" s="2243"/>
      <c r="Q10" s="2243"/>
      <c r="R10" s="2243"/>
    </row>
    <row r="11" spans="1:30" ht="24">
      <c r="A11" s="2211" t="s">
        <v>2181</v>
      </c>
      <c r="B11" s="2212" t="s">
        <v>3414</v>
      </c>
      <c r="C11" s="3160" t="s">
        <v>3415</v>
      </c>
      <c r="D11" s="2213"/>
      <c r="E11" s="2181"/>
      <c r="F11" s="2181"/>
      <c r="G11" s="2181"/>
      <c r="H11" s="2181"/>
      <c r="I11" s="2181"/>
      <c r="J11" s="2799"/>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8" t="s">
        <v>2576</v>
      </c>
      <c r="J12" s="2800"/>
      <c r="K12" s="2397"/>
      <c r="L12" s="2397"/>
      <c r="M12" s="2243"/>
      <c r="N12" s="1670"/>
      <c r="O12" s="2243"/>
      <c r="P12" s="2243"/>
      <c r="Q12" s="2243"/>
      <c r="AD12" s="1618"/>
    </row>
    <row r="13" spans="1:30">
      <c r="A13" s="3119" t="s">
        <v>3331</v>
      </c>
      <c r="B13" s="2216" t="s">
        <v>2190</v>
      </c>
      <c r="C13" s="803"/>
      <c r="D13" s="803"/>
      <c r="E13" s="803">
        <v>58598</v>
      </c>
      <c r="F13" s="803"/>
      <c r="G13" s="803"/>
      <c r="H13" s="803"/>
      <c r="I13" s="803"/>
      <c r="J13" s="2800"/>
      <c r="K13" s="2397"/>
      <c r="L13" s="2397"/>
      <c r="M13" s="2243"/>
      <c r="N13" s="1670"/>
      <c r="O13" s="2243"/>
      <c r="P13" s="2243"/>
      <c r="Q13" s="2243"/>
      <c r="AD13" s="1618"/>
    </row>
    <row r="14" spans="1:30">
      <c r="A14" s="1018"/>
      <c r="B14" s="2216" t="s">
        <v>2191</v>
      </c>
      <c r="C14" s="2217"/>
      <c r="D14" s="2217"/>
      <c r="E14" s="2217">
        <v>50</v>
      </c>
      <c r="F14" s="2217"/>
      <c r="G14" s="2217"/>
      <c r="H14" s="2217"/>
      <c r="I14" s="2217"/>
      <c r="J14" s="2801"/>
      <c r="K14" s="2397"/>
      <c r="L14" s="2397"/>
      <c r="M14" s="2243"/>
      <c r="N14" s="1670"/>
      <c r="O14" s="2243"/>
      <c r="P14" s="2243"/>
      <c r="Q14" s="2243"/>
      <c r="AD14" s="1618"/>
    </row>
    <row r="15" spans="1:30">
      <c r="A15" s="312"/>
      <c r="B15" s="2218" t="s">
        <v>2192</v>
      </c>
      <c r="C15" s="2219" t="str">
        <f>IF(A13="出让",IF(C13="","",ROUNDDOWN(MIN((C13-$D$3)/365,C14),2)),C14)</f>
        <v/>
      </c>
      <c r="D15" s="2219" t="str">
        <f>IF(A13="出让",IF(D13="","",ROUNDDOWN(MIN((D13-$D$3)/365,D14),2)),D14)</f>
        <v/>
      </c>
      <c r="E15" s="2219">
        <f>IF(A13="出让",IF(E13="","",ROUNDDOWN(MIN((E13-$D$3)/365,E14),2)),E14)</f>
        <v>35.020000000000003</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2"/>
      <c r="K15" s="1670"/>
      <c r="L15" s="1670"/>
      <c r="M15" s="2243"/>
      <c r="N15" s="1670"/>
      <c r="O15" s="2243"/>
      <c r="P15" s="2243"/>
      <c r="Q15" s="2243"/>
      <c r="AD15" s="1618"/>
    </row>
    <row r="16" spans="1:30">
      <c r="A16" s="2210" t="s">
        <v>2193</v>
      </c>
      <c r="B16" s="3233" t="s">
        <v>3418</v>
      </c>
      <c r="C16" s="3234"/>
      <c r="D16" s="3235"/>
      <c r="E16" s="2220" t="s">
        <v>2194</v>
      </c>
      <c r="F16" s="3236"/>
      <c r="G16" s="3237"/>
      <c r="H16" s="3237"/>
      <c r="I16" s="3238"/>
      <c r="J16" s="2243"/>
      <c r="K16" s="2401"/>
      <c r="L16" s="1670"/>
      <c r="M16" s="1670"/>
      <c r="N16" s="2243"/>
      <c r="O16" s="1670"/>
      <c r="P16" s="2243"/>
      <c r="Q16" s="2243"/>
      <c r="R16" s="2243"/>
    </row>
    <row r="17" spans="1:28">
      <c r="A17" s="305" t="s">
        <v>2195</v>
      </c>
      <c r="B17" s="294" t="s">
        <v>2196</v>
      </c>
      <c r="C17" s="8">
        <f>'数据-汇总表'!E3</f>
        <v>66.63</v>
      </c>
      <c r="D17" s="1256" t="s">
        <v>2197</v>
      </c>
      <c r="E17" s="3239" t="s">
        <v>2198</v>
      </c>
      <c r="F17" s="3240"/>
      <c r="G17" s="3240"/>
      <c r="H17" s="3240"/>
      <c r="I17" s="3241"/>
      <c r="J17" s="2243"/>
      <c r="K17" s="2402"/>
      <c r="L17" s="1670"/>
      <c r="M17" s="1670"/>
      <c r="N17" s="2243"/>
      <c r="O17" s="1670"/>
      <c r="P17" s="2243"/>
      <c r="Q17" s="2243"/>
      <c r="R17" s="2243"/>
      <c r="S17" s="2243"/>
      <c r="T17" s="2243"/>
      <c r="U17" s="2243"/>
      <c r="V17" s="2243"/>
    </row>
    <row r="18" spans="1:28" ht="24.6" thickBot="1">
      <c r="A18" s="2221" t="s">
        <v>2199</v>
      </c>
      <c r="B18" s="1027" t="s">
        <v>2200</v>
      </c>
      <c r="C18" s="2222">
        <f>'数据-汇总表'!D3</f>
        <v>0</v>
      </c>
      <c r="D18" s="1029" t="s">
        <v>2201</v>
      </c>
      <c r="E18" s="3242" t="s">
        <v>2202</v>
      </c>
      <c r="F18" s="3243"/>
      <c r="G18" s="3243"/>
      <c r="H18" s="3243"/>
      <c r="I18" s="3244"/>
      <c r="J18" s="2243"/>
      <c r="K18" s="2402"/>
      <c r="L18" s="1670"/>
      <c r="M18" s="1670"/>
      <c r="N18" s="2243"/>
      <c r="O18" s="1670"/>
      <c r="P18" s="2243"/>
      <c r="Q18" s="2243"/>
      <c r="R18" s="2243"/>
      <c r="S18" s="2243"/>
      <c r="T18" s="2243"/>
      <c r="U18" s="2243"/>
      <c r="V18" s="2243"/>
    </row>
    <row r="19" spans="1:28" ht="37.200000000000003" thickTop="1" thickBot="1">
      <c r="A19" s="319" t="s">
        <v>1055</v>
      </c>
      <c r="B19" s="299" t="s">
        <v>2203</v>
      </c>
      <c r="C19" s="1455" t="s">
        <v>3417</v>
      </c>
      <c r="D19" s="1456" t="s">
        <v>2204</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c r="A20" s="2415" t="s">
        <v>2205</v>
      </c>
      <c r="B20" s="3229" t="s">
        <v>2206</v>
      </c>
      <c r="C20" s="3230"/>
      <c r="D20" s="3231" t="s">
        <v>2207</v>
      </c>
      <c r="E20" s="3232"/>
      <c r="F20" s="2428" t="s">
        <v>1056</v>
      </c>
      <c r="G20" s="2440"/>
      <c r="H20" s="2440"/>
      <c r="I20" s="2440"/>
      <c r="J20" s="2243"/>
      <c r="K20" s="322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3"/>
      <c r="K21" s="322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3"/>
      <c r="N21" s="2181"/>
      <c r="O21" s="1466"/>
      <c r="P21" s="2181"/>
      <c r="Q21" s="2181"/>
      <c r="R21" s="2181"/>
      <c r="S21" s="2181"/>
      <c r="T21" s="2181"/>
      <c r="U21" s="2181"/>
      <c r="V21" s="2181"/>
      <c r="W21" s="1618"/>
      <c r="X21" s="1618"/>
      <c r="Y21" s="1618"/>
      <c r="Z21" s="1618"/>
      <c r="AA21" s="1618"/>
      <c r="AB21" s="1618"/>
    </row>
    <row r="22" spans="1:28" ht="36.6" thickBot="1">
      <c r="A22" s="2415"/>
      <c r="B22" s="2418" t="s">
        <v>2211</v>
      </c>
      <c r="C22" s="2294" t="s">
        <v>1058</v>
      </c>
      <c r="D22" s="2440"/>
      <c r="E22" s="2440"/>
      <c r="F22" s="2440"/>
      <c r="G22" s="2440"/>
      <c r="H22" s="2440"/>
      <c r="I22" s="2440"/>
      <c r="J22" s="2243"/>
      <c r="K22" s="322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8" thickTop="1">
      <c r="A27" s="3217" t="s">
        <v>2214</v>
      </c>
      <c r="B27" s="312" t="s">
        <v>2215</v>
      </c>
      <c r="C27" s="2223" t="s">
        <v>3419</v>
      </c>
      <c r="D27" s="2224"/>
      <c r="E27" s="2440"/>
      <c r="F27" s="2440"/>
      <c r="G27" s="2440"/>
      <c r="H27" s="2440"/>
      <c r="I27" s="2440"/>
      <c r="J27" s="2243"/>
      <c r="K27" s="2401"/>
      <c r="L27" s="1670"/>
      <c r="M27" s="1670"/>
      <c r="N27" s="2243"/>
      <c r="O27" s="1670"/>
      <c r="P27" s="2243"/>
      <c r="Q27" s="2243"/>
      <c r="R27" s="2243"/>
      <c r="S27" s="2243"/>
      <c r="T27" s="2243"/>
      <c r="U27" s="2243"/>
      <c r="V27" s="2243"/>
    </row>
    <row r="28" spans="1:28">
      <c r="A28" s="3217"/>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17"/>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18"/>
      <c r="B30" s="294" t="s">
        <v>2218</v>
      </c>
      <c r="C30" s="3219"/>
      <c r="D30" s="3220"/>
      <c r="E30" s="2440"/>
      <c r="F30" s="2440"/>
      <c r="G30" s="2440"/>
      <c r="H30" s="2440"/>
      <c r="I30" s="2440"/>
      <c r="J30" s="2243"/>
      <c r="K30" s="2400"/>
      <c r="L30" s="2397"/>
      <c r="M30" s="2397"/>
      <c r="N30" s="2243"/>
      <c r="O30" s="1670"/>
      <c r="P30" s="2243"/>
      <c r="Q30" s="2243"/>
      <c r="R30" s="2243"/>
      <c r="S30" s="2243"/>
      <c r="T30" s="2243"/>
      <c r="U30" s="2243"/>
      <c r="V30" s="2243"/>
    </row>
    <row r="31" spans="1:28">
      <c r="A31" s="3221" t="s">
        <v>2219</v>
      </c>
      <c r="B31" s="2229" t="s">
        <v>3420</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22"/>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22"/>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70"/>
      <c r="C34" s="1870"/>
      <c r="D34" s="1870"/>
      <c r="E34" s="1870"/>
      <c r="F34" s="1870"/>
      <c r="G34" s="1870"/>
      <c r="H34" s="1870"/>
      <c r="I34" s="2440"/>
      <c r="J34" s="2243"/>
      <c r="K34" s="8">
        <f>COUNTIF(B34:H34,"——")</f>
        <v>0</v>
      </c>
      <c r="L34" s="315" t="s">
        <v>2221</v>
      </c>
      <c r="M34" s="315" t="s">
        <v>2222</v>
      </c>
      <c r="N34" s="315" t="s">
        <v>2223</v>
      </c>
      <c r="O34" s="315" t="s">
        <v>2224</v>
      </c>
      <c r="P34" s="315" t="s">
        <v>2225</v>
      </c>
      <c r="Q34" s="315" t="s">
        <v>2226</v>
      </c>
      <c r="R34" s="315" t="s">
        <v>2227</v>
      </c>
      <c r="S34" s="3216" t="s">
        <v>2228</v>
      </c>
      <c r="T34" s="315" t="str">
        <f>NUMBERSTRING(7-K34,1)&amp;"通"</f>
        <v>七通</v>
      </c>
      <c r="U34" s="2243"/>
      <c r="V34" s="2243"/>
    </row>
    <row r="35" spans="1:30">
      <c r="A35" s="2234"/>
      <c r="B35" s="3216" t="s">
        <v>2229</v>
      </c>
      <c r="C35" s="3216"/>
      <c r="D35" s="3216"/>
      <c r="E35" s="3216"/>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6"/>
      <c r="T35" s="138" t="str">
        <f>IF(T34="一通",L35,IF(T34="二通",M35,IF(T34="三通",N35,IF(T34="四通",O35,IF(T34="五通",P35,IF(T34="六通",Q35,R35))))))</f>
        <v>、、、、、、</v>
      </c>
      <c r="U35" s="2243"/>
      <c r="V35" s="2243"/>
    </row>
    <row r="36" spans="1:30">
      <c r="A36" s="2182"/>
      <c r="B36" s="8" t="s">
        <v>2185</v>
      </c>
      <c r="C36" s="8" t="s">
        <v>2186</v>
      </c>
      <c r="D36" s="8" t="s">
        <v>2184</v>
      </c>
      <c r="E36" s="8" t="s">
        <v>2189</v>
      </c>
      <c r="F36" s="2798" t="s">
        <v>2579</v>
      </c>
      <c r="G36" s="2440"/>
      <c r="H36" s="2440"/>
      <c r="I36" s="2440"/>
      <c r="J36" s="2243"/>
      <c r="K36" s="2400"/>
      <c r="L36" s="2397"/>
      <c r="M36" s="2397"/>
      <c r="N36" s="2243"/>
      <c r="O36" s="1670"/>
      <c r="P36" s="2243"/>
      <c r="Q36" s="2243"/>
      <c r="R36" s="2243"/>
      <c r="S36" s="2243"/>
      <c r="T36" s="2243"/>
      <c r="U36" s="2243"/>
      <c r="V36" s="2243"/>
    </row>
    <row r="37" spans="1:30">
      <c r="A37" s="2413" t="s">
        <v>2230</v>
      </c>
      <c r="B37" s="2235"/>
      <c r="C37" s="2235" t="s">
        <v>304</v>
      </c>
      <c r="D37" s="2235"/>
      <c r="E37" s="2235"/>
      <c r="F37" s="2235"/>
      <c r="G37" s="2440"/>
      <c r="H37" s="2440"/>
      <c r="I37" s="2440"/>
      <c r="J37" s="2243"/>
      <c r="K37" s="2400"/>
      <c r="L37" s="2397"/>
      <c r="M37" s="2397"/>
      <c r="N37" s="2243"/>
      <c r="O37" s="1670"/>
      <c r="P37" s="2243"/>
      <c r="Q37" s="2243"/>
      <c r="R37" s="2243"/>
      <c r="S37" s="2243"/>
      <c r="T37" s="2243"/>
      <c r="U37" s="2243"/>
      <c r="V37" s="2243"/>
    </row>
    <row r="38" spans="1:30" ht="13.8" thickBot="1">
      <c r="A38" s="2414" t="s">
        <v>2231</v>
      </c>
      <c r="B38" s="2236"/>
      <c r="C38" s="2236" t="s">
        <v>240</v>
      </c>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6"/>
      <c r="J40" s="2243"/>
      <c r="K40" s="2399"/>
      <c r="L40" s="1670"/>
      <c r="M40" s="1670"/>
      <c r="N40" s="2243"/>
      <c r="O40" s="1670"/>
      <c r="P40" s="2243"/>
      <c r="Q40" s="2243"/>
      <c r="R40" s="2243"/>
      <c r="S40" s="2243"/>
      <c r="T40" s="2243"/>
      <c r="U40" s="2243"/>
      <c r="V40" s="2243"/>
    </row>
    <row r="41" spans="1:30">
      <c r="A41" s="2240" t="s">
        <v>2233</v>
      </c>
      <c r="B41" s="1627"/>
      <c r="C41" s="1281"/>
      <c r="D41" s="2181"/>
      <c r="E41" s="2181"/>
      <c r="F41" s="2181"/>
      <c r="G41" s="2181"/>
      <c r="H41" s="2181"/>
      <c r="I41" s="1466"/>
      <c r="J41" s="2243"/>
      <c r="K41" s="2400"/>
      <c r="L41" s="2397"/>
      <c r="M41" s="2397"/>
      <c r="N41" s="2243"/>
      <c r="O41" s="1670"/>
      <c r="P41" s="2243"/>
      <c r="Q41" s="2243"/>
      <c r="R41" s="2243"/>
      <c r="S41" s="2243"/>
      <c r="T41" s="2243"/>
      <c r="U41" s="2243"/>
      <c r="V41" s="2243"/>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34" sqref="K3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66.63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66.63</v>
      </c>
      <c r="H5" s="13">
        <f t="shared" ref="H5:AT5" si="0">SUM(H13:H656)</f>
        <v>66.63</v>
      </c>
      <c r="I5" s="13">
        <f t="shared" si="0"/>
        <v>66.63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66.63</v>
      </c>
      <c r="BA5" s="15">
        <f t="shared" si="1"/>
        <v>66.63</v>
      </c>
      <c r="BB5" s="15">
        <f t="shared" si="1"/>
        <v>66.63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v>201</v>
      </c>
      <c r="D13" s="1513" t="s">
        <v>3421</v>
      </c>
      <c r="E13" s="13">
        <f>IF($C$3="是",ROUND($A$3*G13/$B$3,2),ROUND($A$3*(G13-AT13)/$B$3,2))</f>
        <v>0</v>
      </c>
      <c r="F13" s="29"/>
      <c r="G13" s="30">
        <f>H13+AC13+AT13</f>
        <v>66.63</v>
      </c>
      <c r="H13" s="17">
        <f>SUMIF(I$12:AB$12,"总值",I13:AB13)</f>
        <v>66.63</v>
      </c>
      <c r="I13" s="1514">
        <v>66.63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201</v>
      </c>
      <c r="AY13" s="1260">
        <f>ROUND($AY$6*AZ13/$AZ$5,2)</f>
        <v>0</v>
      </c>
      <c r="AZ13" s="13">
        <f>BA13+BL13</f>
        <v>66.63</v>
      </c>
      <c r="BA13" s="13">
        <f>SUM(BB13:BK13)</f>
        <v>66.63</v>
      </c>
      <c r="BB13" s="13">
        <f>IF($D13="是",I13-J13,0)</f>
        <v>66.63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N45" sqref="N45"/>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4" t="s">
        <v>1131</v>
      </c>
      <c r="B2" s="3254"/>
      <c r="C2" s="3254"/>
      <c r="D2" s="748" t="s">
        <v>1107</v>
      </c>
      <c r="E2" s="1523" t="s">
        <v>1108</v>
      </c>
      <c r="F2" s="2437"/>
      <c r="G2" s="2430"/>
      <c r="H2" s="2431"/>
      <c r="I2" s="2145" t="s">
        <v>1132</v>
      </c>
      <c r="J2" s="2437"/>
      <c r="K2" s="2437"/>
      <c r="L2" s="2437"/>
      <c r="M2" s="2437"/>
      <c r="N2" s="2438"/>
      <c r="O2" s="2437"/>
      <c r="P2" s="2437"/>
    </row>
    <row r="3" spans="1:16" ht="15" thickBot="1">
      <c r="A3" s="3255" t="s">
        <v>1105</v>
      </c>
      <c r="B3" s="3255"/>
      <c r="C3" s="3255"/>
      <c r="D3" s="41">
        <f>'数据-基础表'!AY6</f>
        <v>0</v>
      </c>
      <c r="E3" s="41">
        <f>'数据-基础表'!AZ5</f>
        <v>66.63</v>
      </c>
      <c r="F3" s="2437"/>
      <c r="G3" s="42"/>
      <c r="H3" s="43" t="s">
        <v>1106</v>
      </c>
      <c r="I3" s="802" t="e">
        <f>ROUND('数据-基础表'!B3/'数据-基础表'!A3,2)</f>
        <v>#DIV/0!</v>
      </c>
      <c r="J3" s="2437"/>
      <c r="K3" s="2437"/>
      <c r="L3" s="2437"/>
      <c r="M3" s="2437"/>
      <c r="N3" s="2438"/>
      <c r="O3" s="2437"/>
      <c r="P3" s="2437"/>
    </row>
    <row r="4" spans="1:16" ht="14.4">
      <c r="A4" s="3256"/>
      <c r="B4" s="3257"/>
      <c r="C4" s="3258"/>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ht="14.4">
      <c r="A5" s="42" t="s">
        <v>1109</v>
      </c>
      <c r="B5" s="3259" t="s">
        <v>1110</v>
      </c>
      <c r="C5" s="3259"/>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59" t="s">
        <v>1111</v>
      </c>
      <c r="C6" s="3259"/>
      <c r="D6" s="43">
        <f>ROUND($D$3*E6/$E$3,2)</f>
        <v>0</v>
      </c>
      <c r="E6" s="44">
        <f>E3-E5</f>
        <v>66.63</v>
      </c>
      <c r="F6" s="2437"/>
      <c r="G6" s="1529" t="s">
        <v>1112</v>
      </c>
      <c r="H6" s="45" t="s">
        <v>1113</v>
      </c>
      <c r="I6" s="2433" t="e">
        <f>ROUND(F31/D31,2)</f>
        <v>#DIV/0!</v>
      </c>
      <c r="J6" s="2437"/>
      <c r="K6" s="2437"/>
      <c r="L6" s="2437"/>
      <c r="M6" s="2437"/>
      <c r="N6" s="2437"/>
      <c r="O6" s="2437"/>
      <c r="P6" s="2437"/>
    </row>
    <row r="7" spans="1:16" ht="15" thickBot="1">
      <c r="A7" s="3251"/>
      <c r="B7" s="3252"/>
      <c r="C7" s="3253"/>
      <c r="D7" s="1524" t="s">
        <v>1107</v>
      </c>
      <c r="E7" s="1528" t="s">
        <v>1114</v>
      </c>
      <c r="F7" s="2437"/>
      <c r="G7" s="2434" t="s">
        <v>1115</v>
      </c>
      <c r="H7" s="95"/>
      <c r="I7" s="2435">
        <v>2.5</v>
      </c>
      <c r="J7" s="3164" t="s">
        <v>3436</v>
      </c>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66.63</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0</v>
      </c>
      <c r="E16" s="48">
        <f>SUM(E8:E15)</f>
        <v>66.63</v>
      </c>
      <c r="F16" s="2437"/>
      <c r="G16" s="2437"/>
      <c r="H16" s="1531" t="s">
        <v>1135</v>
      </c>
      <c r="I16" s="1532"/>
      <c r="J16" s="1071"/>
      <c r="K16" s="3248" t="s">
        <v>1135</v>
      </c>
      <c r="L16" s="3249"/>
      <c r="M16" s="3249"/>
      <c r="N16" s="3249"/>
      <c r="O16" s="3249"/>
      <c r="P16" s="3250"/>
    </row>
    <row r="17" spans="1:19" ht="14.4">
      <c r="A17" s="1533" t="s">
        <v>1136</v>
      </c>
      <c r="B17" s="1534" t="s">
        <v>1137</v>
      </c>
      <c r="C17" s="1535" t="s">
        <v>1138</v>
      </c>
      <c r="D17" s="1536" t="s">
        <v>1126</v>
      </c>
      <c r="E17" s="1537" t="s">
        <v>1127</v>
      </c>
      <c r="F17" s="1538"/>
      <c r="G17" s="1539"/>
      <c r="H17" s="1540" t="s">
        <v>1139</v>
      </c>
      <c r="I17" s="1541" t="s">
        <v>1124</v>
      </c>
      <c r="J17" s="1071"/>
      <c r="K17" s="3245" t="s">
        <v>1140</v>
      </c>
      <c r="L17" s="3246"/>
      <c r="M17" s="3247"/>
      <c r="N17" s="3245" t="s">
        <v>1141</v>
      </c>
      <c r="O17" s="3246"/>
      <c r="P17" s="3247"/>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f>'数据-基础表'!C13</f>
        <v>201</v>
      </c>
      <c r="D19" s="43">
        <f>ROUND($D$3*E19/$E$3,2)</f>
        <v>0</v>
      </c>
      <c r="E19" s="51">
        <f t="shared" ref="E19:E26" si="1">SUM(F19:G19)</f>
        <v>66.63</v>
      </c>
      <c r="F19" s="2555">
        <f>'数据-基础表'!G13</f>
        <v>66.63</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66.63</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66.63</v>
      </c>
      <c r="F27" s="1072">
        <f>IF(SUM(F19:F26)=E8,SUM(F19:F26),"地上面积有误")</f>
        <v>66.63</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66.63</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0</v>
      </c>
      <c r="E31" s="643">
        <f>E27+E30</f>
        <v>66.63</v>
      </c>
      <c r="F31" s="644">
        <f>F27+F30</f>
        <v>66.63</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tabSelected="1" zoomScaleNormal="100" zoomScaleSheetLayoutView="90" workbookViewId="0">
      <pane xSplit="3" ySplit="5" topLeftCell="J21" activePane="bottomRight" state="frozen"/>
      <selection activeCell="C50" sqref="C50"/>
      <selection pane="topRight" activeCell="C50" sqref="C50"/>
      <selection pane="bottomLeft" activeCell="C50" sqref="C50"/>
      <selection pane="bottomRight" activeCell="U6" sqref="U6"/>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9.66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45814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3423</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201</v>
      </c>
      <c r="B6" s="1587" t="str">
        <f>IF(A6=0,"","经营性")</f>
        <v>经营性</v>
      </c>
      <c r="C6" s="1588" t="s">
        <v>21</v>
      </c>
      <c r="D6" s="805">
        <f>SUMIF(项目基本情况!C$12:I$12,C6,项目基本情况!C$14:I$14)</f>
        <v>50</v>
      </c>
      <c r="E6" s="804">
        <f>IF(B6="","",SUMIF(项目基本情况!C$12:I$12,C6,项目基本情况!C$13:I$13))</f>
        <v>58598</v>
      </c>
      <c r="F6" s="61">
        <f>SUMIF(项目基本情况!C$12:I$12,C6,项目基本情况!C$15:I$15)</f>
        <v>35.020000000000003</v>
      </c>
      <c r="G6" s="62">
        <f>IF(ISERROR(ROUND(POWER(1+H6,D6-F6)*(POWER(1+H6,F6)-1)/(POWER(1+H6,D6)-1),3)),0,ROUND(POWER(1+H6,D6-F6)*(POWER(1+H6,F6)-1)/(POWER(1+H6,D6)-1),3))</f>
        <v>0.89700000000000002</v>
      </c>
      <c r="H6" s="691">
        <v>0.05</v>
      </c>
      <c r="I6" s="691">
        <v>5.5E-2</v>
      </c>
      <c r="J6" s="63">
        <v>7.0000000000000007E-2</v>
      </c>
      <c r="K6" s="970">
        <f>SUMIF('数据-汇总表'!C$19:C$33,A6,'数据-汇总表'!E$19:E$33)</f>
        <v>66.63</v>
      </c>
      <c r="L6" s="692">
        <v>3500</v>
      </c>
      <c r="M6" s="64">
        <f t="shared" ref="M6:M14" si="0">ROUND(K6*L6/10000,0)</f>
        <v>23</v>
      </c>
      <c r="N6" s="690">
        <f>N19</f>
        <v>0.85</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4">
        <v>3200</v>
      </c>
      <c r="V6" s="67">
        <v>1.4999999999999999E-2</v>
      </c>
      <c r="W6" s="67">
        <v>0.1</v>
      </c>
      <c r="X6" s="979"/>
      <c r="Y6" s="68">
        <f>N6</f>
        <v>0.85</v>
      </c>
      <c r="Z6" s="69"/>
      <c r="AA6" s="63"/>
      <c r="AB6" s="63"/>
      <c r="AC6" s="979"/>
      <c r="AD6" s="70"/>
      <c r="AE6" s="980">
        <f ca="1">IF(AN6="",0,SUMIF(INDIRECT("'"&amp;AN6&amp;"'"&amp;"!E:E"),$AE$5,INDIRECT("'"&amp;AN6&amp;"'"&amp;"!F:F")))</f>
        <v>35.020000000000003</v>
      </c>
      <c r="AF6" s="74"/>
      <c r="AG6" s="130">
        <f>IF(AF6="",0,AE6-AF6)</f>
        <v>0</v>
      </c>
      <c r="AH6" s="71">
        <v>1</v>
      </c>
      <c r="AI6" s="73">
        <v>12</v>
      </c>
      <c r="AJ6" s="74"/>
      <c r="AK6" s="75">
        <v>0.01</v>
      </c>
      <c r="AL6" s="76">
        <v>1E-3</v>
      </c>
      <c r="AM6" s="77">
        <v>0.01</v>
      </c>
      <c r="AN6" s="1589" t="s">
        <v>3430</v>
      </c>
      <c r="AO6" s="50">
        <f ca="1">SUMIF(INDIRECT("'"&amp;AN6&amp;"'"&amp;"!A:A"),"总价",INDIRECT("'"&amp;AN6&amp;"'"&amp;"!B:B"))</f>
        <v>47.0396</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0.89700000000000002</v>
      </c>
      <c r="H16" s="84">
        <f>ROUND(SUMPRODUCT(H6:H13,K6:K13)/SUMPRODUCT((H6:H13&gt;0)*(K6:K13)),3)</f>
        <v>0.05</v>
      </c>
      <c r="I16" s="85"/>
      <c r="J16" s="85"/>
      <c r="K16" s="86">
        <f>SUM(K6:K15)</f>
        <v>66.63</v>
      </c>
      <c r="L16" s="87">
        <f>ROUND(M16*10000/SUM(K6:K14),0)</f>
        <v>3452</v>
      </c>
      <c r="M16" s="87">
        <f>SUM(M6:M14)</f>
        <v>23</v>
      </c>
      <c r="N16" s="88">
        <f>ROUND(SUMPRODUCT(M6:M14,N6:N14)/M16,3)</f>
        <v>0.85</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2446"/>
      <c r="N17" s="2446"/>
      <c r="O17" s="2446"/>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62" t="s">
        <v>3424</v>
      </c>
      <c r="N18" s="2446">
        <v>2016</v>
      </c>
      <c r="O18" s="3162" t="s">
        <v>3425</v>
      </c>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2302</v>
      </c>
      <c r="D19" s="2449"/>
      <c r="E19" s="2437"/>
      <c r="F19" s="2437"/>
      <c r="G19" s="2437"/>
      <c r="H19" s="2437"/>
      <c r="I19" s="2437"/>
      <c r="J19" s="2437"/>
      <c r="K19" s="2447"/>
      <c r="L19" s="2447"/>
      <c r="M19" s="3162" t="s">
        <v>3426</v>
      </c>
      <c r="N19" s="2446">
        <f>ROUND(1-(1-0)*(2025-N18)/60,2)</f>
        <v>0.85</v>
      </c>
      <c r="O19" s="3162" t="s">
        <v>3428</v>
      </c>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2</v>
      </c>
      <c r="C20" s="2559" t="s">
        <v>2300</v>
      </c>
      <c r="D20" s="2449"/>
      <c r="E20" s="2437"/>
      <c r="F20" s="2437"/>
      <c r="G20" s="2437"/>
      <c r="H20" s="2437"/>
      <c r="I20" s="2437"/>
      <c r="J20" s="2437"/>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f>B20</f>
        <v>2</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150</v>
      </c>
      <c r="C27" s="2560" t="s">
        <v>2304</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190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0.05</v>
      </c>
      <c r="C33" s="2562" t="s">
        <v>3382</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2295</v>
      </c>
      <c r="D34" s="2457" t="s">
        <v>2301</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3400</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0.02</v>
      </c>
      <c r="C37" s="2562" t="s">
        <v>3383</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0.02</v>
      </c>
      <c r="C38" s="2562" t="s">
        <v>3384</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2310</v>
      </c>
      <c r="B40" s="1015">
        <f ca="1">IF(A40="利息：取LPR",存贷款利率!G1,存贷款利率!G1+C40)</f>
        <v>0.03</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5.5000000000000007E-2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5.000000000000001E-3</v>
      </c>
      <c r="C43" s="2451"/>
      <c r="D43" s="3163" t="s">
        <v>3429</v>
      </c>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0.05</v>
      </c>
      <c r="C44" s="2562" t="s">
        <v>3385</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2297</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2298</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2297</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2299</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29</v>
      </c>
      <c r="C53" s="2438" t="s">
        <v>1246</v>
      </c>
      <c r="D53" s="2563" t="s">
        <v>2303</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7" customFormat="1" ht="18" thickBot="1">
      <c r="A1" s="3260" t="s">
        <v>2286</v>
      </c>
      <c r="B1" s="3261"/>
      <c r="C1" s="3261"/>
      <c r="D1" s="3261"/>
      <c r="E1" s="3261"/>
      <c r="F1" s="3261"/>
      <c r="G1" s="3261"/>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7.200000000000003">
      <c r="A4" s="2246"/>
      <c r="B4" s="315" t="s">
        <v>2254</v>
      </c>
      <c r="C4" s="2267" t="s">
        <v>2255</v>
      </c>
      <c r="D4" s="2264"/>
      <c r="E4" s="2268"/>
      <c r="F4" s="1281" t="s">
        <v>2256</v>
      </c>
      <c r="G4" s="2269" t="s">
        <v>2257</v>
      </c>
      <c r="H4" s="751"/>
      <c r="I4" s="751"/>
      <c r="J4" s="751"/>
      <c r="K4" s="751"/>
      <c r="L4" s="751"/>
      <c r="M4" s="751"/>
      <c r="N4" s="751"/>
      <c r="O4" s="751"/>
      <c r="P4" s="751"/>
      <c r="Q4" s="751"/>
    </row>
    <row r="5" spans="1:29" ht="37.200000000000003">
      <c r="A5" s="2246"/>
      <c r="B5" s="315" t="s">
        <v>2258</v>
      </c>
      <c r="C5" s="2267" t="s">
        <v>2259</v>
      </c>
      <c r="D5" s="2264"/>
      <c r="E5" s="2268"/>
      <c r="F5" s="315" t="s">
        <v>2260</v>
      </c>
      <c r="G5" s="2269" t="s">
        <v>2261</v>
      </c>
      <c r="H5" s="751"/>
      <c r="I5" s="751"/>
      <c r="J5" s="751"/>
      <c r="K5" s="751"/>
      <c r="L5" s="751"/>
      <c r="M5" s="751"/>
      <c r="N5" s="751"/>
      <c r="O5" s="751"/>
      <c r="P5" s="751"/>
      <c r="Q5" s="751"/>
    </row>
    <row r="6" spans="1:29" ht="48">
      <c r="A6" s="2246"/>
      <c r="B6" s="315" t="s">
        <v>2262</v>
      </c>
      <c r="C6" s="2269" t="s">
        <v>2257</v>
      </c>
      <c r="D6" s="2264"/>
      <c r="E6" s="2268"/>
      <c r="F6" s="315" t="s">
        <v>2263</v>
      </c>
      <c r="G6" s="2269" t="s">
        <v>2264</v>
      </c>
      <c r="H6" s="751"/>
      <c r="I6" s="751"/>
      <c r="J6" s="751"/>
      <c r="K6" s="751"/>
      <c r="L6" s="751"/>
      <c r="M6" s="751"/>
      <c r="N6" s="751"/>
      <c r="O6" s="751"/>
      <c r="P6" s="751"/>
      <c r="Q6" s="751"/>
    </row>
    <row r="7" spans="1:29" ht="36.6" thickBot="1">
      <c r="A7" s="2246"/>
      <c r="B7" s="315" t="s">
        <v>2260</v>
      </c>
      <c r="C7" s="2269" t="s">
        <v>2261</v>
      </c>
      <c r="D7" s="2243"/>
      <c r="E7" s="2270"/>
      <c r="F7" s="2271" t="s">
        <v>2265</v>
      </c>
      <c r="G7" s="2272" t="s">
        <v>2266</v>
      </c>
      <c r="H7" s="751"/>
      <c r="I7" s="751"/>
      <c r="J7" s="751"/>
      <c r="K7" s="751"/>
      <c r="L7" s="751"/>
      <c r="M7" s="751"/>
      <c r="N7" s="751"/>
      <c r="O7" s="751"/>
      <c r="P7" s="751"/>
      <c r="Q7" s="751"/>
    </row>
    <row r="8" spans="1:29" ht="24">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4.4"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2287</v>
      </c>
      <c r="B13" s="2278"/>
      <c r="C13" s="2278"/>
      <c r="D13" s="2277"/>
      <c r="E13" s="2278"/>
      <c r="F13" s="2278"/>
      <c r="G13" s="2278"/>
    </row>
    <row r="14" spans="1:29" ht="14.4" thickBot="1">
      <c r="A14" s="2283"/>
      <c r="B14" s="2283"/>
      <c r="C14" s="2284" t="s">
        <v>2270</v>
      </c>
      <c r="D14" s="2264"/>
      <c r="E14" s="2285"/>
      <c r="F14" s="2285"/>
      <c r="G14" s="2260" t="s">
        <v>2271</v>
      </c>
    </row>
    <row r="15" spans="1:29" ht="52.8">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9.6">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9.6">
      <c r="A17" s="2250"/>
      <c r="B17" s="2289" t="s">
        <v>2258</v>
      </c>
      <c r="C17" s="2290" t="str">
        <f>C5</f>
        <v>估价对象位于XX商圈，周边办公楼项目较多，入驻率高，办公集聚程度较好</v>
      </c>
      <c r="D17" s="2243"/>
      <c r="E17" s="2251"/>
      <c r="F17" s="2291" t="s">
        <v>2275</v>
      </c>
      <c r="G17" s="2293"/>
    </row>
    <row r="18" spans="1:17" ht="52.8">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6.4">
      <c r="A19" s="2250"/>
      <c r="B19" s="2291" t="s">
        <v>2276</v>
      </c>
      <c r="C19" s="2293"/>
      <c r="D19" s="2264"/>
      <c r="E19" s="2251"/>
      <c r="F19" s="315" t="s">
        <v>2260</v>
      </c>
      <c r="G19" s="2292" t="str">
        <f>G5</f>
        <v>估价对象所在区域公共配套设施齐备情况</v>
      </c>
    </row>
    <row r="20" spans="1:17" ht="26.4">
      <c r="A20" s="2250"/>
      <c r="B20" s="2291" t="s">
        <v>2277</v>
      </c>
      <c r="C20" s="2290" t="str">
        <f>C9</f>
        <v>区域自然环境：；人文环境；综合评价环境状况一般</v>
      </c>
      <c r="D20" s="2243"/>
      <c r="E20" s="2251"/>
      <c r="F20" s="315" t="s">
        <v>2263</v>
      </c>
      <c r="G20" s="2292" t="str">
        <f>G6</f>
        <v>估价对象所在区域基础设施水平</v>
      </c>
    </row>
    <row r="21" spans="1:17" ht="26.4">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4.4"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4.4"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I34" sqref="I34"/>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66.63</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45814</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82</v>
      </c>
      <c r="C5" s="2298">
        <f ca="1">IF(B5=D14,结果表!H102,ROUND(B5*10000/$B$1,0))</f>
        <v>12344</v>
      </c>
      <c r="D5" s="2298" t="e">
        <f ca="1">ROUND(B5*10000/$B$2,0)</f>
        <v>#DIV/0!</v>
      </c>
      <c r="E5" s="2459"/>
      <c r="F5" s="2460"/>
      <c r="G5" s="2460"/>
      <c r="H5" s="2460"/>
      <c r="I5" s="2460"/>
      <c r="J5" s="2460"/>
      <c r="K5" s="2460"/>
    </row>
    <row r="6" spans="1:11" ht="15.6">
      <c r="A6" s="2298" t="s">
        <v>656</v>
      </c>
      <c r="B6" s="2298">
        <f ca="1">SUM(G14:G23)</f>
        <v>82</v>
      </c>
      <c r="C6" s="2298">
        <f ca="1">IF(B6=G14,结果表!H108,ROUND(B6*10000/$B$1,0))</f>
        <v>12344</v>
      </c>
      <c r="D6" s="2298" t="e">
        <f ca="1">ROUND(B6*10000/$B$2,0)</f>
        <v>#DIV/0!</v>
      </c>
      <c r="E6" s="2459"/>
      <c r="F6" s="2460"/>
      <c r="G6" s="2460"/>
      <c r="H6" s="2460"/>
      <c r="I6" s="2460"/>
      <c r="J6" s="2460"/>
      <c r="K6" s="2460"/>
    </row>
    <row r="7" spans="1:11" ht="15.6">
      <c r="A7" s="2298" t="s">
        <v>664</v>
      </c>
      <c r="B7" s="2298">
        <f>SUM(H14:H23)</f>
        <v>0</v>
      </c>
      <c r="C7" s="2298" t="str">
        <f>IF(B7=H14,结果表!H110,ROUND(B7*10000/$B$1,0))</f>
        <v>——</v>
      </c>
      <c r="D7" s="2298" t="e">
        <f>ROUND(B7*10000/$B$2,0)</f>
        <v>#DIV/0!</v>
      </c>
      <c r="E7" s="2459"/>
      <c r="F7" s="2460"/>
      <c r="G7" s="2460"/>
      <c r="H7" s="2460"/>
      <c r="I7" s="2460"/>
      <c r="J7" s="2460"/>
      <c r="K7" s="2460"/>
    </row>
    <row r="8" spans="1:11" ht="15.6">
      <c r="A8" s="2298" t="s">
        <v>587</v>
      </c>
      <c r="B8" s="2298">
        <f>SUM(I14:I23)</f>
        <v>0</v>
      </c>
      <c r="C8" s="2298" t="str">
        <f>IF(B8=I14,结果表!H112,ROUND(B8*10000/$B$1,0))</f>
        <v>——</v>
      </c>
      <c r="D8" s="2298" t="e">
        <f>ROUND(B8*10000/$B$2,0)</f>
        <v>#DIV/0!</v>
      </c>
      <c r="E8" s="2459"/>
      <c r="F8" s="24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3355</v>
      </c>
      <c r="D10" s="2298" t="s">
        <v>3356</v>
      </c>
      <c r="E10" s="3134"/>
      <c r="F10" s="3138" t="s">
        <v>3357</v>
      </c>
      <c r="G10" s="3135"/>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'数据-汇总表'!E19</f>
        <v>66.63</v>
      </c>
      <c r="C14" s="2304"/>
      <c r="D14" s="2304">
        <f ca="1">结果表!H101</f>
        <v>82</v>
      </c>
      <c r="E14" s="2304">
        <f ca="1">结果表!H102</f>
        <v>12344</v>
      </c>
      <c r="F14" s="2304" t="e">
        <f ca="1">ROUND(D14*10000/C14,0)</f>
        <v>#DIV/0!</v>
      </c>
      <c r="G14" s="2304">
        <f ca="1">结果表!H107</f>
        <v>82</v>
      </c>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C3" zoomScaleNormal="100" zoomScaleSheetLayoutView="100" zoomScalePageLayoutView="80" workbookViewId="0">
      <selection activeCell="I24" sqref="I24"/>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v>201</v>
      </c>
      <c r="D1" s="646"/>
      <c r="E1" s="646"/>
      <c r="F1" s="1621" t="s">
        <v>1263</v>
      </c>
      <c r="G1" s="1453"/>
      <c r="H1" s="1621" t="str">
        <f>IF(G1="现房","——","估价对象范围")</f>
        <v>估价对象范围</v>
      </c>
      <c r="I1" s="1622"/>
    </row>
    <row r="2" spans="1:12" ht="21.75" customHeight="1" thickBot="1">
      <c r="A2" s="3296" t="str">
        <f>项目基本情况!S2</f>
        <v>北京市房山区怡和北路5号院14号楼2层201房地产</v>
      </c>
      <c r="B2" s="3297"/>
      <c r="C2" s="3297"/>
      <c r="D2" s="3297"/>
      <c r="E2" s="3297"/>
      <c r="F2" s="3297"/>
      <c r="G2" s="3297"/>
      <c r="H2" s="3297"/>
      <c r="I2" s="3298"/>
    </row>
    <row r="3" spans="1:12" ht="13.2">
      <c r="A3" s="3300" t="s">
        <v>1264</v>
      </c>
      <c r="B3" s="3301"/>
      <c r="C3" s="3301"/>
      <c r="D3" s="3301"/>
      <c r="E3" s="3301"/>
      <c r="F3" s="3301"/>
      <c r="G3" s="3301"/>
      <c r="H3" s="3301"/>
      <c r="I3" s="3301"/>
    </row>
    <row r="4" spans="1:12" ht="14.4">
      <c r="A4" s="1624" t="s">
        <v>1265</v>
      </c>
      <c r="B4" s="1625" t="s">
        <v>1266</v>
      </c>
      <c r="C4" s="1626" t="s">
        <v>3488</v>
      </c>
      <c r="D4" s="1626" t="s">
        <v>3430</v>
      </c>
      <c r="E4" s="3302" t="s">
        <v>1267</v>
      </c>
      <c r="F4" s="3303"/>
      <c r="G4" s="3303"/>
      <c r="H4" s="3303"/>
      <c r="I4" s="3304"/>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76" t="s">
        <v>1268</v>
      </c>
      <c r="B5" s="3263">
        <v>25</v>
      </c>
      <c r="C5" s="3279"/>
      <c r="D5" s="3299"/>
      <c r="E5" s="123" t="s">
        <v>1269</v>
      </c>
      <c r="F5" s="1627"/>
      <c r="G5" s="1627"/>
      <c r="H5" s="1627"/>
      <c r="I5" s="1281"/>
    </row>
    <row r="6" spans="1:12" ht="13.2">
      <c r="A6" s="3276"/>
      <c r="B6" s="3263"/>
      <c r="C6" s="3280"/>
      <c r="D6" s="3299"/>
      <c r="E6" s="123" t="s">
        <v>1270</v>
      </c>
      <c r="F6" s="1627"/>
      <c r="G6" s="1627"/>
      <c r="H6" s="1627"/>
      <c r="I6" s="1281"/>
    </row>
    <row r="7" spans="1:12" ht="13.2">
      <c r="A7" s="3276"/>
      <c r="B7" s="3263"/>
      <c r="C7" s="3281"/>
      <c r="D7" s="3299"/>
      <c r="E7" s="123" t="s">
        <v>1271</v>
      </c>
      <c r="F7" s="1627"/>
      <c r="G7" s="1627"/>
      <c r="H7" s="1627"/>
      <c r="I7" s="1281"/>
    </row>
    <row r="8" spans="1:12" ht="13.2">
      <c r="A8" s="3276" t="s">
        <v>1272</v>
      </c>
      <c r="B8" s="3263">
        <v>15</v>
      </c>
      <c r="C8" s="3279"/>
      <c r="D8" s="3299"/>
      <c r="E8" s="123" t="s">
        <v>1273</v>
      </c>
      <c r="F8" s="1627"/>
      <c r="G8" s="1627"/>
      <c r="H8" s="1627"/>
      <c r="I8" s="1281"/>
    </row>
    <row r="9" spans="1:12" ht="13.2">
      <c r="A9" s="3276"/>
      <c r="B9" s="3263"/>
      <c r="C9" s="3281"/>
      <c r="D9" s="3299"/>
      <c r="E9" s="123" t="s">
        <v>1274</v>
      </c>
      <c r="F9" s="1627"/>
      <c r="G9" s="1627"/>
      <c r="H9" s="1627"/>
      <c r="I9" s="1281"/>
    </row>
    <row r="10" spans="1:12" ht="13.2">
      <c r="A10" s="3276" t="s">
        <v>1275</v>
      </c>
      <c r="B10" s="3263">
        <v>15</v>
      </c>
      <c r="C10" s="3279"/>
      <c r="D10" s="3299"/>
      <c r="E10" s="123" t="s">
        <v>1276</v>
      </c>
      <c r="F10" s="1627"/>
      <c r="G10" s="1627"/>
      <c r="H10" s="1627"/>
      <c r="I10" s="1281"/>
    </row>
    <row r="11" spans="1:12" ht="13.2">
      <c r="A11" s="3276"/>
      <c r="B11" s="3263"/>
      <c r="C11" s="3281"/>
      <c r="D11" s="3299"/>
      <c r="E11" s="123" t="s">
        <v>1277</v>
      </c>
      <c r="F11" s="1627"/>
      <c r="G11" s="1627"/>
      <c r="H11" s="1627"/>
      <c r="I11" s="1281"/>
    </row>
    <row r="12" spans="1:12" ht="13.2">
      <c r="A12" s="3276" t="s">
        <v>1278</v>
      </c>
      <c r="B12" s="3263">
        <v>15</v>
      </c>
      <c r="C12" s="3279"/>
      <c r="D12" s="3299"/>
      <c r="E12" s="123" t="s">
        <v>1279</v>
      </c>
      <c r="F12" s="1627"/>
      <c r="G12" s="1627"/>
      <c r="H12" s="1627"/>
      <c r="I12" s="1281"/>
    </row>
    <row r="13" spans="1:12" ht="13.2">
      <c r="A13" s="3276"/>
      <c r="B13" s="3263"/>
      <c r="C13" s="3281"/>
      <c r="D13" s="3299"/>
      <c r="E13" s="123" t="s">
        <v>1280</v>
      </c>
      <c r="F13" s="1627"/>
      <c r="G13" s="1627"/>
      <c r="H13" s="1627"/>
      <c r="I13" s="1281"/>
    </row>
    <row r="14" spans="1:12" ht="13.2">
      <c r="A14" s="3276" t="s">
        <v>1281</v>
      </c>
      <c r="B14" s="3263">
        <v>30</v>
      </c>
      <c r="C14" s="3279">
        <v>6</v>
      </c>
      <c r="D14" s="3299">
        <v>4</v>
      </c>
      <c r="E14" s="123" t="s">
        <v>1282</v>
      </c>
      <c r="F14" s="1627"/>
      <c r="G14" s="1627"/>
      <c r="H14" s="1627"/>
      <c r="I14" s="1281"/>
    </row>
    <row r="15" spans="1:12" ht="13.2">
      <c r="A15" s="3276"/>
      <c r="B15" s="3263"/>
      <c r="C15" s="3280"/>
      <c r="D15" s="3299"/>
      <c r="E15" s="123" t="s">
        <v>1283</v>
      </c>
      <c r="F15" s="1627"/>
      <c r="G15" s="1627"/>
      <c r="H15" s="1627"/>
      <c r="I15" s="1281"/>
    </row>
    <row r="16" spans="1:12" ht="13.2">
      <c r="A16" s="3276"/>
      <c r="B16" s="3263"/>
      <c r="C16" s="3281"/>
      <c r="D16" s="3299"/>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286" t="s">
        <v>2131</v>
      </c>
      <c r="F18" s="3287"/>
      <c r="G18" s="3287"/>
      <c r="H18" s="3287"/>
      <c r="I18" s="3287"/>
      <c r="K18" s="294" t="s">
        <v>1289</v>
      </c>
      <c r="L18" s="294">
        <f>IF(C1="",'数据-汇总表'!E3,SUMIF(项目类型,C1,'数据-汇总表'!E17:E26)+SUMIF(项目类型,C1,'数据-汇总表'!I17:I26))</f>
        <v>66.63</v>
      </c>
      <c r="M18" s="294">
        <f>IF(C1="",'数据-汇总表'!E3,SUMIF(项目类型,C1,'数据-汇总表'!E17:E26))</f>
        <v>66.63</v>
      </c>
    </row>
    <row r="19" spans="1:36" ht="14.4">
      <c r="A19" s="1630" t="s">
        <v>1290</v>
      </c>
      <c r="B19" s="1631" t="s">
        <v>1291</v>
      </c>
      <c r="C19" s="126">
        <f ca="1">SUMIF(INDIRECT("'"&amp;C4&amp;"'"&amp;"!A:A"),结果表!B19,INDIRECT("'"&amp;C4&amp;"'"&amp;"!B:B"))</f>
        <v>105.7218</v>
      </c>
      <c r="D19" s="127">
        <f ca="1">SUMIF(INDIRECT("'"&amp;D4&amp;"'"&amp;"!A:A"),结果表!B19,INDIRECT("'"&amp;D4&amp;"'"&amp;"!B:B"))</f>
        <v>47.0396</v>
      </c>
      <c r="E19" s="1630" t="s">
        <v>1292</v>
      </c>
      <c r="F19" s="1631" t="s">
        <v>1291</v>
      </c>
      <c r="G19" s="128">
        <f ca="1">ROUND(C19*$C$18+D19*$D$18,0)</f>
        <v>82</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15867</v>
      </c>
      <c r="D20" s="130">
        <f ca="1">SUMIF(INDIRECT("'"&amp;D4&amp;"'"&amp;"!A:A"),结果表!B20,INDIRECT("'"&amp;D4&amp;"'"&amp;"!B:B"))</f>
        <v>7060</v>
      </c>
      <c r="E20" s="1633"/>
      <c r="F20" s="43" t="s">
        <v>1295</v>
      </c>
      <c r="G20" s="131">
        <f ca="1">ROUND(C20*$C$18+D20*$D$18,0)</f>
        <v>12344</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1.2475063563465678</v>
      </c>
      <c r="E22" s="121"/>
      <c r="F22" s="121"/>
      <c r="G22" s="121"/>
      <c r="H22" s="121"/>
      <c r="I22" s="121"/>
    </row>
    <row r="23" spans="1:36" ht="13.8" thickBot="1">
      <c r="A23" s="646"/>
      <c r="B23" s="646"/>
      <c r="C23" s="646"/>
      <c r="D23" s="646"/>
      <c r="E23" s="121"/>
      <c r="F23" s="3173" t="s">
        <v>3506</v>
      </c>
      <c r="G23" s="1346" t="s">
        <v>3507</v>
      </c>
      <c r="H23" s="121"/>
      <c r="I23" s="121"/>
    </row>
    <row r="24" spans="1:36" ht="14.4">
      <c r="A24" s="3270" t="s">
        <v>1299</v>
      </c>
      <c r="B24" s="1631" t="s">
        <v>1291</v>
      </c>
      <c r="C24" s="128">
        <f>IF(B30=0,0,D30)</f>
        <v>0</v>
      </c>
      <c r="D24" s="1637"/>
      <c r="E24" s="121"/>
      <c r="F24" s="121"/>
      <c r="G24" s="121"/>
      <c r="H24" s="121"/>
      <c r="I24" s="121"/>
    </row>
    <row r="25" spans="1:36" ht="14.4">
      <c r="A25" s="327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 customHeight="1" thickTop="1" thickBot="1">
      <c r="A31" s="2127"/>
      <c r="B31" s="2128"/>
      <c r="C31" s="2128"/>
      <c r="D31" s="2128"/>
      <c r="E31" s="2128"/>
      <c r="F31" s="2128"/>
      <c r="G31" s="2128"/>
      <c r="H31" s="2128"/>
      <c r="I31" s="2129" t="s">
        <v>2133</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1305</v>
      </c>
      <c r="B32" s="1535"/>
      <c r="C32" s="136">
        <f ca="1">IF(D32="总价",G19-C24,G20-C25)</f>
        <v>12344</v>
      </c>
      <c r="D32" s="1641" t="s">
        <v>3489</v>
      </c>
      <c r="E32" s="121"/>
      <c r="F32" s="121"/>
      <c r="G32" s="121"/>
      <c r="H32" s="121"/>
      <c r="I32" s="121"/>
    </row>
    <row r="33" spans="1:15" ht="14.4">
      <c r="A33" s="740" t="s">
        <v>1306</v>
      </c>
      <c r="B33" s="123"/>
      <c r="C33" s="1642" t="s">
        <v>3490</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90" t="s">
        <v>1312</v>
      </c>
      <c r="B36" s="1652" t="s">
        <v>1313</v>
      </c>
      <c r="C36" s="137"/>
      <c r="D36" s="1653"/>
      <c r="E36" s="1567"/>
      <c r="F36" s="1654"/>
      <c r="G36" s="121"/>
      <c r="H36" s="121"/>
      <c r="I36" s="121"/>
    </row>
    <row r="37" spans="1:15" ht="15" thickBot="1">
      <c r="A37" s="3291"/>
      <c r="B37" s="1555" t="s">
        <v>1314</v>
      </c>
      <c r="C37" s="139"/>
      <c r="D37" s="1071"/>
      <c r="E37" s="1071"/>
      <c r="F37" s="1654"/>
      <c r="G37" s="121"/>
      <c r="H37" s="121"/>
      <c r="I37" s="121"/>
    </row>
    <row r="38" spans="1:15" ht="15" thickBot="1">
      <c r="A38" s="3292"/>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67" t="s">
        <v>1326</v>
      </c>
      <c r="B45" s="3268"/>
      <c r="C45" s="3269"/>
      <c r="D45" s="147">
        <f ca="1">ROUND(H101*F45,0)</f>
        <v>82</v>
      </c>
      <c r="E45" s="148" t="s">
        <v>1327</v>
      </c>
      <c r="F45" s="149">
        <v>1</v>
      </c>
      <c r="G45" s="150" t="s">
        <v>1328</v>
      </c>
      <c r="H45" s="121"/>
      <c r="I45" s="121"/>
      <c r="J45" s="3345" t="s">
        <v>1329</v>
      </c>
      <c r="K45" s="3345"/>
      <c r="L45" s="3345"/>
      <c r="M45" s="3345"/>
      <c r="N45" s="3345"/>
      <c r="O45" s="3345"/>
    </row>
    <row r="46" spans="1:15" ht="14.25" customHeight="1">
      <c r="A46" s="3264" t="s">
        <v>1330</v>
      </c>
      <c r="B46" s="3265"/>
      <c r="C46" s="3265"/>
      <c r="D46" s="3265"/>
      <c r="E46" s="3265"/>
      <c r="F46" s="3265"/>
      <c r="G46" s="3266"/>
      <c r="H46" s="1668"/>
      <c r="I46" s="151"/>
      <c r="J46" s="2308">
        <v>1</v>
      </c>
      <c r="K46" s="3326" t="s">
        <v>1331</v>
      </c>
      <c r="L46" s="3326"/>
      <c r="M46" s="3346"/>
      <c r="N46" s="3346"/>
      <c r="O46" s="3346"/>
    </row>
    <row r="47" spans="1:15" ht="12" customHeight="1">
      <c r="A47" s="152" t="s">
        <v>1332</v>
      </c>
      <c r="B47" s="153"/>
      <c r="C47" s="154"/>
      <c r="D47" s="1024" t="s">
        <v>1333</v>
      </c>
      <c r="E47" s="294" t="s">
        <v>1334</v>
      </c>
      <c r="F47" s="155" t="s">
        <v>1335</v>
      </c>
      <c r="G47" s="2331" t="s">
        <v>1336</v>
      </c>
      <c r="H47" s="2332"/>
      <c r="I47" s="151"/>
      <c r="J47" s="2308">
        <v>2</v>
      </c>
      <c r="K47" s="3326" t="s">
        <v>1337</v>
      </c>
      <c r="L47" s="3326"/>
      <c r="M47" s="3347">
        <f>'数据-取费表'!B2</f>
        <v>45814</v>
      </c>
      <c r="N47" s="3347"/>
      <c r="O47" s="3347"/>
    </row>
    <row r="48" spans="1:15" ht="26.4">
      <c r="A48" s="3295" t="s">
        <v>1338</v>
      </c>
      <c r="B48" s="3278"/>
      <c r="C48" s="3278"/>
      <c r="D48" s="12" t="b">
        <f>IF(H48="情况1",0,IF(H48="情况2",D52,IF(H48="情况3",D53,IF(H48="情况4",D54))))</f>
        <v>0</v>
      </c>
      <c r="E48" s="1256" t="str">
        <f>IF(H48="情况4","(销售额-原购置价)×税（费）率","销售额×税（费）率")</f>
        <v>销售额×税（费）率</v>
      </c>
      <c r="F48" s="2333">
        <f>IF(H48="情况1","免征",'数据-取费表'!B41)</f>
        <v>5.5000000000000007E-2</v>
      </c>
      <c r="G48" s="2334" t="s">
        <v>1339</v>
      </c>
      <c r="H48" s="2335"/>
      <c r="I48" s="1668"/>
      <c r="J48" s="2308">
        <v>3</v>
      </c>
      <c r="K48" s="3326" t="s">
        <v>1340</v>
      </c>
      <c r="L48" s="3326"/>
      <c r="M48" s="3348">
        <f ca="1">H101</f>
        <v>82</v>
      </c>
      <c r="N48" s="3348"/>
      <c r="O48" s="3348"/>
    </row>
    <row r="49" spans="1:35" ht="25.5" customHeight="1">
      <c r="A49" s="2151" t="s">
        <v>1341</v>
      </c>
      <c r="B49" s="3262" t="s">
        <v>1342</v>
      </c>
      <c r="C49" s="3262"/>
      <c r="D49" s="1478">
        <v>0</v>
      </c>
      <c r="E49" s="316" t="s">
        <v>1343</v>
      </c>
      <c r="F49" s="2231" t="s">
        <v>28</v>
      </c>
      <c r="G49" s="3332"/>
      <c r="H49" s="2133" t="s">
        <v>2134</v>
      </c>
      <c r="I49" s="2134"/>
      <c r="J49" s="2308">
        <v>4</v>
      </c>
      <c r="K49" s="3326" t="str">
        <f>IF(项目基本情况!E8="房地产抵押价值","房地产抵押价值","抵押担保权已注销时的房地产抵押价值")</f>
        <v>房地产抵押价值</v>
      </c>
      <c r="L49" s="3326"/>
      <c r="M49" s="3348">
        <f ca="1">IF(项目基本情况!E8="房地产抵押价值",H107,H109)</f>
        <v>82</v>
      </c>
      <c r="N49" s="3348"/>
      <c r="O49" s="3348"/>
    </row>
    <row r="50" spans="1:35" ht="25.5" customHeight="1">
      <c r="A50" s="2336"/>
      <c r="B50" s="3262" t="s">
        <v>1344</v>
      </c>
      <c r="C50" s="3262"/>
      <c r="D50" s="2188"/>
      <c r="E50" s="323"/>
      <c r="F50" s="2231"/>
      <c r="G50" s="3333"/>
      <c r="H50" s="2135" t="s">
        <v>2135</v>
      </c>
      <c r="I50" s="2134"/>
      <c r="J50" s="3345" t="s">
        <v>1345</v>
      </c>
      <c r="K50" s="3345"/>
      <c r="L50" s="3345"/>
      <c r="M50" s="3345"/>
      <c r="N50" s="3345"/>
      <c r="O50" s="3345"/>
    </row>
    <row r="51" spans="1:35" ht="20.399999999999999" customHeight="1">
      <c r="A51" s="2337"/>
      <c r="B51" s="3262" t="s">
        <v>1346</v>
      </c>
      <c r="C51" s="3262"/>
      <c r="D51" s="1024"/>
      <c r="E51" s="319"/>
      <c r="F51" s="2231"/>
      <c r="G51" s="3334"/>
      <c r="H51" s="2135" t="s">
        <v>2136</v>
      </c>
      <c r="I51" s="2134"/>
      <c r="J51" s="2309" t="s">
        <v>1347</v>
      </c>
      <c r="K51" s="3326" t="s">
        <v>1348</v>
      </c>
      <c r="L51" s="3326"/>
      <c r="M51" s="2309" t="s">
        <v>1349</v>
      </c>
      <c r="N51" s="2309" t="s">
        <v>1350</v>
      </c>
      <c r="O51" s="2309" t="s">
        <v>1351</v>
      </c>
    </row>
    <row r="52" spans="1:35" ht="24" customHeight="1">
      <c r="A52" s="2152" t="s">
        <v>1352</v>
      </c>
      <c r="B52" s="3262" t="s">
        <v>1353</v>
      </c>
      <c r="C52" s="3262"/>
      <c r="D52" s="1024">
        <f ca="1">ROUND(D45*'数据-取费表'!B41/(1+'数据-取费表'!C42),0)</f>
        <v>4</v>
      </c>
      <c r="E52" s="1256" t="s">
        <v>1354</v>
      </c>
      <c r="F52" s="2338">
        <f>'数据-取费表'!B41</f>
        <v>5.5000000000000007E-2</v>
      </c>
      <c r="G52" s="2339"/>
      <c r="H52" s="2329"/>
      <c r="I52" s="1669"/>
      <c r="J52" s="2308">
        <v>1</v>
      </c>
      <c r="K52" s="3327" t="s">
        <v>1355</v>
      </c>
      <c r="L52" s="3327"/>
      <c r="M52" s="2310" t="b">
        <f>D48</f>
        <v>0</v>
      </c>
      <c r="N52" s="2308" t="str">
        <f>E48</f>
        <v>销售额×税（费）率</v>
      </c>
      <c r="O52" s="2311">
        <f>F48</f>
        <v>5.5000000000000007E-2</v>
      </c>
    </row>
    <row r="53" spans="1:35" ht="12" customHeight="1">
      <c r="A53" s="2152" t="s">
        <v>1356</v>
      </c>
      <c r="B53" s="3288" t="s">
        <v>2291</v>
      </c>
      <c r="C53" s="3289"/>
      <c r="D53" s="1024">
        <f ca="1">ROUND(D45*'数据-取费表'!B41/(1+'数据-取费表'!C42),0)</f>
        <v>4</v>
      </c>
      <c r="E53" s="1256" t="s">
        <v>1354</v>
      </c>
      <c r="F53" s="2338">
        <f>'数据-取费表'!B41</f>
        <v>5.5000000000000007E-2</v>
      </c>
      <c r="G53" s="2339"/>
      <c r="H53" s="2329"/>
      <c r="I53" s="1669"/>
      <c r="J53" s="2308">
        <v>2</v>
      </c>
      <c r="K53" s="3327" t="s">
        <v>1357</v>
      </c>
      <c r="L53" s="3327"/>
      <c r="M53" s="2310">
        <f t="shared" ref="M53:O54" ca="1" si="0">D55</f>
        <v>0</v>
      </c>
      <c r="N53" s="2308" t="str">
        <f t="shared" si="0"/>
        <v>销售额×税（费）率</v>
      </c>
      <c r="O53" s="2311" t="str">
        <f t="shared" si="0"/>
        <v>免征</v>
      </c>
    </row>
    <row r="54" spans="1:35" ht="12" customHeight="1">
      <c r="A54" s="2152" t="s">
        <v>1358</v>
      </c>
      <c r="B54" s="3288" t="s">
        <v>2292</v>
      </c>
      <c r="C54" s="3289"/>
      <c r="D54" s="1024">
        <f ca="1">C68</f>
        <v>4</v>
      </c>
      <c r="E54" s="319" t="s">
        <v>1359</v>
      </c>
      <c r="F54" s="2338">
        <f>'数据-取费表'!B41</f>
        <v>5.5000000000000007E-2</v>
      </c>
      <c r="G54" s="2339"/>
      <c r="H54" s="2340"/>
      <c r="I54" s="1669"/>
      <c r="J54" s="2308">
        <v>3</v>
      </c>
      <c r="K54" s="3327" t="s">
        <v>1360</v>
      </c>
      <c r="L54" s="3327"/>
      <c r="M54" s="2310" t="e">
        <f t="shared" ca="1" si="0"/>
        <v>#DIV/0!</v>
      </c>
      <c r="N54" s="2308" t="str">
        <f t="shared" si="0"/>
        <v>增值额×税（费）率</v>
      </c>
      <c r="O54" s="2312" t="str">
        <f t="shared" si="0"/>
        <v>免征</v>
      </c>
    </row>
    <row r="55" spans="1:35" ht="24" customHeight="1">
      <c r="A55" s="3277" t="s">
        <v>1361</v>
      </c>
      <c r="B55" s="3278"/>
      <c r="C55" s="3278"/>
      <c r="D55" s="12">
        <f ca="1">IF(H55="个人住宅",0,ROUND(D45*I55,0))</f>
        <v>0</v>
      </c>
      <c r="E55" s="1256" t="s">
        <v>1362</v>
      </c>
      <c r="F55" s="2338" t="str">
        <f>IF(H55="正常",I55,"免征")</f>
        <v>免征</v>
      </c>
      <c r="G55" s="2339"/>
      <c r="H55" s="2335"/>
      <c r="I55" s="157">
        <f>'数据-取费表'!B49</f>
        <v>5.0000000000000001E-4</v>
      </c>
      <c r="J55" s="2308">
        <f>IF(H59="非个人房产","",4)</f>
        <v>4</v>
      </c>
      <c r="K55" s="3327" t="str">
        <f>IF(H59="非个人房产","——","个人所得税")</f>
        <v>个人所得税</v>
      </c>
      <c r="L55" s="3327"/>
      <c r="M55" s="2313">
        <f ca="1">D59</f>
        <v>1</v>
      </c>
      <c r="N55" s="1883" t="str">
        <f>E59</f>
        <v>差额计税</v>
      </c>
      <c r="O55" s="2314">
        <f>F59</f>
        <v>0.01</v>
      </c>
    </row>
    <row r="56" spans="1:35" ht="25.2">
      <c r="A56" s="3277" t="s">
        <v>1363</v>
      </c>
      <c r="B56" s="3278"/>
      <c r="C56" s="3278"/>
      <c r="D56" s="12" t="e">
        <f ca="1">IF(H56="个人住宅",D57,D58)</f>
        <v>#DIV/0!</v>
      </c>
      <c r="E56" s="1256" t="s">
        <v>1364</v>
      </c>
      <c r="F56" s="2338" t="str">
        <f>IF(H56="正常",F58,"免征")</f>
        <v>免征</v>
      </c>
      <c r="G56" s="2341" t="s">
        <v>1365</v>
      </c>
      <c r="H56" s="2342"/>
      <c r="I56" s="1670"/>
      <c r="J56" s="2308" t="str">
        <f>IF(项目基本情况!K6="上海银行",IF(J55="",4,J55+1),"")</f>
        <v/>
      </c>
      <c r="K56" s="3350" t="str">
        <f>IF(项目基本情况!K6="上海银行","其他处置费用","")</f>
        <v/>
      </c>
      <c r="L56" s="3351"/>
      <c r="M56" s="2310" t="str">
        <f>IF(项目基本情况!K6="上海银行",M69,"")</f>
        <v/>
      </c>
      <c r="N56" s="3350" t="str">
        <f>IF(项目基本情况!K6="上海银行","包含处置中涉及的律师、诉讼、拍卖、评估等费用","")</f>
        <v/>
      </c>
      <c r="O56" s="3353"/>
    </row>
    <row r="57" spans="1:35" ht="13.2">
      <c r="A57" s="2152" t="s">
        <v>1341</v>
      </c>
      <c r="B57" s="3288" t="s">
        <v>1366</v>
      </c>
      <c r="C57" s="3289"/>
      <c r="D57" s="1478">
        <v>0</v>
      </c>
      <c r="E57" s="316" t="s">
        <v>1343</v>
      </c>
      <c r="F57" s="294"/>
      <c r="G57" s="2339"/>
      <c r="H57" s="2343"/>
      <c r="I57" s="1670"/>
      <c r="J57" s="3327">
        <f>IF(AND(J55="",J56=""),4,IF(项目基本情况!K6="上海银行",结果表!J56+1,结果表!J55+1))</f>
        <v>5</v>
      </c>
      <c r="K57" s="3327" t="s">
        <v>1367</v>
      </c>
      <c r="L57" s="2315" t="s">
        <v>1368</v>
      </c>
      <c r="M57" s="2316"/>
      <c r="N57" s="2317">
        <f ca="1">SUMIF(M52:M56,"&lt;9e307")</f>
        <v>1</v>
      </c>
      <c r="O57" s="2318"/>
      <c r="P57" s="2462">
        <f ca="1">N57/M49</f>
        <v>1.2195121951219513E-2</v>
      </c>
    </row>
    <row r="58" spans="1:35" ht="25.2">
      <c r="A58" s="2152" t="s">
        <v>1352</v>
      </c>
      <c r="B58" s="3288" t="s">
        <v>1369</v>
      </c>
      <c r="C58" s="3262"/>
      <c r="D58" s="12" t="e">
        <f ca="1">IF(H58="转让取得",C81,C97)</f>
        <v>#DIV/0!</v>
      </c>
      <c r="E58" s="1256" t="s">
        <v>1364</v>
      </c>
      <c r="F58" s="294" t="s">
        <v>28</v>
      </c>
      <c r="G58" s="2339"/>
      <c r="H58" s="2342"/>
      <c r="I58" s="1670"/>
      <c r="J58" s="3327"/>
      <c r="K58" s="3327"/>
      <c r="L58" s="2315" t="s">
        <v>1370</v>
      </c>
      <c r="M58" s="2319"/>
      <c r="N58" s="2320" t="str">
        <f ca="1">NUMBERSTRING(INT(N57*10000),2)&amp;"元整"</f>
        <v>壹万元整</v>
      </c>
      <c r="O58" s="2321"/>
    </row>
    <row r="59" spans="1:35" ht="24.6" thickBot="1">
      <c r="A59" s="3330" t="s">
        <v>1371</v>
      </c>
      <c r="B59" s="3331"/>
      <c r="C59" s="3331"/>
      <c r="D59" s="2344">
        <f ca="1">IF(H59="非个人房产","——",IF(H59="个人住宅（满五唯一有凭证）",0,IF(H59="个人其他（无凭证）",ROUND(D45*F59,0),ROUND(C67*F59,0))))</f>
        <v>1</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328">
        <f>J57+1</f>
        <v>6</v>
      </c>
      <c r="K59" s="3327" t="s">
        <v>1372</v>
      </c>
      <c r="L59" s="2308" t="s">
        <v>1368</v>
      </c>
      <c r="M59" s="2322"/>
      <c r="N59" s="2323">
        <f ca="1">M49-N57</f>
        <v>81</v>
      </c>
      <c r="O59" s="2324"/>
    </row>
    <row r="60" spans="1:35" ht="12" customHeight="1">
      <c r="A60" s="1671"/>
      <c r="B60" s="646"/>
      <c r="C60" s="646"/>
      <c r="D60" s="646"/>
      <c r="E60" s="1466"/>
      <c r="F60" s="1670"/>
      <c r="G60" s="1670"/>
      <c r="H60" s="151"/>
      <c r="I60" s="121"/>
      <c r="J60" s="3329"/>
      <c r="K60" s="3327"/>
      <c r="L60" s="2315" t="s">
        <v>1370</v>
      </c>
      <c r="M60" s="2319"/>
      <c r="N60" s="2320" t="str">
        <f ca="1">NUMBERSTRING(INT(N59*10000),2)&amp;"元整"</f>
        <v>捌拾壹万元整</v>
      </c>
      <c r="O60" s="2321"/>
    </row>
    <row r="61" spans="1:35" ht="13.8" thickBot="1">
      <c r="A61" s="3275" t="s">
        <v>1373</v>
      </c>
      <c r="B61" s="3275"/>
      <c r="C61" s="3275"/>
      <c r="D61" s="3275"/>
      <c r="E61" s="3275"/>
      <c r="F61" s="1670"/>
      <c r="G61" s="1670"/>
      <c r="H61" s="151"/>
      <c r="I61" s="121"/>
      <c r="J61" s="2308">
        <f>J59+1</f>
        <v>7</v>
      </c>
      <c r="K61" s="3327" t="s">
        <v>1374</v>
      </c>
      <c r="L61" s="3327"/>
      <c r="M61" s="2325"/>
      <c r="N61" s="2326">
        <f ca="1">ROUND(N59*10000/'数据-汇总表'!E3,0)</f>
        <v>12157</v>
      </c>
      <c r="O61" s="2327"/>
    </row>
    <row r="62" spans="1:35" ht="13.2">
      <c r="A62" s="3293" t="s">
        <v>1375</v>
      </c>
      <c r="B62" s="3294"/>
      <c r="C62" s="1865"/>
      <c r="D62" s="1865" t="s">
        <v>1376</v>
      </c>
      <c r="E62" s="158" t="s">
        <v>1377</v>
      </c>
      <c r="F62" s="1670"/>
      <c r="G62" s="1670"/>
      <c r="H62" s="151"/>
      <c r="I62" s="121"/>
    </row>
    <row r="63" spans="1:35" ht="13.2">
      <c r="A63" s="165" t="s">
        <v>330</v>
      </c>
      <c r="B63" s="159" t="s">
        <v>1378</v>
      </c>
      <c r="C63" s="2348">
        <f ca="1">ROUND((C64+C65)/(1+'数据-取费表'!C42),0)</f>
        <v>78</v>
      </c>
      <c r="D63" s="159"/>
      <c r="E63" s="160"/>
      <c r="F63" s="1670"/>
      <c r="G63" s="1670"/>
      <c r="H63" s="151"/>
      <c r="I63" s="121"/>
      <c r="J63" s="3352" t="s">
        <v>1379</v>
      </c>
      <c r="K63" s="1245" t="s">
        <v>1380</v>
      </c>
      <c r="L63" s="1245">
        <f ca="1">IF(M49&gt;10000,M49*0.5%,IF(AND(M49&gt;1000,M49&lt;=10000),M49*1%,IF(AND(M49&gt;100,M49&lt;=1000),M49*3%,IF(AND(M49&gt;10,M49&lt;=100),M49*5%,M49*8%))))</f>
        <v>4.1000000000000005</v>
      </c>
      <c r="M63" s="294">
        <f ca="1">ROUND(L63,1)</f>
        <v>4.0999999999999996</v>
      </c>
      <c r="N63" s="2328"/>
      <c r="Z63" s="1623"/>
      <c r="AI63" s="1561"/>
    </row>
    <row r="64" spans="1:35" ht="14.25" customHeight="1">
      <c r="A64" s="161" t="s">
        <v>325</v>
      </c>
      <c r="B64" s="162" t="s">
        <v>1381</v>
      </c>
      <c r="C64" s="2349">
        <f ca="1">D45</f>
        <v>82</v>
      </c>
      <c r="D64" s="162" t="s">
        <v>26</v>
      </c>
      <c r="E64" s="164"/>
      <c r="F64" s="1670"/>
      <c r="G64" s="1670"/>
      <c r="H64" s="151"/>
      <c r="I64" s="121"/>
      <c r="J64" s="3352"/>
      <c r="K64" s="1245" t="s">
        <v>1382</v>
      </c>
      <c r="L64" s="1245">
        <f ca="1">IF(M49&gt;2000,M49*0.5%,IF(AND(M49&gt;1000,M49&lt;=2000),M49*0.6%,IF(AND(M49&gt;500,M49&lt;=1000),M49*0.7%,IF(AND(M49&gt;200,M49&lt;=500),M49*0.8%,IF(AND(M49&gt;100,M49&lt;=200),M49*0.9%,IF(AND(M49&gt;50,M49&lt;=100),M49*1%,IF(AND(M49&gt;20,M49&lt;=50),M49*1.5%,IF(AND(M49&gt;10,M49&lt;=20),M49*2%,IF(AND(M49&gt;1,M49&lt;=10),M49*2.5%)))))))))</f>
        <v>0.82000000000000006</v>
      </c>
      <c r="M64" s="294">
        <f t="shared" ref="M64:M65" ca="1" si="1">ROUND(L64,1)</f>
        <v>0.8</v>
      </c>
      <c r="N64" s="2329" t="s">
        <v>1383</v>
      </c>
      <c r="Z64" s="1623"/>
      <c r="AI64" s="1561"/>
    </row>
    <row r="65" spans="1:35" ht="14.25" customHeight="1">
      <c r="A65" s="161" t="s">
        <v>326</v>
      </c>
      <c r="B65" s="162" t="s">
        <v>1384</v>
      </c>
      <c r="C65" s="2350"/>
      <c r="D65" s="162"/>
      <c r="E65" s="164"/>
      <c r="F65" s="1670"/>
      <c r="G65" s="1670"/>
      <c r="H65" s="151"/>
      <c r="I65" s="121"/>
      <c r="J65" s="3352"/>
      <c r="K65" s="1245" t="s">
        <v>1385</v>
      </c>
      <c r="L65" s="1245">
        <f ca="1">IF(M49&gt;1000,M49*0.1%,IF(AND(M49&gt;500,M49&lt;=1000),M49*0.5%,IF(AND(M49&gt;50,M49&lt;=500),M49*1%,IF(AND(M49&gt;1,M49&lt;=50),M49*1.5%))))</f>
        <v>0.82000000000000006</v>
      </c>
      <c r="M65" s="294">
        <f t="shared" ca="1" si="1"/>
        <v>0.8</v>
      </c>
      <c r="N65" s="2329" t="s">
        <v>1383</v>
      </c>
      <c r="Z65" s="1623"/>
      <c r="AI65" s="1561"/>
    </row>
    <row r="66" spans="1:35" ht="14.25" customHeight="1">
      <c r="A66" s="165" t="s">
        <v>327</v>
      </c>
      <c r="B66" s="166" t="s">
        <v>1386</v>
      </c>
      <c r="C66" s="2351"/>
      <c r="D66" s="166" t="s">
        <v>26</v>
      </c>
      <c r="E66" s="1251" t="s">
        <v>671</v>
      </c>
      <c r="F66" s="1670"/>
      <c r="G66" s="1670"/>
      <c r="H66" s="151"/>
      <c r="I66" s="121"/>
      <c r="J66" s="3352"/>
      <c r="K66" s="1245" t="s">
        <v>1387</v>
      </c>
      <c r="L66" s="1245">
        <f ca="1">M49*0.5%</f>
        <v>0.41000000000000003</v>
      </c>
      <c r="M66" s="294">
        <f ca="1">IF(L66&gt;0.5,0.5,ROUND(L66,0))</f>
        <v>0</v>
      </c>
      <c r="N66" s="2329" t="s">
        <v>1388</v>
      </c>
      <c r="Z66" s="1623"/>
      <c r="AI66" s="1561"/>
    </row>
    <row r="67" spans="1:35" ht="14.25" customHeight="1">
      <c r="A67" s="165" t="s">
        <v>328</v>
      </c>
      <c r="B67" s="166" t="s">
        <v>1389</v>
      </c>
      <c r="C67" s="2352">
        <f ca="1">C63-C66</f>
        <v>78</v>
      </c>
      <c r="D67" s="162" t="s">
        <v>26</v>
      </c>
      <c r="E67" s="164"/>
      <c r="F67" s="1670"/>
      <c r="G67" s="1670"/>
      <c r="H67" s="151"/>
      <c r="I67" s="121"/>
      <c r="J67" s="3352"/>
      <c r="K67" s="1245" t="s">
        <v>1390</v>
      </c>
      <c r="L67" s="1245">
        <f ca="1">IF(M49&gt;=10000,(8.25+(M49-10000)*0.01%),IF(AND(M49&gt;=8000,M49&lt;10000),(7.85+(M49-8000)*0.02%),IF(AND(M49&gt;=5000,M49&lt;8000),(6.65+(M49-5000)*0.04%),IF(AND(M49&gt;=2000,M49&lt;5000),(4.25+(PM49-2000)*0.08%),IF(AND(M49&gt;=1000,M49&lt;2000),(2.75+(M49-1000)*0.15%),IF(AND(M49&gt;=100,M49&lt;1000),(0.5+(M49-100)*0.25%),IF(AND(M49&gt;0,M49&lt;100),M49*0.5%)))))))</f>
        <v>0.41000000000000003</v>
      </c>
      <c r="M67" s="294">
        <f ca="1">ROUND(L67*0.9,1)</f>
        <v>0.4</v>
      </c>
      <c r="N67" s="2328"/>
      <c r="Z67" s="1623"/>
      <c r="AI67" s="1561"/>
    </row>
    <row r="68" spans="1:35" ht="14.25" customHeight="1" thickBot="1">
      <c r="A68" s="168" t="s">
        <v>329</v>
      </c>
      <c r="B68" s="169" t="s">
        <v>1391</v>
      </c>
      <c r="C68" s="2353">
        <f ca="1">IF(C67&lt;=0,0,ROUND(C67*D68,0))</f>
        <v>4</v>
      </c>
      <c r="D68" s="2354">
        <f>'数据-取费表'!B41</f>
        <v>5.5000000000000007E-2</v>
      </c>
      <c r="E68" s="170"/>
      <c r="F68" s="1670"/>
      <c r="G68" s="1670"/>
      <c r="H68" s="151"/>
      <c r="I68" s="121"/>
      <c r="J68" s="3352"/>
      <c r="K68" s="1245" t="s">
        <v>1392</v>
      </c>
      <c r="L68" s="1245">
        <f ca="1">IF(M49&gt;10000,M49*0.5%,IF(AND(M49&gt;5000,M49&lt;=10000),M49*1%,IF(AND(M49&gt;1000,M49&lt;=5000),M49*2%,IF(AND(M49&gt;200,M49&lt;=1000),M49*3%,M49*5%))))</f>
        <v>4.1000000000000005</v>
      </c>
      <c r="M68" s="294">
        <f ca="1">ROUND(L68,1)</f>
        <v>4.0999999999999996</v>
      </c>
      <c r="N68" s="2328"/>
      <c r="Z68" s="1623"/>
      <c r="AI68" s="1561"/>
    </row>
    <row r="69" spans="1:35" ht="16.5" customHeight="1">
      <c r="A69" s="1672"/>
      <c r="B69" s="1673"/>
      <c r="C69" s="1674"/>
      <c r="D69" s="1675"/>
      <c r="E69" s="1676"/>
      <c r="F69" s="1466"/>
      <c r="G69" s="1466"/>
      <c r="H69" s="1467"/>
      <c r="I69" s="646"/>
      <c r="J69" s="3352"/>
      <c r="K69" s="1245" t="s">
        <v>1393</v>
      </c>
      <c r="L69" s="1245"/>
      <c r="M69" s="294">
        <f ca="1">ROUND(SUM(M63:M68),0)</f>
        <v>10</v>
      </c>
      <c r="N69" s="2330">
        <f ca="1">M69/M49</f>
        <v>0.12195121951219512</v>
      </c>
      <c r="Z69" s="1623"/>
      <c r="AI69" s="1561"/>
    </row>
    <row r="70" spans="1:35" s="642" customFormat="1" ht="14.4" thickBot="1">
      <c r="A70" s="3314" t="s">
        <v>1394</v>
      </c>
      <c r="B70" s="3315"/>
      <c r="C70" s="3315"/>
      <c r="D70" s="3315"/>
      <c r="E70" s="3315"/>
      <c r="F70" s="3315"/>
      <c r="G70" s="3315"/>
      <c r="H70" s="331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93" t="s">
        <v>1375</v>
      </c>
      <c r="B71" s="329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78</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0</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288" t="s">
        <v>1402</v>
      </c>
      <c r="F76" s="3262"/>
      <c r="G76" s="3262"/>
      <c r="H76" s="331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0</v>
      </c>
      <c r="D78" s="2361">
        <f>'数据-取费表'!B43</f>
        <v>5.000000000000001E-3</v>
      </c>
      <c r="E78" s="3272" t="s">
        <v>1406</v>
      </c>
      <c r="F78" s="3273"/>
      <c r="G78" s="3273"/>
      <c r="H78" s="328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78</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t="e">
        <f ca="1">IF(C79&lt;=0,0,C79/C73)</f>
        <v>#DIV/0!</v>
      </c>
      <c r="D80" s="162" t="s">
        <v>26</v>
      </c>
      <c r="E80" s="12" t="e">
        <f ca="1">IF(C80&gt;=200%,"增值额超过扣除项目金额200%",IF(C80&gt;=100%,"增值额超过扣除项目金额100%，未超过200%",IF(C80&gt;=50%,"增值额超过扣除项目金额50%，未超过100%",IF(C80&lt;50%,"增值额未超过扣除项目金额50%"))))</f>
        <v>#DIV/0!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t="e">
        <f ca="1">ROUND(IF(C79&lt;=0,0,IF(C80&gt;=200%,C79*60%-C73*35%,IF(C80&gt;=100%,C79*50%-C73*15%,IF(C80&gt;=50%,C79*40%-C73*5%,IF(C80&lt;50%,C79*30%,0))))),0)</f>
        <v>#DIV/0!</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14" t="s">
        <v>1410</v>
      </c>
      <c r="B83" s="3315"/>
      <c r="C83" s="3315"/>
      <c r="D83" s="3315"/>
      <c r="E83" s="3315"/>
      <c r="F83" s="3315"/>
      <c r="G83" s="3315"/>
      <c r="H83" s="331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93" t="s">
        <v>1375</v>
      </c>
      <c r="B84" s="329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78</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0</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7"/>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7"/>
      <c r="G90" s="3354" t="s">
        <v>2129</v>
      </c>
      <c r="H90" s="3355"/>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72" t="s">
        <v>1419</v>
      </c>
      <c r="F91" s="3273"/>
      <c r="G91" s="327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72" t="s">
        <v>1422</v>
      </c>
      <c r="F92" s="3273"/>
      <c r="G92" s="3273"/>
      <c r="H92" s="3282"/>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0</v>
      </c>
      <c r="D93" s="2361">
        <f>'数据-取费表'!B43</f>
        <v>5.000000000000001E-3</v>
      </c>
      <c r="E93" s="3272" t="s">
        <v>1406</v>
      </c>
      <c r="F93" s="3273"/>
      <c r="G93" s="3273"/>
      <c r="H93" s="328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283" t="s">
        <v>1426</v>
      </c>
      <c r="F94" s="3284"/>
      <c r="G94" s="3284"/>
      <c r="H94" s="328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78</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t="e">
        <f ca="1">IF(C95&lt;=0,0,C95/C86)</f>
        <v>#DIV/0!</v>
      </c>
      <c r="D96" s="162" t="s">
        <v>26</v>
      </c>
      <c r="E96" s="12" t="e">
        <f ca="1">IF(C96&gt;=200%,"增值额超过扣除项目金额200%",IF(C96&gt;=100%,"增值额超过扣除项目金额100%，未超过200%",IF(C96&gt;=50%,"增值额超过扣除项目金额50%，未超过100%",IF(C96&lt;50%,"增值额未超过扣除项目金额50%"))))</f>
        <v>#DIV/0!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t="e">
        <f ca="1">ROUND(IF(C95&lt;=0,0,IF(C96&gt;=200%,C95*60%-C86*35%,IF(C96&gt;=100%,C95*50%-C86*15%,IF(C96&gt;=50%,C95*40%-C86*5%,IF(C96&lt;50%,C95*30%,0))))),0)</f>
        <v>#DIV/0!</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56" t="s">
        <v>1428</v>
      </c>
      <c r="B100" s="3257"/>
      <c r="C100" s="3257"/>
      <c r="D100" s="3274"/>
      <c r="E100" s="3257" t="s">
        <v>1429</v>
      </c>
      <c r="F100" s="3257"/>
      <c r="G100" s="3257"/>
      <c r="H100" s="3274"/>
      <c r="I100" s="121"/>
    </row>
    <row r="101" spans="1:35" ht="18.75" customHeight="1">
      <c r="A101" s="3335" t="s">
        <v>1430</v>
      </c>
      <c r="B101" s="3336"/>
      <c r="C101" s="2369" t="str">
        <f>C4</f>
        <v>比较法-办公</v>
      </c>
      <c r="D101" s="2370" t="str">
        <f>D4</f>
        <v>收益法 (元)</v>
      </c>
      <c r="E101" s="3349" t="s">
        <v>1431</v>
      </c>
      <c r="F101" s="3306"/>
      <c r="G101" s="1687" t="s">
        <v>1432</v>
      </c>
      <c r="H101" s="2379">
        <f ca="1">H118</f>
        <v>82</v>
      </c>
      <c r="I101" s="121"/>
    </row>
    <row r="102" spans="1:35" ht="18.75" customHeight="1">
      <c r="A102" s="3308" t="s">
        <v>1433</v>
      </c>
      <c r="B102" s="2368" t="s">
        <v>1432</v>
      </c>
      <c r="C102" s="2369">
        <f ca="1">IF(D32="楼面单价",ROUND(C19,0),C19)</f>
        <v>106</v>
      </c>
      <c r="D102" s="2370">
        <f ca="1">IF(D32="楼面单价",ROUND(D19,0),D19)</f>
        <v>47</v>
      </c>
      <c r="E102" s="3349"/>
      <c r="F102" s="3306"/>
      <c r="G102" s="1687" t="s">
        <v>1434</v>
      </c>
      <c r="H102" s="2339">
        <f ca="1">I118</f>
        <v>12344</v>
      </c>
      <c r="I102" s="121"/>
    </row>
    <row r="103" spans="1:35" ht="42.75" customHeight="1">
      <c r="A103" s="3308"/>
      <c r="B103" s="2368" t="s">
        <v>1434</v>
      </c>
      <c r="C103" s="2371">
        <f ca="1">C20</f>
        <v>15867</v>
      </c>
      <c r="D103" s="2372">
        <f ca="1">D20</f>
        <v>7060</v>
      </c>
      <c r="E103" s="3343" t="s">
        <v>1435</v>
      </c>
      <c r="F103" s="3344"/>
      <c r="G103" s="1688" t="s">
        <v>1436</v>
      </c>
      <c r="H103" s="2379">
        <f>IF(D36="正常操作",H104+H105+H106,H105+H106)</f>
        <v>0</v>
      </c>
      <c r="I103" s="121"/>
    </row>
    <row r="104" spans="1:35" ht="18.75" customHeight="1">
      <c r="A104" s="3308" t="s">
        <v>1437</v>
      </c>
      <c r="B104" s="2373" t="s">
        <v>1432</v>
      </c>
      <c r="C104" s="2374">
        <f ca="1">H118</f>
        <v>82</v>
      </c>
      <c r="D104" s="2375"/>
      <c r="E104" s="1555" t="s">
        <v>1438</v>
      </c>
      <c r="F104" s="1548"/>
      <c r="G104" s="1688" t="s">
        <v>1436</v>
      </c>
      <c r="H104" s="2380">
        <f>IF(D36="同一抵押权人同一抵押物续贷",C36&amp;"（续贷，未扣减，详见特别提示）",C36)</f>
        <v>0</v>
      </c>
      <c r="I104" s="121"/>
    </row>
    <row r="105" spans="1:35" ht="18.75" customHeight="1" thickBot="1">
      <c r="A105" s="3309"/>
      <c r="B105" s="2376" t="s">
        <v>1434</v>
      </c>
      <c r="C105" s="2377">
        <f ca="1">I118</f>
        <v>12344</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05" t="str">
        <f>IF(项目基本情况!E8="已注销","——","3.房地产抵押价值")</f>
        <v>3.房地产抵押价值</v>
      </c>
      <c r="F107" s="3306"/>
      <c r="G107" s="1687" t="s">
        <v>1432</v>
      </c>
      <c r="H107" s="2379">
        <f ca="1">IF(E107="——","——",H101-H103)</f>
        <v>82</v>
      </c>
      <c r="I107" s="121"/>
    </row>
    <row r="108" spans="1:35" ht="18.75" customHeight="1">
      <c r="A108" s="121"/>
      <c r="B108" s="121"/>
      <c r="C108" s="121"/>
      <c r="D108" s="121"/>
      <c r="E108" s="3305"/>
      <c r="F108" s="3306"/>
      <c r="G108" s="1687" t="s">
        <v>1434</v>
      </c>
      <c r="H108" s="2339">
        <f ca="1">IF(H107=H101,H102,ROUND(H107*10000/'数据-汇总表'!E3,0))</f>
        <v>12344</v>
      </c>
      <c r="I108" s="121"/>
    </row>
    <row r="109" spans="1:35" ht="18.75" customHeight="1">
      <c r="A109" s="121"/>
      <c r="B109" s="121"/>
      <c r="C109" s="121"/>
      <c r="D109" s="121"/>
      <c r="E109" s="3305" t="str">
        <f>IF(项目基本情况!E8="已注销及未注销","4.抵押担保权已注销时的房地产抵押价值",IF(项目基本情况!E8="已注销","3.抵押担保权已注销时的房地产抵押价值","——"))</f>
        <v>——</v>
      </c>
      <c r="F109" s="3306"/>
      <c r="G109" s="1687" t="s">
        <v>1432</v>
      </c>
      <c r="H109" s="2382" t="str">
        <f>IF(E109="——","——",H101-H105-H106)</f>
        <v>——</v>
      </c>
      <c r="I109" s="121"/>
    </row>
    <row r="110" spans="1:35" ht="18.75" customHeight="1">
      <c r="A110" s="121"/>
      <c r="B110" s="121"/>
      <c r="C110" s="121"/>
      <c r="D110" s="121"/>
      <c r="E110" s="3305"/>
      <c r="F110" s="3306"/>
      <c r="G110" s="1687" t="s">
        <v>1434</v>
      </c>
      <c r="H110" s="2339" t="str">
        <f>IF(H109="——","——",ROUND(H109*10000/'数据-汇总表'!E3,0))</f>
        <v>——</v>
      </c>
      <c r="I110" s="121"/>
    </row>
    <row r="111" spans="1:35" ht="18.75" customHeight="1">
      <c r="A111" s="121"/>
      <c r="B111" s="121"/>
      <c r="C111" s="121"/>
      <c r="D111" s="121"/>
      <c r="E111" s="3337" t="str">
        <f>IF(项目基本情况!E9="抵押净值",IF(OR(项目基本情况!E8="已注销",项目基本情况!E8="房地产抵押价值"),"4.抵押净值","5.抵押净值"),"——")</f>
        <v>——</v>
      </c>
      <c r="F111" s="3307"/>
      <c r="G111" s="1687" t="s">
        <v>1432</v>
      </c>
      <c r="H111" s="2379" t="str">
        <f>IF(E111="——","——",N59)</f>
        <v>——</v>
      </c>
      <c r="I111" s="121"/>
    </row>
    <row r="112" spans="1:35" ht="18.75" customHeight="1" thickBot="1">
      <c r="A112" s="121"/>
      <c r="B112" s="121"/>
      <c r="C112" s="121"/>
      <c r="D112" s="121"/>
      <c r="E112" s="3338"/>
      <c r="F112" s="3339"/>
      <c r="G112" s="1690" t="s">
        <v>1434</v>
      </c>
      <c r="H112" s="2383" t="str">
        <f>IF(E111="——","——",N61)</f>
        <v>——</v>
      </c>
      <c r="I112" s="121"/>
    </row>
    <row r="113" spans="1:27" ht="18.75" customHeight="1">
      <c r="A113" s="121"/>
      <c r="B113" s="121"/>
      <c r="C113" s="121"/>
      <c r="D113" s="121"/>
      <c r="E113" s="3310" t="s">
        <v>1440</v>
      </c>
      <c r="F113" s="3310"/>
      <c r="G113" s="3310"/>
      <c r="H113" s="3310"/>
      <c r="I113" s="121"/>
    </row>
    <row r="114" spans="1:27" ht="3.75" customHeight="1">
      <c r="A114" s="646"/>
      <c r="B114" s="646"/>
      <c r="C114" s="646"/>
      <c r="D114" s="646"/>
      <c r="E114" s="1671"/>
      <c r="F114" s="1671"/>
      <c r="G114" s="1671"/>
      <c r="H114" s="1671"/>
      <c r="I114" s="646"/>
    </row>
    <row r="115" spans="1:27" ht="18.75" customHeight="1">
      <c r="A115" s="3320" t="s">
        <v>1442</v>
      </c>
      <c r="B115" s="3321"/>
      <c r="C115" s="3321"/>
      <c r="D115" s="3321"/>
      <c r="E115" s="3321"/>
      <c r="F115" s="3321"/>
      <c r="G115" s="3321"/>
      <c r="H115" s="3321"/>
      <c r="I115" s="3322"/>
    </row>
    <row r="116" spans="1:27" ht="27" customHeight="1">
      <c r="A116" s="3276" t="s">
        <v>1443</v>
      </c>
      <c r="B116" s="3311" t="s">
        <v>1444</v>
      </c>
      <c r="C116" s="3311" t="s">
        <v>1445</v>
      </c>
      <c r="D116" s="3324" t="s">
        <v>1446</v>
      </c>
      <c r="E116" s="3325"/>
      <c r="F116" s="3319" t="s">
        <v>1447</v>
      </c>
      <c r="G116" s="3319"/>
      <c r="H116" s="3276" t="s">
        <v>1448</v>
      </c>
      <c r="I116" s="3276"/>
    </row>
    <row r="117" spans="1:27" ht="18.75" customHeight="1">
      <c r="A117" s="3276"/>
      <c r="B117" s="3312"/>
      <c r="C117" s="3312"/>
      <c r="D117" s="2149" t="s">
        <v>1449</v>
      </c>
      <c r="E117" s="2149" t="s">
        <v>1450</v>
      </c>
      <c r="F117" s="2149" t="s">
        <v>1449</v>
      </c>
      <c r="G117" s="2149" t="s">
        <v>1451</v>
      </c>
      <c r="H117" s="2149" t="s">
        <v>1449</v>
      </c>
      <c r="I117" s="2149" t="s">
        <v>1451</v>
      </c>
    </row>
    <row r="118" spans="1:27" ht="24.75" customHeight="1">
      <c r="A118" s="2384" t="str">
        <f>项目基本情况!S2</f>
        <v>北京市房山区怡和北路5号院14号楼2层201房地产</v>
      </c>
      <c r="B118" s="2149">
        <f>M18</f>
        <v>66.63</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82</v>
      </c>
      <c r="I118" s="2149">
        <f ca="1">ROUND(IF(D32="楼面单价",C32,H118*10000/B118),0)</f>
        <v>12344</v>
      </c>
    </row>
    <row r="119" spans="1:27" ht="18.75" customHeight="1">
      <c r="A119" s="3276" t="s">
        <v>1452</v>
      </c>
      <c r="B119" s="3276"/>
      <c r="C119" s="3276"/>
      <c r="D119" s="3316" t="str">
        <f>NUMBERSTRING(INT(D118*10000),2)&amp;"元整"</f>
        <v>零元整</v>
      </c>
      <c r="E119" s="3318"/>
      <c r="F119" s="3316" t="str">
        <f>NUMBERSTRING(INT(F118*10000),2)&amp;"元整"</f>
        <v>零元整</v>
      </c>
      <c r="G119" s="3318"/>
      <c r="H119" s="3316" t="str">
        <f ca="1">NUMBERSTRING(INT(H118*10000),2)&amp;"元整"</f>
        <v>捌拾贰万元整</v>
      </c>
      <c r="I119" s="3318"/>
    </row>
    <row r="120" spans="1:27" ht="18.75" customHeight="1">
      <c r="A120" s="3340" t="str">
        <f>IF(项目基本情况!B9="房地产市场价值","",MID(E103,3,LEN(E103)-2))</f>
        <v>估价师知悉的法定优先受偿款</v>
      </c>
      <c r="B120" s="3341"/>
      <c r="C120" s="3342"/>
      <c r="D120" s="3340">
        <f>H103</f>
        <v>0</v>
      </c>
      <c r="E120" s="3341"/>
      <c r="F120" s="3341"/>
      <c r="G120" s="3341"/>
      <c r="H120" s="3341"/>
      <c r="I120" s="334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16" t="s">
        <v>1452</v>
      </c>
      <c r="B121" s="3317"/>
      <c r="C121" s="3318"/>
      <c r="D121" s="3316" t="str">
        <f>IF(D120=0,"零元整",NUMBERSTRING(INT(D120*10000),2)&amp;"元整")</f>
        <v>零元整</v>
      </c>
      <c r="E121" s="3317"/>
      <c r="F121" s="3317"/>
      <c r="G121" s="3317"/>
      <c r="H121" s="3317"/>
      <c r="I121" s="3318"/>
      <c r="AA121" s="684"/>
    </row>
    <row r="122" spans="1:27" ht="18.75" customHeight="1">
      <c r="A122" s="3307" t="str">
        <f>IF(项目基本情况!B9="房地产市场价值","",MID(E107,3,LEN(E107)-2))</f>
        <v>房地产抵押价值</v>
      </c>
      <c r="B122" s="3307"/>
      <c r="C122" s="3307"/>
      <c r="D122" s="3340">
        <f ca="1">H107</f>
        <v>82</v>
      </c>
      <c r="E122" s="3341"/>
      <c r="F122" s="3341"/>
      <c r="G122" s="3341"/>
      <c r="H122" s="3341"/>
      <c r="I122" s="3342"/>
      <c r="AA122" s="684"/>
    </row>
    <row r="123" spans="1:27" ht="18.75" customHeight="1">
      <c r="A123" s="3276" t="s">
        <v>1452</v>
      </c>
      <c r="B123" s="3276"/>
      <c r="C123" s="3276"/>
      <c r="D123" s="3316" t="str">
        <f ca="1">NUMBERSTRING(INT(D122*10000),2)&amp;"元整"</f>
        <v>捌拾贰万元整</v>
      </c>
      <c r="E123" s="3317"/>
      <c r="F123" s="3317"/>
      <c r="G123" s="3317"/>
      <c r="H123" s="3317"/>
      <c r="I123" s="3318"/>
      <c r="AA123" s="684"/>
    </row>
    <row r="124" spans="1:27" ht="18.75" customHeight="1">
      <c r="A124" s="3307" t="str">
        <f>IF(项目基本情况!B9="房地产市场价值","",MID(E109,3,LEN(E109)-2))</f>
        <v/>
      </c>
      <c r="B124" s="3307"/>
      <c r="C124" s="3307"/>
      <c r="D124" s="3340" t="str">
        <f>H109</f>
        <v>——</v>
      </c>
      <c r="E124" s="3341"/>
      <c r="F124" s="3341"/>
      <c r="G124" s="3341"/>
      <c r="H124" s="3341"/>
      <c r="I124" s="3342"/>
      <c r="AA124" s="684"/>
    </row>
    <row r="125" spans="1:27" ht="18.75" customHeight="1">
      <c r="A125" s="3276" t="s">
        <v>1452</v>
      </c>
      <c r="B125" s="3276"/>
      <c r="C125" s="3276"/>
      <c r="D125" s="3316" t="e">
        <f>NUMBERSTRING(INT(D124*10000),2)&amp;"元整"</f>
        <v>#VALUE!</v>
      </c>
      <c r="E125" s="3317"/>
      <c r="F125" s="3317"/>
      <c r="G125" s="3317"/>
      <c r="H125" s="3317"/>
      <c r="I125" s="3318"/>
      <c r="AA125" s="684"/>
    </row>
    <row r="126" spans="1:27" ht="18.75" customHeight="1">
      <c r="A126" s="3307" t="str">
        <f>IF(项目基本情况!B9="房地产市场价值","",MID(E111,3,LEN(E111)-2))</f>
        <v/>
      </c>
      <c r="B126" s="3307"/>
      <c r="C126" s="3307"/>
      <c r="D126" s="3340" t="str">
        <f>H111</f>
        <v>——</v>
      </c>
      <c r="E126" s="3341"/>
      <c r="F126" s="3341"/>
      <c r="G126" s="3341"/>
      <c r="H126" s="3341"/>
      <c r="I126" s="3342"/>
      <c r="AA126" s="684"/>
    </row>
    <row r="127" spans="1:27" ht="18.75" customHeight="1">
      <c r="A127" s="3276" t="s">
        <v>1452</v>
      </c>
      <c r="B127" s="3276"/>
      <c r="C127" s="3276"/>
      <c r="D127" s="3316" t="e">
        <f>NUMBERSTRING(INT(D126*10000),2)&amp;"元整"</f>
        <v>#VALUE!</v>
      </c>
      <c r="E127" s="3317"/>
      <c r="F127" s="3317"/>
      <c r="G127" s="3317"/>
      <c r="H127" s="3317"/>
      <c r="I127" s="3318"/>
      <c r="AA127" s="684"/>
    </row>
    <row r="128" spans="1:27" ht="21.75" customHeight="1">
      <c r="A128" s="3323" t="s">
        <v>1453</v>
      </c>
      <c r="B128" s="3323"/>
      <c r="C128" s="3323"/>
      <c r="D128" s="3323"/>
      <c r="E128" s="3323"/>
      <c r="F128" s="3323"/>
      <c r="G128" s="3323"/>
      <c r="H128" s="3323"/>
      <c r="I128" s="332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B1" sqref="B1"/>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30</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4502</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150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66.63</v>
      </c>
      <c r="E10" s="217">
        <f>'数据-取费表'!B28</f>
        <v>190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66.63</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25</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23</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66.63</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56" t="s">
        <v>1544</v>
      </c>
    </row>
    <row r="43" spans="1:7" ht="13.5" customHeight="1">
      <c r="A43" s="734" t="s">
        <v>347</v>
      </c>
      <c r="B43" s="207" t="s">
        <v>1545</v>
      </c>
      <c r="C43" s="230">
        <f ca="1">ROUND(IF('数据-取费表'!B22&lt;=1,C39*F22*'数据-取费表'!B21/2,C39*(POWER((1+F22),'数据-取费表'!B21/2)-1)),0)</f>
        <v>0</v>
      </c>
      <c r="D43" s="230"/>
      <c r="E43" s="230"/>
      <c r="F43" s="231"/>
      <c r="G43" s="3357"/>
    </row>
    <row r="44" spans="1:7" ht="13.5" customHeight="1">
      <c r="A44" s="734" t="s">
        <v>348</v>
      </c>
      <c r="B44" s="207" t="s">
        <v>1546</v>
      </c>
      <c r="C44" s="230">
        <f ca="1">ROUND(IF('数据-取费表'!B22&lt;=1,C40*F22*'数据-取费表'!B21/2,C40*(POWER((1+F22),'数据-取费表'!B21/2)-1)),4)</f>
        <v>5.9999999999999995E-4</v>
      </c>
      <c r="D44" s="230"/>
      <c r="E44" s="230"/>
      <c r="F44" s="231"/>
      <c r="G44" s="3358"/>
    </row>
    <row r="45" spans="1:7" s="206" customFormat="1" ht="13.5" customHeight="1">
      <c r="A45" s="247" t="s">
        <v>1547</v>
      </c>
      <c r="B45" s="236" t="s">
        <v>1513</v>
      </c>
      <c r="C45" s="237">
        <f ca="1">C46</f>
        <v>4</v>
      </c>
      <c r="D45" s="227">
        <f ca="1">C47</f>
        <v>3.0000000000000001E-3</v>
      </c>
      <c r="E45" s="228" t="s">
        <v>1539</v>
      </c>
      <c r="F45" s="238">
        <f ca="1">F27</f>
        <v>0.15</v>
      </c>
      <c r="G45" s="239" t="s">
        <v>1548</v>
      </c>
    </row>
    <row r="46" spans="1:7" s="206" customFormat="1" ht="13.5" customHeight="1">
      <c r="A46" s="734" t="s">
        <v>346</v>
      </c>
      <c r="B46" s="240" t="s">
        <v>1549</v>
      </c>
      <c r="C46" s="241">
        <f ca="1">ROUND((C33+C39)*F27,0)</f>
        <v>4</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34</v>
      </c>
      <c r="D49" s="224"/>
      <c r="E49" s="224"/>
      <c r="F49" s="256"/>
      <c r="G49" s="226" t="s">
        <v>1554</v>
      </c>
    </row>
    <row r="50" spans="1:7" s="250" customFormat="1" ht="24">
      <c r="A50" s="247" t="s">
        <v>1555</v>
      </c>
      <c r="B50" s="202" t="s">
        <v>1556</v>
      </c>
      <c r="C50" s="224"/>
      <c r="D50" s="224"/>
      <c r="E50" s="224"/>
      <c r="F50" s="256">
        <f>IF('数据-取费表'!B24=0,'数据-取费表'!N16,1)</f>
        <v>0.85</v>
      </c>
      <c r="G50" s="239" t="s">
        <v>1557</v>
      </c>
    </row>
    <row r="51" spans="1:7" ht="16.5" customHeight="1">
      <c r="A51" s="247" t="s">
        <v>1558</v>
      </c>
      <c r="B51" s="202" t="s">
        <v>1559</v>
      </c>
      <c r="C51" s="224">
        <f ca="1">ROUND(C49*F50,0)</f>
        <v>29</v>
      </c>
      <c r="D51" s="224"/>
      <c r="E51" s="224"/>
      <c r="F51" s="256"/>
      <c r="G51" s="226" t="s">
        <v>1560</v>
      </c>
    </row>
    <row r="52" spans="1:7" s="200" customFormat="1" ht="16.8" thickBot="1">
      <c r="A52" s="257" t="s">
        <v>1561</v>
      </c>
      <c r="B52" s="258"/>
      <c r="C52" s="259">
        <f ca="1">C31+C51</f>
        <v>30</v>
      </c>
      <c r="D52" s="258"/>
      <c r="E52" s="258"/>
      <c r="F52" s="258"/>
      <c r="G52" s="260"/>
    </row>
    <row r="55" spans="1:7" ht="15">
      <c r="B55" s="262" t="s">
        <v>1562</v>
      </c>
      <c r="C55" s="263"/>
    </row>
    <row r="56" spans="1:7">
      <c r="B56" s="265" t="s">
        <v>802</v>
      </c>
      <c r="C56" s="267">
        <f ca="1">1-C57</f>
        <v>3.3000000000000029E-2</v>
      </c>
    </row>
    <row r="57" spans="1:7">
      <c r="B57" s="265" t="s">
        <v>803</v>
      </c>
      <c r="C57" s="266">
        <f ca="1">ROUND(C51/C52,3)</f>
        <v>0.96699999999999997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4" t="str">
        <f>项目基本情况!B1</f>
        <v>北京市房山区怡和北路5号院14号楼2层201房地产抵押价值预评估</v>
      </c>
      <c r="C37" s="3174"/>
      <c r="D37" s="3174"/>
      <c r="E37" s="3174"/>
      <c r="F37" s="3174"/>
      <c r="G37" s="3174"/>
      <c r="H37" s="3174"/>
      <c r="I37" s="317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郑燚（注册号：1120070131)、吴薇（注册号：1419970001)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tabColor rgb="FF92D050"/>
    <pageSetUpPr fitToPage="1"/>
  </sheetPr>
  <dimension ref="A1:AC132"/>
  <sheetViews>
    <sheetView view="pageBreakPreview" topLeftCell="A31" zoomScaleNormal="70" zoomScaleSheetLayoutView="100" workbookViewId="0">
      <selection activeCell="K28" sqref="K28"/>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v>201</v>
      </c>
      <c r="E1" s="3129" t="s">
        <v>3441</v>
      </c>
      <c r="F1" s="1735" t="s">
        <v>3442</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105.7218</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15867</v>
      </c>
      <c r="C3" s="344" t="s">
        <v>1768</v>
      </c>
      <c r="D3" s="343">
        <f>IF(D1="",'数据-汇总表'!E3,SUMIF('数据-汇总表'!$C19:$C33,D1,'数据-汇总表'!$E19:$E33))</f>
        <v>66.63</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377" t="s">
        <v>1770</v>
      </c>
      <c r="D4" s="3378"/>
      <c r="E4" s="3379" t="s">
        <v>1771</v>
      </c>
      <c r="F4" s="3380"/>
      <c r="G4" s="3377" t="s">
        <v>1772</v>
      </c>
      <c r="H4" s="3378"/>
      <c r="I4" s="3377" t="s">
        <v>1773</v>
      </c>
      <c r="J4" s="3378"/>
      <c r="K4" s="537" t="s">
        <v>1774</v>
      </c>
      <c r="L4" s="2484"/>
      <c r="M4" s="2485"/>
      <c r="N4" s="2485"/>
      <c r="O4" s="2485"/>
      <c r="P4" s="3381" t="s">
        <v>1775</v>
      </c>
      <c r="Q4" s="3382"/>
      <c r="R4" s="3387" t="s">
        <v>1771</v>
      </c>
      <c r="S4" s="3388"/>
      <c r="T4" s="3387" t="s">
        <v>1772</v>
      </c>
      <c r="U4" s="3388"/>
      <c r="V4" s="3393" t="s">
        <v>1773</v>
      </c>
      <c r="W4" s="3393"/>
      <c r="X4" s="1809"/>
      <c r="Y4" s="3387" t="s">
        <v>1775</v>
      </c>
      <c r="Z4" s="3388"/>
      <c r="AA4" s="3404" t="s">
        <v>1771</v>
      </c>
      <c r="AB4" s="3404" t="s">
        <v>1772</v>
      </c>
      <c r="AC4" s="3374" t="s">
        <v>1773</v>
      </c>
    </row>
    <row r="5" spans="1:29" ht="13.95" customHeight="1">
      <c r="A5" s="348"/>
      <c r="B5" s="349"/>
      <c r="C5" s="3396" t="s">
        <v>3443</v>
      </c>
      <c r="D5" s="3397"/>
      <c r="E5" s="3396" t="s">
        <v>3443</v>
      </c>
      <c r="F5" s="3397"/>
      <c r="G5" s="3396" t="s">
        <v>3443</v>
      </c>
      <c r="H5" s="3397"/>
      <c r="I5" s="3396" t="s">
        <v>3443</v>
      </c>
      <c r="J5" s="3397"/>
      <c r="K5" s="537"/>
      <c r="L5" s="2484"/>
      <c r="M5" s="2485"/>
      <c r="N5" s="2485"/>
      <c r="O5" s="2485"/>
      <c r="P5" s="3383"/>
      <c r="Q5" s="3384"/>
      <c r="R5" s="3389"/>
      <c r="S5" s="3390"/>
      <c r="T5" s="3389"/>
      <c r="U5" s="3390"/>
      <c r="V5" s="3361"/>
      <c r="W5" s="3361"/>
      <c r="X5" s="1265"/>
      <c r="Y5" s="3389"/>
      <c r="Z5" s="3390"/>
      <c r="AA5" s="3405"/>
      <c r="AB5" s="3405"/>
      <c r="AC5" s="3375"/>
    </row>
    <row r="6" spans="1:29" ht="15" thickBot="1">
      <c r="A6" s="350"/>
      <c r="B6" s="351"/>
      <c r="C6" s="3394" t="s">
        <v>1677</v>
      </c>
      <c r="D6" s="3395"/>
      <c r="E6" s="3402" t="s">
        <v>1677</v>
      </c>
      <c r="F6" s="3403"/>
      <c r="G6" s="3394" t="s">
        <v>1677</v>
      </c>
      <c r="H6" s="3395"/>
      <c r="I6" s="3394" t="s">
        <v>1677</v>
      </c>
      <c r="J6" s="3395"/>
      <c r="K6" s="537" t="s">
        <v>1678</v>
      </c>
      <c r="L6" s="2484"/>
      <c r="M6" s="2485"/>
      <c r="N6" s="2485"/>
      <c r="O6" s="2485"/>
      <c r="P6" s="3385"/>
      <c r="Q6" s="3386"/>
      <c r="R6" s="3389"/>
      <c r="S6" s="3390"/>
      <c r="T6" s="3391"/>
      <c r="U6" s="3392"/>
      <c r="V6" s="3361"/>
      <c r="W6" s="3361"/>
      <c r="X6" s="1265"/>
      <c r="Y6" s="3391"/>
      <c r="Z6" s="3392"/>
      <c r="AA6" s="3406"/>
      <c r="AB6" s="3406"/>
      <c r="AC6" s="3376"/>
    </row>
    <row r="7" spans="1:29" s="102" customFormat="1" ht="15" thickBot="1">
      <c r="A7" s="352" t="s">
        <v>1679</v>
      </c>
      <c r="B7" s="353"/>
      <c r="C7" s="354">
        <f>'数据-取费表'!B2</f>
        <v>45814</v>
      </c>
      <c r="D7" s="355">
        <v>100</v>
      </c>
      <c r="E7" s="356">
        <f>C7</f>
        <v>45814</v>
      </c>
      <c r="F7" s="357">
        <f>SUMIF(59:59,YEAR(E7)&amp;"-"&amp;MONTH(E7),60:60)</f>
        <v>100</v>
      </c>
      <c r="G7" s="356">
        <f>C7</f>
        <v>45814</v>
      </c>
      <c r="H7" s="355">
        <f>SUMIF(59:59,YEAR(G7)&amp;"-"&amp;MONTH(G7),60:60)</f>
        <v>100</v>
      </c>
      <c r="I7" s="356">
        <f>C7</f>
        <v>45814</v>
      </c>
      <c r="J7" s="355">
        <f>SUMIF(59:59,YEAR(I7)&amp;"-"&amp;MONTH(I7),60:60)</f>
        <v>100</v>
      </c>
      <c r="K7" s="38"/>
      <c r="L7" s="2486"/>
      <c r="M7" s="2438"/>
      <c r="N7" s="2438"/>
      <c r="O7" s="2438"/>
      <c r="P7" s="3398" t="s">
        <v>1680</v>
      </c>
      <c r="Q7" s="3401"/>
      <c r="R7" s="664" t="s">
        <v>14</v>
      </c>
      <c r="S7" s="665">
        <f t="shared" ref="S7:S15" si="0">F7</f>
        <v>100</v>
      </c>
      <c r="T7" s="664" t="s">
        <v>14</v>
      </c>
      <c r="U7" s="665">
        <f t="shared" ref="U7:U15" si="1">H7</f>
        <v>100</v>
      </c>
      <c r="V7" s="664" t="s">
        <v>14</v>
      </c>
      <c r="W7" s="665">
        <f t="shared" ref="W7:W15" si="2">J7</f>
        <v>100</v>
      </c>
      <c r="X7" s="666"/>
      <c r="Y7" s="3400" t="s">
        <v>1680</v>
      </c>
      <c r="Z7" s="3399"/>
      <c r="AA7" s="50">
        <f>D7/F7</f>
        <v>1</v>
      </c>
      <c r="AB7" s="50">
        <f>D7/H7</f>
        <v>1</v>
      </c>
      <c r="AC7" s="802">
        <f>D7/J7</f>
        <v>1</v>
      </c>
    </row>
    <row r="8" spans="1:29" s="102" customFormat="1" ht="15" thickBot="1">
      <c r="A8" s="352" t="s">
        <v>1681</v>
      </c>
      <c r="B8" s="353"/>
      <c r="C8" s="358" t="s">
        <v>3446</v>
      </c>
      <c r="D8" s="355">
        <v>100</v>
      </c>
      <c r="E8" s="358" t="s">
        <v>3447</v>
      </c>
      <c r="F8" s="357">
        <f>SUMIF(62:62,E8,63:63)-SUMIF(62:62,C8,63:63)+100</f>
        <v>105</v>
      </c>
      <c r="G8" s="358" t="s">
        <v>3447</v>
      </c>
      <c r="H8" s="355">
        <f>SUMIF(62:62,G8,63:63)-SUMIF(62:62,C8,63:63)+100</f>
        <v>105</v>
      </c>
      <c r="I8" s="358" t="s">
        <v>3447</v>
      </c>
      <c r="J8" s="355">
        <f>SUMIF(62:62,I8,63:63)-SUMIF(62:62,C8,63:63)+100</f>
        <v>105</v>
      </c>
      <c r="K8" s="38"/>
      <c r="L8" s="2486"/>
      <c r="M8" s="2438"/>
      <c r="N8" s="2438"/>
      <c r="O8" s="2438"/>
      <c r="P8" s="3398" t="s">
        <v>1683</v>
      </c>
      <c r="Q8" s="3399"/>
      <c r="R8" s="664" t="s">
        <v>14</v>
      </c>
      <c r="S8" s="665">
        <f t="shared" si="0"/>
        <v>105</v>
      </c>
      <c r="T8" s="664" t="s">
        <v>14</v>
      </c>
      <c r="U8" s="665">
        <f t="shared" si="1"/>
        <v>105</v>
      </c>
      <c r="V8" s="664" t="s">
        <v>14</v>
      </c>
      <c r="W8" s="665">
        <f t="shared" si="2"/>
        <v>105</v>
      </c>
      <c r="X8" s="666"/>
      <c r="Y8" s="3400" t="s">
        <v>1683</v>
      </c>
      <c r="Z8" s="3399"/>
      <c r="AA8" s="50">
        <f t="shared" ref="AA8:AA47" si="3">D8/F8</f>
        <v>0.95238095238095233</v>
      </c>
      <c r="AB8" s="50">
        <f t="shared" ref="AB8:AB47" si="4">D8/H8</f>
        <v>0.95238095238095233</v>
      </c>
      <c r="AC8" s="802">
        <f t="shared" ref="AC8:AC47" si="5">D8/J8</f>
        <v>0.95238095238095233</v>
      </c>
    </row>
    <row r="9" spans="1:29" s="102" customFormat="1" ht="14.4">
      <c r="A9" s="359" t="s">
        <v>1684</v>
      </c>
      <c r="B9" s="60" t="s">
        <v>1685</v>
      </c>
      <c r="C9" s="3166" t="s">
        <v>3450</v>
      </c>
      <c r="D9" s="59">
        <v>100</v>
      </c>
      <c r="E9" s="362" t="s">
        <v>3449</v>
      </c>
      <c r="F9" s="59">
        <f>SUMIF(64:64,E9,65:65)-SUMIF(64:64,C9,65:65)+100</f>
        <v>100</v>
      </c>
      <c r="G9" s="361" t="s">
        <v>3449</v>
      </c>
      <c r="H9" s="59">
        <f>SUMIF(64:64,G9,65:65)-SUMIF(64:64,C9,65:65)+100</f>
        <v>100</v>
      </c>
      <c r="I9" s="361" t="s">
        <v>3449</v>
      </c>
      <c r="J9" s="59">
        <f>SUMIF(64:64,I9,65:65)-SUMIF(64:64,C9,65:65)+100</f>
        <v>100</v>
      </c>
      <c r="K9" s="38"/>
      <c r="L9" s="2486"/>
      <c r="M9" s="2438"/>
      <c r="N9" s="2438"/>
      <c r="O9" s="2438"/>
      <c r="P9" s="3359" t="s">
        <v>1686</v>
      </c>
      <c r="Q9" s="530" t="str">
        <f t="shared" ref="Q9:Q15" si="6">B9</f>
        <v>用途</v>
      </c>
      <c r="R9" s="664" t="s">
        <v>14</v>
      </c>
      <c r="S9" s="665">
        <f t="shared" si="0"/>
        <v>100</v>
      </c>
      <c r="T9" s="664" t="s">
        <v>14</v>
      </c>
      <c r="U9" s="665">
        <f t="shared" si="1"/>
        <v>100</v>
      </c>
      <c r="V9" s="664" t="s">
        <v>14</v>
      </c>
      <c r="W9" s="665">
        <f t="shared" si="2"/>
        <v>100</v>
      </c>
      <c r="X9" s="666"/>
      <c r="Y9" s="3263" t="s">
        <v>1687</v>
      </c>
      <c r="Z9" s="50" t="str">
        <f t="shared" ref="Z9:Z15" si="7">Q9</f>
        <v>用途</v>
      </c>
      <c r="AA9" s="50">
        <f t="shared" si="3"/>
        <v>1</v>
      </c>
      <c r="AB9" s="50">
        <f t="shared" si="4"/>
        <v>1</v>
      </c>
      <c r="AC9" s="802">
        <f t="shared" si="5"/>
        <v>1</v>
      </c>
    </row>
    <row r="10" spans="1:29" s="366" customFormat="1" ht="28.8">
      <c r="A10" s="363"/>
      <c r="B10" s="364" t="s">
        <v>1688</v>
      </c>
      <c r="C10" s="3130" t="s">
        <v>3457</v>
      </c>
      <c r="D10" s="119">
        <v>100</v>
      </c>
      <c r="E10" s="3130" t="s">
        <v>3457</v>
      </c>
      <c r="F10" s="119">
        <f>SUMIF(66:66,E10,67:67)-SUMIF(66:66,C10,67:67)+100</f>
        <v>100</v>
      </c>
      <c r="G10" s="3130" t="s">
        <v>3457</v>
      </c>
      <c r="H10" s="119">
        <f>SUMIF(66:66,G10,67:67)-SUMIF(66:66,C10,67:67)+100</f>
        <v>100</v>
      </c>
      <c r="I10" s="3130" t="s">
        <v>3457</v>
      </c>
      <c r="J10" s="119">
        <f>SUMIF(66:66,I10,67:67)-SUMIF(66:66,C10,67:67)+100</f>
        <v>100</v>
      </c>
      <c r="K10" s="38"/>
      <c r="L10" s="2487"/>
      <c r="M10" s="2488"/>
      <c r="N10" s="2488"/>
      <c r="O10" s="2488"/>
      <c r="P10" s="3359"/>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59"/>
      <c r="Q11" s="530" t="str">
        <f t="shared" si="6"/>
        <v>容积率</v>
      </c>
      <c r="R11" s="664" t="s">
        <v>14</v>
      </c>
      <c r="S11" s="665">
        <f t="shared" si="0"/>
        <v>100</v>
      </c>
      <c r="T11" s="664" t="s">
        <v>14</v>
      </c>
      <c r="U11" s="665">
        <f t="shared" si="1"/>
        <v>100</v>
      </c>
      <c r="V11" s="664" t="s">
        <v>14</v>
      </c>
      <c r="W11" s="665">
        <f t="shared" si="2"/>
        <v>100</v>
      </c>
      <c r="X11" s="666"/>
      <c r="Y11" s="326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6"/>
      <c r="M12" s="2438"/>
      <c r="N12" s="2438"/>
      <c r="O12" s="2438"/>
      <c r="P12" s="3359"/>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0"/>
      <c r="M13" s="2485"/>
      <c r="N13" s="2485"/>
      <c r="O13" s="2485"/>
      <c r="P13" s="3359"/>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59"/>
      <c r="Q14" s="530">
        <f t="shared" si="6"/>
        <v>111</v>
      </c>
      <c r="R14" s="664" t="s">
        <v>14</v>
      </c>
      <c r="S14" s="665">
        <f t="shared" si="0"/>
        <v>100</v>
      </c>
      <c r="T14" s="664" t="s">
        <v>14</v>
      </c>
      <c r="U14" s="665">
        <f t="shared" si="1"/>
        <v>100</v>
      </c>
      <c r="V14" s="664" t="s">
        <v>14</v>
      </c>
      <c r="W14" s="665">
        <f t="shared" si="2"/>
        <v>100</v>
      </c>
      <c r="X14" s="666"/>
      <c r="Y14" s="3263"/>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0"/>
      <c r="M15" s="2485"/>
      <c r="N15" s="2485"/>
      <c r="O15" s="2485"/>
      <c r="P15" s="3365" t="s">
        <v>1691</v>
      </c>
      <c r="Q15" s="1263" t="str">
        <f t="shared" si="6"/>
        <v>办公集聚程度</v>
      </c>
      <c r="R15" s="667" t="s">
        <v>14</v>
      </c>
      <c r="S15" s="668">
        <f t="shared" si="0"/>
        <v>100</v>
      </c>
      <c r="T15" s="667" t="s">
        <v>14</v>
      </c>
      <c r="U15" s="668">
        <f t="shared" si="1"/>
        <v>100</v>
      </c>
      <c r="V15" s="667" t="s">
        <v>14</v>
      </c>
      <c r="W15" s="668">
        <f t="shared" si="2"/>
        <v>100</v>
      </c>
      <c r="X15" s="1265"/>
      <c r="Y15" s="3367" t="s">
        <v>1691</v>
      </c>
      <c r="Z15" s="1264" t="str">
        <f t="shared" si="7"/>
        <v>办公集聚程度</v>
      </c>
      <c r="AA15" s="1264">
        <f t="shared" si="3"/>
        <v>1</v>
      </c>
      <c r="AB15" s="1264">
        <f t="shared" si="4"/>
        <v>1</v>
      </c>
      <c r="AC15" s="1812">
        <f t="shared" si="5"/>
        <v>1</v>
      </c>
    </row>
    <row r="16" spans="1:29" ht="15">
      <c r="A16" s="367"/>
      <c r="B16" s="555"/>
      <c r="C16" s="1758" t="s">
        <v>3439</v>
      </c>
      <c r="D16" s="387"/>
      <c r="E16" s="1758" t="s">
        <v>3439</v>
      </c>
      <c r="F16" s="387"/>
      <c r="G16" s="1758" t="s">
        <v>3439</v>
      </c>
      <c r="H16" s="389"/>
      <c r="I16" s="1758" t="s">
        <v>3439</v>
      </c>
      <c r="J16" s="387"/>
      <c r="K16" s="541"/>
      <c r="L16" s="2490"/>
      <c r="M16" s="2485"/>
      <c r="N16" s="2485"/>
      <c r="O16" s="2485"/>
      <c r="P16" s="3366"/>
      <c r="Q16" s="1263"/>
      <c r="R16" s="667"/>
      <c r="S16" s="668"/>
      <c r="T16" s="667"/>
      <c r="U16" s="668"/>
      <c r="V16" s="667"/>
      <c r="W16" s="668"/>
      <c r="X16" s="1265"/>
      <c r="Y16" s="3368"/>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0"/>
      <c r="M17" s="2485"/>
      <c r="N17" s="2485"/>
      <c r="O17" s="2485"/>
      <c r="P17" s="3366"/>
      <c r="Q17" s="1263" t="str">
        <f>B17</f>
        <v>交通便捷度</v>
      </c>
      <c r="R17" s="667" t="s">
        <v>14</v>
      </c>
      <c r="S17" s="668">
        <f>F17</f>
        <v>100</v>
      </c>
      <c r="T17" s="667" t="s">
        <v>14</v>
      </c>
      <c r="U17" s="668">
        <f>H17</f>
        <v>100</v>
      </c>
      <c r="V17" s="667" t="s">
        <v>14</v>
      </c>
      <c r="W17" s="668">
        <f>J17</f>
        <v>100</v>
      </c>
      <c r="X17" s="1265"/>
      <c r="Y17" s="3368"/>
      <c r="Z17" s="1264" t="str">
        <f>Q17</f>
        <v>交通便捷度</v>
      </c>
      <c r="AA17" s="1264">
        <f t="shared" si="3"/>
        <v>1</v>
      </c>
      <c r="AB17" s="1264">
        <f t="shared" si="4"/>
        <v>1</v>
      </c>
      <c r="AC17" s="1812">
        <f t="shared" si="5"/>
        <v>1</v>
      </c>
    </row>
    <row r="18" spans="1:29" ht="15">
      <c r="A18" s="367"/>
      <c r="B18" s="401"/>
      <c r="C18" s="1758" t="s">
        <v>3439</v>
      </c>
      <c r="D18" s="389"/>
      <c r="E18" s="1758" t="s">
        <v>3439</v>
      </c>
      <c r="F18" s="389"/>
      <c r="G18" s="1758" t="s">
        <v>3439</v>
      </c>
      <c r="H18" s="387"/>
      <c r="I18" s="1758" t="s">
        <v>3439</v>
      </c>
      <c r="J18" s="387"/>
      <c r="K18" s="541"/>
      <c r="L18" s="2490"/>
      <c r="M18" s="2485"/>
      <c r="N18" s="2485"/>
      <c r="O18" s="2485"/>
      <c r="P18" s="3366"/>
      <c r="Q18" s="1263"/>
      <c r="R18" s="667"/>
      <c r="S18" s="668"/>
      <c r="T18" s="667"/>
      <c r="U18" s="668"/>
      <c r="V18" s="667"/>
      <c r="W18" s="668"/>
      <c r="X18" s="1265"/>
      <c r="Y18" s="3368"/>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0"/>
      <c r="M19" s="2485"/>
      <c r="N19" s="2485"/>
      <c r="O19" s="2485"/>
      <c r="P19" s="3366"/>
      <c r="Q19" s="1263" t="str">
        <f>B19</f>
        <v>公共配套设施</v>
      </c>
      <c r="R19" s="667" t="s">
        <v>14</v>
      </c>
      <c r="S19" s="668">
        <f>F19</f>
        <v>100</v>
      </c>
      <c r="T19" s="667" t="s">
        <v>14</v>
      </c>
      <c r="U19" s="668">
        <f>H19</f>
        <v>100</v>
      </c>
      <c r="V19" s="667" t="s">
        <v>14</v>
      </c>
      <c r="W19" s="668">
        <f>J19</f>
        <v>100</v>
      </c>
      <c r="X19" s="1265"/>
      <c r="Y19" s="3368"/>
      <c r="Z19" s="1264" t="str">
        <f>Q19</f>
        <v>公共配套设施</v>
      </c>
      <c r="AA19" s="1264">
        <f t="shared" si="3"/>
        <v>1</v>
      </c>
      <c r="AB19" s="1264">
        <f t="shared" si="4"/>
        <v>1</v>
      </c>
      <c r="AC19" s="1812">
        <f t="shared" si="5"/>
        <v>1</v>
      </c>
    </row>
    <row r="20" spans="1:29" ht="15">
      <c r="A20" s="367"/>
      <c r="B20" s="401"/>
      <c r="C20" s="1758" t="s">
        <v>3439</v>
      </c>
      <c r="D20" s="387"/>
      <c r="E20" s="1758" t="s">
        <v>3439</v>
      </c>
      <c r="F20" s="387"/>
      <c r="G20" s="1758" t="s">
        <v>3439</v>
      </c>
      <c r="H20" s="387"/>
      <c r="I20" s="1758" t="s">
        <v>3439</v>
      </c>
      <c r="J20" s="387"/>
      <c r="K20" s="541"/>
      <c r="L20" s="2490"/>
      <c r="M20" s="2485"/>
      <c r="N20" s="2485"/>
      <c r="O20" s="2485"/>
      <c r="P20" s="3366"/>
      <c r="Q20" s="1263"/>
      <c r="R20" s="667"/>
      <c r="S20" s="668"/>
      <c r="T20" s="667"/>
      <c r="U20" s="668"/>
      <c r="V20" s="667"/>
      <c r="W20" s="668"/>
      <c r="X20" s="1265"/>
      <c r="Y20" s="3368"/>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0"/>
      <c r="M21" s="2485"/>
      <c r="N21" s="2485"/>
      <c r="O21" s="2485"/>
      <c r="P21" s="3366"/>
      <c r="Q21" s="1263" t="str">
        <f>B21</f>
        <v>基础设施水平</v>
      </c>
      <c r="R21" s="667" t="s">
        <v>14</v>
      </c>
      <c r="S21" s="668">
        <f>F21</f>
        <v>100</v>
      </c>
      <c r="T21" s="667" t="s">
        <v>14</v>
      </c>
      <c r="U21" s="668">
        <f>H21</f>
        <v>100</v>
      </c>
      <c r="V21" s="667" t="s">
        <v>14</v>
      </c>
      <c r="W21" s="668">
        <f>J21</f>
        <v>100</v>
      </c>
      <c r="X21" s="1265"/>
      <c r="Y21" s="3368"/>
      <c r="Z21" s="1264" t="str">
        <f>Q21</f>
        <v>基础设施水平</v>
      </c>
      <c r="AA21" s="1264">
        <f t="shared" ref="AA21" si="8">D21/F21</f>
        <v>1</v>
      </c>
      <c r="AB21" s="1264">
        <f t="shared" ref="AB21" si="9">D21/H21</f>
        <v>1</v>
      </c>
      <c r="AC21" s="1812">
        <f t="shared" ref="AC21" si="10">D21/J21</f>
        <v>1</v>
      </c>
    </row>
    <row r="22" spans="1:29" ht="15">
      <c r="A22" s="367"/>
      <c r="B22" s="557"/>
      <c r="C22" s="1814" t="s">
        <v>3451</v>
      </c>
      <c r="D22" s="387"/>
      <c r="E22" s="1814" t="s">
        <v>3451</v>
      </c>
      <c r="F22" s="387"/>
      <c r="G22" s="1814" t="s">
        <v>3451</v>
      </c>
      <c r="H22" s="387"/>
      <c r="I22" s="1814" t="s">
        <v>3451</v>
      </c>
      <c r="J22" s="387"/>
      <c r="K22" s="1064"/>
      <c r="L22" s="2490"/>
      <c r="M22" s="2485"/>
      <c r="N22" s="2485"/>
      <c r="O22" s="2485"/>
      <c r="P22" s="3366"/>
      <c r="Q22" s="1263"/>
      <c r="R22" s="667"/>
      <c r="S22" s="668"/>
      <c r="T22" s="667"/>
      <c r="U22" s="668"/>
      <c r="V22" s="667"/>
      <c r="W22" s="668"/>
      <c r="X22" s="1265"/>
      <c r="Y22" s="3368"/>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0"/>
      <c r="M23" s="2485"/>
      <c r="N23" s="2485"/>
      <c r="O23" s="2485"/>
      <c r="P23" s="3366"/>
      <c r="Q23" s="1263" t="str">
        <f>B23</f>
        <v>环境质量</v>
      </c>
      <c r="R23" s="667" t="s">
        <v>14</v>
      </c>
      <c r="S23" s="668">
        <f>F23</f>
        <v>100</v>
      </c>
      <c r="T23" s="667" t="s">
        <v>14</v>
      </c>
      <c r="U23" s="668">
        <f>H23</f>
        <v>100</v>
      </c>
      <c r="V23" s="667" t="s">
        <v>14</v>
      </c>
      <c r="W23" s="668">
        <f>J23</f>
        <v>100</v>
      </c>
      <c r="X23" s="1265"/>
      <c r="Y23" s="3368"/>
      <c r="Z23" s="1264" t="str">
        <f>Q23</f>
        <v>环境质量</v>
      </c>
      <c r="AA23" s="1264">
        <f t="shared" si="3"/>
        <v>1</v>
      </c>
      <c r="AB23" s="1264">
        <f t="shared" si="4"/>
        <v>1</v>
      </c>
      <c r="AC23" s="1812">
        <f t="shared" si="5"/>
        <v>1</v>
      </c>
    </row>
    <row r="24" spans="1:29" ht="15">
      <c r="A24" s="367"/>
      <c r="B24" s="557"/>
      <c r="C24" s="1758" t="s">
        <v>3439</v>
      </c>
      <c r="D24" s="387"/>
      <c r="E24" s="1758" t="s">
        <v>3439</v>
      </c>
      <c r="F24" s="387"/>
      <c r="G24" s="1758" t="s">
        <v>3439</v>
      </c>
      <c r="H24" s="387"/>
      <c r="I24" s="1758" t="s">
        <v>3439</v>
      </c>
      <c r="J24" s="387"/>
      <c r="K24" s="541"/>
      <c r="L24" s="2490"/>
      <c r="M24" s="2485"/>
      <c r="N24" s="2485"/>
      <c r="O24" s="2485"/>
      <c r="P24" s="3366"/>
      <c r="Q24" s="1263"/>
      <c r="R24" s="667"/>
      <c r="S24" s="668"/>
      <c r="T24" s="667"/>
      <c r="U24" s="668"/>
      <c r="V24" s="667"/>
      <c r="W24" s="668"/>
      <c r="X24" s="1265"/>
      <c r="Y24" s="3368"/>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0"/>
      <c r="M25" s="2485"/>
      <c r="N25" s="2485"/>
      <c r="O25" s="2485"/>
      <c r="P25" s="3366"/>
      <c r="Q25" s="1263" t="str">
        <f>B25</f>
        <v>毗邻道路的类型与等级</v>
      </c>
      <c r="R25" s="667" t="s">
        <v>14</v>
      </c>
      <c r="S25" s="668">
        <f>F25</f>
        <v>100</v>
      </c>
      <c r="T25" s="667" t="s">
        <v>14</v>
      </c>
      <c r="U25" s="668">
        <f>H25</f>
        <v>100</v>
      </c>
      <c r="V25" s="667" t="s">
        <v>14</v>
      </c>
      <c r="W25" s="668">
        <f>J25</f>
        <v>100</v>
      </c>
      <c r="X25" s="1265"/>
      <c r="Y25" s="3368"/>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0"/>
      <c r="M26" s="2485"/>
      <c r="N26" s="2485"/>
      <c r="O26" s="2485"/>
      <c r="P26" s="3366"/>
      <c r="Q26" s="1263"/>
      <c r="R26" s="667"/>
      <c r="S26" s="668"/>
      <c r="T26" s="667"/>
      <c r="U26" s="668"/>
      <c r="V26" s="667"/>
      <c r="W26" s="668"/>
      <c r="X26" s="1265"/>
      <c r="Y26" s="3368"/>
      <c r="Z26" s="1264"/>
      <c r="AA26" s="1264">
        <v>1</v>
      </c>
      <c r="AB26" s="1264">
        <v>1</v>
      </c>
      <c r="AC26" s="1812">
        <v>1</v>
      </c>
    </row>
    <row r="27" spans="1:29" ht="15">
      <c r="A27" s="367"/>
      <c r="B27" s="401" t="s">
        <v>1783</v>
      </c>
      <c r="C27" s="558" t="s">
        <v>3462</v>
      </c>
      <c r="D27" s="374">
        <v>100</v>
      </c>
      <c r="E27" s="542" t="s">
        <v>3465</v>
      </c>
      <c r="F27" s="374">
        <f>SUMIF(89:89,E27,90:90)-SUMIF(89:89,C27,90:90)+100</f>
        <v>106</v>
      </c>
      <c r="G27" s="558" t="s">
        <v>3463</v>
      </c>
      <c r="H27" s="374">
        <f>SUMIF(89:89,G27,90:90)-SUMIF(89:89,C27,90:90)+100</f>
        <v>103</v>
      </c>
      <c r="I27" s="542" t="s">
        <v>3463</v>
      </c>
      <c r="J27" s="374">
        <f>SUMIF(89:89,I27,90:90)-SUMIF(89:89,C27,90:90)+100</f>
        <v>103</v>
      </c>
      <c r="K27" s="538">
        <v>3</v>
      </c>
      <c r="L27" s="2490"/>
      <c r="M27" s="2485"/>
      <c r="N27" s="2485"/>
      <c r="O27" s="2485"/>
      <c r="P27" s="3366"/>
      <c r="Q27" s="1263" t="str">
        <f t="shared" ref="Q27:Q47" si="11">B27</f>
        <v>楼层</v>
      </c>
      <c r="R27" s="667" t="s">
        <v>14</v>
      </c>
      <c r="S27" s="668">
        <f>F27</f>
        <v>106</v>
      </c>
      <c r="T27" s="667" t="s">
        <v>14</v>
      </c>
      <c r="U27" s="668">
        <f>H27</f>
        <v>103</v>
      </c>
      <c r="V27" s="667" t="s">
        <v>14</v>
      </c>
      <c r="W27" s="668">
        <f>J27</f>
        <v>103</v>
      </c>
      <c r="X27" s="1265"/>
      <c r="Y27" s="3368"/>
      <c r="Z27" s="1264" t="str">
        <f>Q27</f>
        <v>楼层</v>
      </c>
      <c r="AA27" s="1264">
        <f t="shared" si="3"/>
        <v>0.94339622641509435</v>
      </c>
      <c r="AB27" s="1264">
        <f t="shared" si="4"/>
        <v>0.970873786407767</v>
      </c>
      <c r="AC27" s="1812">
        <f t="shared" si="5"/>
        <v>0.970873786407767</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v>0.5</v>
      </c>
      <c r="L28" s="2486"/>
      <c r="M28" s="2438"/>
      <c r="N28" s="2438"/>
      <c r="O28" s="2438"/>
      <c r="P28" s="3366"/>
      <c r="Q28" s="530" t="str">
        <f t="shared" si="11"/>
        <v>朝向</v>
      </c>
      <c r="R28" s="664" t="s">
        <v>14</v>
      </c>
      <c r="S28" s="665">
        <f>F28</f>
        <v>100</v>
      </c>
      <c r="T28" s="664" t="s">
        <v>14</v>
      </c>
      <c r="U28" s="665">
        <f>H28</f>
        <v>100</v>
      </c>
      <c r="V28" s="664" t="s">
        <v>14</v>
      </c>
      <c r="W28" s="665">
        <f>J28</f>
        <v>100</v>
      </c>
      <c r="X28" s="666"/>
      <c r="Y28" s="3368"/>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366"/>
      <c r="Q29" s="1263">
        <f t="shared" si="11"/>
        <v>111</v>
      </c>
      <c r="R29" s="667" t="s">
        <v>14</v>
      </c>
      <c r="S29" s="668">
        <f t="shared" ref="S29:S47" si="12">F29</f>
        <v>100</v>
      </c>
      <c r="T29" s="667" t="s">
        <v>14</v>
      </c>
      <c r="U29" s="668">
        <f t="shared" ref="U29:U47" si="13">H29</f>
        <v>100</v>
      </c>
      <c r="V29" s="667" t="s">
        <v>14</v>
      </c>
      <c r="W29" s="668">
        <f t="shared" ref="W29:W47" si="14">J29</f>
        <v>100</v>
      </c>
      <c r="X29" s="1265"/>
      <c r="Y29" s="3368"/>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366"/>
      <c r="Q30" s="1263">
        <f t="shared" si="11"/>
        <v>111</v>
      </c>
      <c r="R30" s="667" t="s">
        <v>14</v>
      </c>
      <c r="S30" s="668">
        <f t="shared" si="12"/>
        <v>100</v>
      </c>
      <c r="T30" s="667" t="s">
        <v>14</v>
      </c>
      <c r="U30" s="668">
        <f t="shared" si="13"/>
        <v>100</v>
      </c>
      <c r="V30" s="667" t="s">
        <v>14</v>
      </c>
      <c r="W30" s="668">
        <f t="shared" si="14"/>
        <v>100</v>
      </c>
      <c r="X30" s="1265"/>
      <c r="Y30" s="3368"/>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366"/>
      <c r="Q31" s="1263">
        <f t="shared" si="11"/>
        <v>111</v>
      </c>
      <c r="R31" s="667" t="s">
        <v>14</v>
      </c>
      <c r="S31" s="668">
        <f t="shared" si="12"/>
        <v>100</v>
      </c>
      <c r="T31" s="667" t="s">
        <v>14</v>
      </c>
      <c r="U31" s="668">
        <f t="shared" si="13"/>
        <v>100</v>
      </c>
      <c r="V31" s="667" t="s">
        <v>14</v>
      </c>
      <c r="W31" s="668">
        <f t="shared" si="14"/>
        <v>100</v>
      </c>
      <c r="X31" s="1265"/>
      <c r="Y31" s="3368"/>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366"/>
      <c r="Q32" s="1263">
        <f t="shared" si="11"/>
        <v>111</v>
      </c>
      <c r="R32" s="667" t="s">
        <v>14</v>
      </c>
      <c r="S32" s="668">
        <f t="shared" si="12"/>
        <v>100</v>
      </c>
      <c r="T32" s="667" t="s">
        <v>14</v>
      </c>
      <c r="U32" s="668">
        <f t="shared" si="13"/>
        <v>100</v>
      </c>
      <c r="V32" s="667" t="s">
        <v>14</v>
      </c>
      <c r="W32" s="668">
        <f t="shared" si="14"/>
        <v>100</v>
      </c>
      <c r="X32" s="1265"/>
      <c r="Y32" s="3368"/>
      <c r="Z32" s="1264">
        <f t="shared" si="15"/>
        <v>111</v>
      </c>
      <c r="AA32" s="1264">
        <f t="shared" si="3"/>
        <v>1</v>
      </c>
      <c r="AB32" s="1264">
        <f t="shared" si="4"/>
        <v>1</v>
      </c>
      <c r="AC32" s="1812">
        <f t="shared" si="5"/>
        <v>1</v>
      </c>
    </row>
    <row r="33" spans="1:29" ht="15">
      <c r="A33" s="379" t="s">
        <v>1694</v>
      </c>
      <c r="B33" s="60" t="s">
        <v>1817</v>
      </c>
      <c r="C33" s="1764" t="s">
        <v>3466</v>
      </c>
      <c r="D33" s="405">
        <v>100</v>
      </c>
      <c r="E33" s="1764" t="s">
        <v>3466</v>
      </c>
      <c r="F33" s="400">
        <f>SUMIF(101:101,E33,102:102)-SUMIF(101:101,C33,102:102)+100</f>
        <v>100</v>
      </c>
      <c r="G33" s="1764" t="s">
        <v>3466</v>
      </c>
      <c r="H33" s="374">
        <f>SUMIF(101:101,G33,102:102)-SUMIF(101:101,C33,102:102)+100</f>
        <v>100</v>
      </c>
      <c r="I33" s="1764" t="s">
        <v>3466</v>
      </c>
      <c r="J33" s="405">
        <f>SUMIF(101:101,I33,102:102)-SUMIF(101:101,C33,102:102)+100</f>
        <v>100</v>
      </c>
      <c r="K33" s="538">
        <v>2</v>
      </c>
      <c r="L33" s="2490"/>
      <c r="M33" s="2485"/>
      <c r="N33" s="2485"/>
      <c r="O33" s="2485"/>
      <c r="P33" s="3369" t="s">
        <v>1696</v>
      </c>
      <c r="Q33" s="1263" t="str">
        <f t="shared" si="11"/>
        <v>建筑类型</v>
      </c>
      <c r="R33" s="667" t="s">
        <v>14</v>
      </c>
      <c r="S33" s="668">
        <f t="shared" si="12"/>
        <v>100</v>
      </c>
      <c r="T33" s="667" t="s">
        <v>14</v>
      </c>
      <c r="U33" s="668">
        <f t="shared" si="13"/>
        <v>100</v>
      </c>
      <c r="V33" s="667" t="s">
        <v>14</v>
      </c>
      <c r="W33" s="668">
        <f t="shared" si="14"/>
        <v>100</v>
      </c>
      <c r="X33" s="1265"/>
      <c r="Y33" s="3372" t="s">
        <v>1696</v>
      </c>
      <c r="Z33" s="1264" t="str">
        <f t="shared" si="15"/>
        <v>建筑类型</v>
      </c>
      <c r="AA33" s="1264">
        <f t="shared" si="3"/>
        <v>1</v>
      </c>
      <c r="AB33" s="1264">
        <f t="shared" si="4"/>
        <v>1</v>
      </c>
      <c r="AC33" s="1812">
        <f t="shared" si="5"/>
        <v>1</v>
      </c>
    </row>
    <row r="34" spans="1:29" s="408" customFormat="1" ht="15">
      <c r="A34" s="406"/>
      <c r="B34" s="364" t="s">
        <v>1697</v>
      </c>
      <c r="C34" s="407">
        <v>66.63</v>
      </c>
      <c r="D34" s="119">
        <v>100</v>
      </c>
      <c r="E34" s="369">
        <f>售价案例!M3</f>
        <v>50.09</v>
      </c>
      <c r="F34" s="364">
        <f>LOOKUP(E34,104:104,105:105)-LOOKUP(C34,104:104,105:105)+100</f>
        <v>100</v>
      </c>
      <c r="G34" s="368">
        <f>售价案例!$M$4</f>
        <v>62.9</v>
      </c>
      <c r="H34" s="119">
        <f>LOOKUP(G34,104:104,105:105)-LOOKUP(C34,104:104,105:105)+100</f>
        <v>100</v>
      </c>
      <c r="I34" s="368">
        <f>售价案例!M5</f>
        <v>57.93</v>
      </c>
      <c r="J34" s="119">
        <f>LOOKUP(I34,104:104,105:105)-LOOKUP(C34,104:104,105:105)+100</f>
        <v>100</v>
      </c>
      <c r="K34" s="539"/>
      <c r="L34" s="2489"/>
      <c r="M34" s="2491"/>
      <c r="N34" s="2491"/>
      <c r="O34" s="2491"/>
      <c r="P34" s="3370"/>
      <c r="Q34" s="531" t="str">
        <f t="shared" si="11"/>
        <v>项目建筑规模</v>
      </c>
      <c r="R34" s="669" t="s">
        <v>14</v>
      </c>
      <c r="S34" s="670">
        <f t="shared" si="12"/>
        <v>100</v>
      </c>
      <c r="T34" s="669" t="s">
        <v>14</v>
      </c>
      <c r="U34" s="670">
        <f t="shared" si="13"/>
        <v>100</v>
      </c>
      <c r="V34" s="669" t="s">
        <v>14</v>
      </c>
      <c r="W34" s="670">
        <f t="shared" si="14"/>
        <v>100</v>
      </c>
      <c r="X34" s="671"/>
      <c r="Y34" s="3372"/>
      <c r="Z34" s="672" t="str">
        <f t="shared" si="15"/>
        <v>项目建筑规模</v>
      </c>
      <c r="AA34" s="1264">
        <f t="shared" si="3"/>
        <v>1</v>
      </c>
      <c r="AB34" s="1264">
        <f t="shared" si="4"/>
        <v>1</v>
      </c>
      <c r="AC34" s="1812">
        <f t="shared" si="5"/>
        <v>1</v>
      </c>
    </row>
    <row r="35" spans="1:29" ht="15">
      <c r="A35" s="409"/>
      <c r="B35" s="364" t="s">
        <v>1698</v>
      </c>
      <c r="C35" s="399" t="s">
        <v>3427</v>
      </c>
      <c r="D35" s="374">
        <v>100</v>
      </c>
      <c r="E35" s="399" t="s">
        <v>3427</v>
      </c>
      <c r="F35" s="400">
        <f>SUMIF(106:106,E35,107:107)-SUMIF(106:106,C35,107:107)+100</f>
        <v>100</v>
      </c>
      <c r="G35" s="399" t="s">
        <v>3427</v>
      </c>
      <c r="H35" s="374">
        <f>SUMIF(106:106,G35,107:107)-SUMIF(106:106,C35,107:107)+100</f>
        <v>100</v>
      </c>
      <c r="I35" s="399" t="s">
        <v>3427</v>
      </c>
      <c r="J35" s="374">
        <f>SUMIF(106:106,I35,107:107)-SUMIF(106:106,C35,107:107)+100</f>
        <v>100</v>
      </c>
      <c r="K35" s="538">
        <v>2</v>
      </c>
      <c r="L35" s="2490"/>
      <c r="M35" s="2485"/>
      <c r="N35" s="2485"/>
      <c r="O35" s="2485"/>
      <c r="P35" s="3370"/>
      <c r="Q35" s="1263" t="str">
        <f t="shared" si="11"/>
        <v>建筑结构</v>
      </c>
      <c r="R35" s="667" t="s">
        <v>14</v>
      </c>
      <c r="S35" s="668">
        <f t="shared" si="12"/>
        <v>100</v>
      </c>
      <c r="T35" s="667" t="s">
        <v>14</v>
      </c>
      <c r="U35" s="668">
        <f t="shared" si="13"/>
        <v>100</v>
      </c>
      <c r="V35" s="667" t="s">
        <v>14</v>
      </c>
      <c r="W35" s="668">
        <f t="shared" si="14"/>
        <v>100</v>
      </c>
      <c r="X35" s="1265"/>
      <c r="Y35" s="3372"/>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0"/>
      <c r="M36" s="2485"/>
      <c r="N36" s="2485"/>
      <c r="O36" s="2485"/>
      <c r="P36" s="3370"/>
      <c r="Q36" s="1263" t="str">
        <f t="shared" si="11"/>
        <v>公共部分装修</v>
      </c>
      <c r="R36" s="667" t="s">
        <v>14</v>
      </c>
      <c r="S36" s="668">
        <f t="shared" si="12"/>
        <v>100</v>
      </c>
      <c r="T36" s="667" t="s">
        <v>14</v>
      </c>
      <c r="U36" s="668">
        <f t="shared" si="13"/>
        <v>100</v>
      </c>
      <c r="V36" s="667" t="s">
        <v>14</v>
      </c>
      <c r="W36" s="668">
        <f t="shared" si="14"/>
        <v>100</v>
      </c>
      <c r="X36" s="1265"/>
      <c r="Y36" s="3372"/>
      <c r="Z36" s="1264" t="str">
        <f t="shared" si="15"/>
        <v>公共部分装修</v>
      </c>
      <c r="AA36" s="1264">
        <f t="shared" si="3"/>
        <v>1</v>
      </c>
      <c r="AB36" s="1264">
        <f t="shared" si="4"/>
        <v>1</v>
      </c>
      <c r="AC36" s="1812">
        <f t="shared" si="5"/>
        <v>1</v>
      </c>
    </row>
    <row r="37" spans="1:29" ht="15">
      <c r="A37" s="409"/>
      <c r="B37" s="364" t="s">
        <v>1786</v>
      </c>
      <c r="C37" s="411">
        <f>'数据-取费表'!N6</f>
        <v>0.85</v>
      </c>
      <c r="D37" s="374">
        <v>100</v>
      </c>
      <c r="E37" s="411">
        <f>C37</f>
        <v>0.85</v>
      </c>
      <c r="F37" s="400">
        <f>LOOKUP(E37,111:111,112:112)-LOOKUP(C37,111:111,112:112)+100</f>
        <v>100</v>
      </c>
      <c r="G37" s="411">
        <f>C37</f>
        <v>0.85</v>
      </c>
      <c r="H37" s="400">
        <f>LOOKUP(G37,111:111,112:112)-LOOKUP(C37,111:111,112:112)+100</f>
        <v>100</v>
      </c>
      <c r="I37" s="411">
        <f>C37</f>
        <v>0.85</v>
      </c>
      <c r="J37" s="374">
        <f>LOOKUP(I37,111:111,112:112)-LOOKUP(C37,111:111,112:112)+100</f>
        <v>100</v>
      </c>
      <c r="K37" s="538">
        <v>1</v>
      </c>
      <c r="L37" s="2490"/>
      <c r="M37" s="2485"/>
      <c r="N37" s="2485"/>
      <c r="O37" s="2485"/>
      <c r="P37" s="3370"/>
      <c r="Q37" s="1263" t="str">
        <f t="shared" si="11"/>
        <v>成新度</v>
      </c>
      <c r="R37" s="667" t="s">
        <v>14</v>
      </c>
      <c r="S37" s="668">
        <f t="shared" si="12"/>
        <v>100</v>
      </c>
      <c r="T37" s="667" t="s">
        <v>14</v>
      </c>
      <c r="U37" s="668">
        <f t="shared" si="13"/>
        <v>100</v>
      </c>
      <c r="V37" s="667" t="s">
        <v>14</v>
      </c>
      <c r="W37" s="668">
        <f t="shared" si="14"/>
        <v>100</v>
      </c>
      <c r="X37" s="1265"/>
      <c r="Y37" s="3372"/>
      <c r="Z37" s="1264" t="str">
        <f t="shared" si="15"/>
        <v>成新度</v>
      </c>
      <c r="AA37" s="1264">
        <f t="shared" si="3"/>
        <v>1</v>
      </c>
      <c r="AB37" s="1264">
        <f t="shared" si="4"/>
        <v>1</v>
      </c>
      <c r="AC37" s="1812">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6"/>
      <c r="M38" s="2438"/>
      <c r="N38" s="2438"/>
      <c r="O38" s="2438"/>
      <c r="P38" s="3370"/>
      <c r="Q38" s="530" t="str">
        <f t="shared" si="11"/>
        <v>写字楼等级</v>
      </c>
      <c r="R38" s="664" t="s">
        <v>14</v>
      </c>
      <c r="S38" s="665">
        <f t="shared" si="12"/>
        <v>100</v>
      </c>
      <c r="T38" s="664" t="s">
        <v>14</v>
      </c>
      <c r="U38" s="665">
        <f t="shared" si="13"/>
        <v>100</v>
      </c>
      <c r="V38" s="664" t="s">
        <v>14</v>
      </c>
      <c r="W38" s="665">
        <f t="shared" si="14"/>
        <v>100</v>
      </c>
      <c r="X38" s="666"/>
      <c r="Y38" s="3372"/>
      <c r="Z38" s="50" t="str">
        <f t="shared" si="15"/>
        <v>写字楼等级</v>
      </c>
      <c r="AA38" s="50">
        <f t="shared" si="3"/>
        <v>1</v>
      </c>
      <c r="AB38" s="50">
        <f t="shared" si="4"/>
        <v>1</v>
      </c>
      <c r="AC38" s="802">
        <f t="shared" si="5"/>
        <v>1</v>
      </c>
    </row>
    <row r="39" spans="1:29" ht="15">
      <c r="A39" s="409"/>
      <c r="B39" s="364" t="s">
        <v>1819</v>
      </c>
      <c r="C39" s="399" t="s">
        <v>3474</v>
      </c>
      <c r="D39" s="374">
        <v>100</v>
      </c>
      <c r="E39" s="399" t="s">
        <v>3474</v>
      </c>
      <c r="F39" s="400">
        <f>SUMIF(115:115,E39,116:116)-SUMIF(115:115,C39,116:116)+100</f>
        <v>100</v>
      </c>
      <c r="G39" s="399" t="s">
        <v>3474</v>
      </c>
      <c r="H39" s="374">
        <f>SUMIF(115:115,G39,116:116)-SUMIF(115:115,C39,116:116)+100</f>
        <v>100</v>
      </c>
      <c r="I39" s="399" t="s">
        <v>3474</v>
      </c>
      <c r="J39" s="374">
        <f>SUMIF(115:115,I39,116:116)-SUMIF(115:115,C39,116:116)+100</f>
        <v>100</v>
      </c>
      <c r="K39" s="538">
        <v>2</v>
      </c>
      <c r="L39" s="2490"/>
      <c r="M39" s="2485"/>
      <c r="N39" s="2485"/>
      <c r="O39" s="2485"/>
      <c r="P39" s="3370" t="s">
        <v>1696</v>
      </c>
      <c r="Q39" s="1263" t="str">
        <f t="shared" si="11"/>
        <v>物业管理</v>
      </c>
      <c r="R39" s="667" t="s">
        <v>14</v>
      </c>
      <c r="S39" s="668">
        <f t="shared" si="12"/>
        <v>100</v>
      </c>
      <c r="T39" s="667" t="s">
        <v>14</v>
      </c>
      <c r="U39" s="668">
        <f t="shared" si="13"/>
        <v>100</v>
      </c>
      <c r="V39" s="667" t="s">
        <v>14</v>
      </c>
      <c r="W39" s="668">
        <f t="shared" si="14"/>
        <v>100</v>
      </c>
      <c r="X39" s="1265"/>
      <c r="Y39" s="3372" t="s">
        <v>1696</v>
      </c>
      <c r="Z39" s="1264" t="str">
        <f t="shared" si="15"/>
        <v>物业管理</v>
      </c>
      <c r="AA39" s="1264">
        <f t="shared" si="3"/>
        <v>1</v>
      </c>
      <c r="AB39" s="1264">
        <f t="shared" si="4"/>
        <v>1</v>
      </c>
      <c r="AC39" s="1812">
        <f t="shared" si="5"/>
        <v>1</v>
      </c>
    </row>
    <row r="40" spans="1:29" ht="15">
      <c r="A40" s="409"/>
      <c r="B40" s="364" t="s">
        <v>1787</v>
      </c>
      <c r="C40" s="399" t="s">
        <v>3477</v>
      </c>
      <c r="D40" s="374">
        <v>100</v>
      </c>
      <c r="E40" s="399" t="s">
        <v>3477</v>
      </c>
      <c r="F40" s="400">
        <f>SUMIF(117:117,E40,118:118)-SUMIF(117:117,C40,118:118)+100</f>
        <v>100</v>
      </c>
      <c r="G40" s="399" t="s">
        <v>3477</v>
      </c>
      <c r="H40" s="374">
        <f>SUMIF(117:117,G40,118:118)-SUMIF(117:117,C40,118:118)+100</f>
        <v>100</v>
      </c>
      <c r="I40" s="399" t="s">
        <v>3477</v>
      </c>
      <c r="J40" s="374">
        <f>SUMIF(117:117,I40,118:118)-SUMIF(117:117,C40,118:118)+100</f>
        <v>100</v>
      </c>
      <c r="K40" s="538">
        <v>1</v>
      </c>
      <c r="L40" s="2490"/>
      <c r="M40" s="2485"/>
      <c r="N40" s="2485"/>
      <c r="O40" s="2485"/>
      <c r="P40" s="3370"/>
      <c r="Q40" s="1263" t="str">
        <f t="shared" si="11"/>
        <v>市政基础设施</v>
      </c>
      <c r="R40" s="667" t="s">
        <v>14</v>
      </c>
      <c r="S40" s="668">
        <f t="shared" si="12"/>
        <v>100</v>
      </c>
      <c r="T40" s="667" t="s">
        <v>14</v>
      </c>
      <c r="U40" s="668">
        <f t="shared" si="13"/>
        <v>100</v>
      </c>
      <c r="V40" s="667" t="s">
        <v>14</v>
      </c>
      <c r="W40" s="668">
        <f t="shared" si="14"/>
        <v>100</v>
      </c>
      <c r="X40" s="1265"/>
      <c r="Y40" s="3372"/>
      <c r="Z40" s="1264" t="str">
        <f t="shared" si="15"/>
        <v>市政基础设施</v>
      </c>
      <c r="AA40" s="1264">
        <f t="shared" si="3"/>
        <v>1</v>
      </c>
      <c r="AB40" s="1264">
        <f t="shared" si="4"/>
        <v>1</v>
      </c>
      <c r="AC40" s="1812">
        <f t="shared" si="5"/>
        <v>1</v>
      </c>
    </row>
    <row r="41" spans="1:29" ht="15">
      <c r="A41" s="409"/>
      <c r="B41" s="364" t="s">
        <v>1789</v>
      </c>
      <c r="C41" s="542" t="s">
        <v>3481</v>
      </c>
      <c r="D41" s="374">
        <v>100</v>
      </c>
      <c r="E41" s="542" t="s">
        <v>3481</v>
      </c>
      <c r="F41" s="400">
        <f>SUMIF(119:119,E41,120:120)-SUMIF(119:119,C41,120:120)+100</f>
        <v>100</v>
      </c>
      <c r="G41" s="542" t="s">
        <v>3481</v>
      </c>
      <c r="H41" s="374">
        <f>SUMIF(119:119,G41,120:120)-SUMIF(119:119,C41,120:120)+100</f>
        <v>100</v>
      </c>
      <c r="I41" s="542" t="s">
        <v>3481</v>
      </c>
      <c r="J41" s="374">
        <f>SUMIF(119:119,I41,120:120)-SUMIF(119:119,C41,120:120)+100</f>
        <v>100</v>
      </c>
      <c r="K41" s="538">
        <v>5</v>
      </c>
      <c r="L41" s="2490"/>
      <c r="M41" s="2485"/>
      <c r="N41" s="2485"/>
      <c r="O41" s="2485"/>
      <c r="P41" s="3370"/>
      <c r="Q41" s="1263" t="str">
        <f t="shared" si="11"/>
        <v>层高</v>
      </c>
      <c r="R41" s="667" t="s">
        <v>14</v>
      </c>
      <c r="S41" s="668">
        <f t="shared" si="12"/>
        <v>100</v>
      </c>
      <c r="T41" s="667" t="s">
        <v>14</v>
      </c>
      <c r="U41" s="668">
        <f t="shared" si="13"/>
        <v>100</v>
      </c>
      <c r="V41" s="667" t="s">
        <v>14</v>
      </c>
      <c r="W41" s="668">
        <f t="shared" si="14"/>
        <v>100</v>
      </c>
      <c r="X41" s="1265"/>
      <c r="Y41" s="3372"/>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70"/>
      <c r="Q42" s="531" t="str">
        <f t="shared" si="11"/>
        <v>单套建筑面积</v>
      </c>
      <c r="R42" s="669" t="s">
        <v>14</v>
      </c>
      <c r="S42" s="670">
        <f t="shared" si="12"/>
        <v>100</v>
      </c>
      <c r="T42" s="669" t="s">
        <v>14</v>
      </c>
      <c r="U42" s="670">
        <f t="shared" si="13"/>
        <v>100</v>
      </c>
      <c r="V42" s="669" t="s">
        <v>14</v>
      </c>
      <c r="W42" s="670">
        <f t="shared" si="14"/>
        <v>100</v>
      </c>
      <c r="X42" s="671"/>
      <c r="Y42" s="3372"/>
      <c r="Z42" s="672" t="str">
        <f t="shared" si="15"/>
        <v>单套建筑面积</v>
      </c>
      <c r="AA42" s="1264">
        <f t="shared" si="3"/>
        <v>1</v>
      </c>
      <c r="AB42" s="1264">
        <f t="shared" si="4"/>
        <v>1</v>
      </c>
      <c r="AC42" s="1812">
        <f t="shared" si="5"/>
        <v>1</v>
      </c>
    </row>
    <row r="43" spans="1:29" ht="15">
      <c r="A43" s="409"/>
      <c r="B43" s="364" t="s">
        <v>1792</v>
      </c>
      <c r="C43" s="399" t="s">
        <v>3470</v>
      </c>
      <c r="D43" s="374">
        <v>100</v>
      </c>
      <c r="E43" s="399" t="s">
        <v>3470</v>
      </c>
      <c r="F43" s="400">
        <f>SUMIF(123:123,E43,124:124)-SUMIF(123:123,C43,124:124)+100</f>
        <v>100</v>
      </c>
      <c r="G43" s="399" t="s">
        <v>3470</v>
      </c>
      <c r="H43" s="374">
        <f>SUMIF(123:123,G43,124:124)-SUMIF(123:123,C43,124:124)+100</f>
        <v>100</v>
      </c>
      <c r="I43" s="399" t="s">
        <v>3470</v>
      </c>
      <c r="J43" s="374">
        <f>SUMIF(123:123,I43,124:124)-SUMIF(123:123,C43,124:124)+100</f>
        <v>100</v>
      </c>
      <c r="K43" s="538">
        <v>2</v>
      </c>
      <c r="L43" s="2490"/>
      <c r="M43" s="2485"/>
      <c r="N43" s="2485"/>
      <c r="O43" s="2485"/>
      <c r="P43" s="3370"/>
      <c r="Q43" s="1263" t="str">
        <f t="shared" si="11"/>
        <v>内部装修</v>
      </c>
      <c r="R43" s="667" t="s">
        <v>14</v>
      </c>
      <c r="S43" s="668">
        <f t="shared" si="12"/>
        <v>100</v>
      </c>
      <c r="T43" s="667" t="s">
        <v>14</v>
      </c>
      <c r="U43" s="668">
        <f t="shared" si="13"/>
        <v>100</v>
      </c>
      <c r="V43" s="667" t="s">
        <v>14</v>
      </c>
      <c r="W43" s="668">
        <f t="shared" si="14"/>
        <v>100</v>
      </c>
      <c r="X43" s="1265"/>
      <c r="Y43" s="3372"/>
      <c r="Z43" s="1264" t="str">
        <f t="shared" si="15"/>
        <v>内部装修</v>
      </c>
      <c r="AA43" s="1264">
        <f t="shared" si="3"/>
        <v>1</v>
      </c>
      <c r="AB43" s="1264">
        <f t="shared" si="4"/>
        <v>1</v>
      </c>
      <c r="AC43" s="1812">
        <f t="shared" si="5"/>
        <v>1</v>
      </c>
    </row>
    <row r="44" spans="1:29" ht="28.8">
      <c r="A44" s="409"/>
      <c r="B44" s="364" t="s">
        <v>1707</v>
      </c>
      <c r="C44" s="399" t="s">
        <v>3439</v>
      </c>
      <c r="D44" s="374">
        <v>100</v>
      </c>
      <c r="E44" s="399" t="s">
        <v>3439</v>
      </c>
      <c r="F44" s="400">
        <f>SUMIF(125:125,E44,126:126)-SUMIF(125:125,C44,126:126)+100</f>
        <v>100</v>
      </c>
      <c r="G44" s="399" t="s">
        <v>3439</v>
      </c>
      <c r="H44" s="374">
        <f>SUMIF(125:125,G44,126:126)-SUMIF(125:125,C44,126:126)+100</f>
        <v>100</v>
      </c>
      <c r="I44" s="399" t="s">
        <v>3439</v>
      </c>
      <c r="J44" s="374">
        <f>SUMIF(125:125,I44,126:126)-SUMIF(125:125,C44,126:126)+100</f>
        <v>100</v>
      </c>
      <c r="K44" s="538">
        <v>2</v>
      </c>
      <c r="L44" s="2490"/>
      <c r="M44" s="2485"/>
      <c r="N44" s="2485"/>
      <c r="O44" s="2485"/>
      <c r="P44" s="3370"/>
      <c r="Q44" s="1263" t="str">
        <f t="shared" si="11"/>
        <v>内部装修维护情况</v>
      </c>
      <c r="R44" s="667" t="s">
        <v>14</v>
      </c>
      <c r="S44" s="668">
        <f t="shared" si="12"/>
        <v>100</v>
      </c>
      <c r="T44" s="667" t="s">
        <v>14</v>
      </c>
      <c r="U44" s="668">
        <f t="shared" si="13"/>
        <v>100</v>
      </c>
      <c r="V44" s="667" t="s">
        <v>14</v>
      </c>
      <c r="W44" s="668">
        <f t="shared" si="14"/>
        <v>100</v>
      </c>
      <c r="X44" s="1265"/>
      <c r="Y44" s="3372"/>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370"/>
      <c r="Q45" s="530">
        <f t="shared" si="11"/>
        <v>111</v>
      </c>
      <c r="R45" s="664" t="s">
        <v>14</v>
      </c>
      <c r="S45" s="665">
        <f t="shared" si="12"/>
        <v>100</v>
      </c>
      <c r="T45" s="664" t="s">
        <v>14</v>
      </c>
      <c r="U45" s="665">
        <f t="shared" si="13"/>
        <v>100</v>
      </c>
      <c r="V45" s="664" t="s">
        <v>14</v>
      </c>
      <c r="W45" s="665">
        <f t="shared" si="14"/>
        <v>100</v>
      </c>
      <c r="X45" s="666"/>
      <c r="Y45" s="3372"/>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370"/>
      <c r="Q46" s="1263">
        <f t="shared" si="11"/>
        <v>111</v>
      </c>
      <c r="R46" s="667" t="s">
        <v>14</v>
      </c>
      <c r="S46" s="668">
        <f t="shared" si="12"/>
        <v>100</v>
      </c>
      <c r="T46" s="667" t="s">
        <v>14</v>
      </c>
      <c r="U46" s="668">
        <f t="shared" si="13"/>
        <v>100</v>
      </c>
      <c r="V46" s="667" t="s">
        <v>14</v>
      </c>
      <c r="W46" s="668">
        <f t="shared" si="14"/>
        <v>100</v>
      </c>
      <c r="X46" s="1265"/>
      <c r="Y46" s="3372"/>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371"/>
      <c r="Q47" s="1263">
        <f t="shared" si="11"/>
        <v>111</v>
      </c>
      <c r="R47" s="667" t="s">
        <v>14</v>
      </c>
      <c r="S47" s="668">
        <f t="shared" si="12"/>
        <v>100</v>
      </c>
      <c r="T47" s="667" t="s">
        <v>14</v>
      </c>
      <c r="U47" s="668">
        <f t="shared" si="13"/>
        <v>100</v>
      </c>
      <c r="V47" s="667" t="s">
        <v>14</v>
      </c>
      <c r="W47" s="668">
        <f t="shared" si="14"/>
        <v>100</v>
      </c>
      <c r="X47" s="1265"/>
      <c r="Y47" s="3373"/>
      <c r="Z47" s="1264">
        <f t="shared" si="15"/>
        <v>111</v>
      </c>
      <c r="AA47" s="1264">
        <f t="shared" si="3"/>
        <v>1</v>
      </c>
      <c r="AB47" s="1264">
        <f t="shared" si="4"/>
        <v>1</v>
      </c>
      <c r="AC47" s="1812">
        <f t="shared" si="5"/>
        <v>1</v>
      </c>
    </row>
    <row r="48" spans="1:29" ht="14.4">
      <c r="A48" s="416" t="s">
        <v>1708</v>
      </c>
      <c r="B48" s="417"/>
      <c r="C48" s="1081" t="s">
        <v>0</v>
      </c>
      <c r="D48" s="418"/>
      <c r="E48" s="419">
        <f>售价案例!N3</f>
        <v>17968</v>
      </c>
      <c r="F48" s="420"/>
      <c r="G48" s="421">
        <f>售价案例!$N$4</f>
        <v>17966</v>
      </c>
      <c r="H48" s="422"/>
      <c r="I48" s="419">
        <f>售价案例!N5</f>
        <v>16054</v>
      </c>
      <c r="J48" s="422"/>
      <c r="K48" s="674"/>
      <c r="L48" s="2492"/>
      <c r="M48" s="2485"/>
      <c r="N48" s="2485"/>
      <c r="O48" s="2485"/>
      <c r="P48" s="3359" t="str">
        <f>A48</f>
        <v>成交单价（元/平方米）</v>
      </c>
      <c r="Q48" s="3360"/>
      <c r="R48" s="3361">
        <f>E48</f>
        <v>17968</v>
      </c>
      <c r="S48" s="3361"/>
      <c r="T48" s="3361">
        <f>G48</f>
        <v>17966</v>
      </c>
      <c r="U48" s="3361"/>
      <c r="V48" s="3361">
        <f>I48</f>
        <v>16054</v>
      </c>
      <c r="W48" s="3361"/>
      <c r="X48" s="385"/>
      <c r="Y48" s="673"/>
      <c r="Z48" s="385"/>
      <c r="AA48" s="385"/>
      <c r="AB48" s="385"/>
      <c r="AC48" s="555"/>
    </row>
    <row r="49" spans="1:29" ht="15" thickBot="1">
      <c r="A49" s="423" t="s">
        <v>1793</v>
      </c>
      <c r="B49" s="424"/>
      <c r="C49" s="1082">
        <f>R50</f>
        <v>15867</v>
      </c>
      <c r="D49" s="2140" t="s">
        <v>2138</v>
      </c>
      <c r="E49" s="1083">
        <f>R49</f>
        <v>16144</v>
      </c>
      <c r="F49" s="2141"/>
      <c r="G49" s="1082">
        <f>T49</f>
        <v>16612</v>
      </c>
      <c r="H49" s="2141"/>
      <c r="I49" s="1083">
        <f>V49</f>
        <v>14844</v>
      </c>
      <c r="J49" s="2141"/>
      <c r="K49" s="2143">
        <f>F49+H49+J49</f>
        <v>0</v>
      </c>
      <c r="L49" s="2492"/>
      <c r="M49" s="2485"/>
      <c r="N49" s="2485"/>
      <c r="O49" s="2485"/>
      <c r="P49" s="3359" t="str">
        <f>A49</f>
        <v>比较价值（元/平方米）</v>
      </c>
      <c r="Q49" s="3360"/>
      <c r="R49" s="3361">
        <f>IF(F1="售价",ROUND(PRODUCT(R48,AA7:AA47),0),ROUND(PRODUCT(R48,AA7:AA47),1))</f>
        <v>16144</v>
      </c>
      <c r="S49" s="3361"/>
      <c r="T49" s="3361">
        <f>IF(F1="售价",ROUND(PRODUCT(T48,AB7:AB47),0),ROUND(PRODUCT(T48,AB7:AB47),1))</f>
        <v>16612</v>
      </c>
      <c r="U49" s="3361"/>
      <c r="V49" s="3361">
        <f>IF(F1="售价",ROUND(PRODUCT(V48,AC7:AC47),0),ROUND(PRODUCT(V48,AC7:AC47),1))</f>
        <v>14844</v>
      </c>
      <c r="W49" s="3361"/>
      <c r="X49" s="385"/>
      <c r="Y49" s="385"/>
      <c r="Z49" s="385"/>
      <c r="AA49" s="385"/>
      <c r="AB49" s="385"/>
      <c r="AC49" s="555"/>
    </row>
    <row r="50" spans="1:29" ht="15" thickBot="1">
      <c r="A50" s="427" t="s">
        <v>1794</v>
      </c>
      <c r="B50" s="428"/>
      <c r="C50" s="351">
        <f>R50</f>
        <v>15867</v>
      </c>
      <c r="D50" s="351"/>
      <c r="E50" s="351"/>
      <c r="F50" s="351"/>
      <c r="G50" s="351"/>
      <c r="H50" s="351"/>
      <c r="I50" s="351"/>
      <c r="J50" s="429"/>
      <c r="K50" s="675"/>
      <c r="L50" s="2492"/>
      <c r="M50" s="2485"/>
      <c r="N50" s="2485"/>
      <c r="O50" s="2485"/>
      <c r="P50" s="3362" t="str">
        <f>A50</f>
        <v>估价对象XX用房的比较价值（楼面单价，元/平方米）</v>
      </c>
      <c r="Q50" s="3363"/>
      <c r="R50" s="3364">
        <f>IF(F1="售价",ROUND(IF(D49="简单平均",AVERAGE(R49:V49),R49*F49+T49*H49+V49*J49),0),ROUND(IF(D49="简单平均",AVERAGE(R49:V49),R49*F49+T49*H49+V49*J49),1))</f>
        <v>15867</v>
      </c>
      <c r="S50" s="3364"/>
      <c r="T50" s="3364"/>
      <c r="U50" s="3364"/>
      <c r="V50" s="3364"/>
      <c r="W50" s="3364"/>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f>IF(E48&lt;E49,E49/E48-1,E48/E49-1)</f>
        <v>0.11298315163528239</v>
      </c>
      <c r="F53" s="435" t="str">
        <f>IF(OR(E53&gt;=0.3,E53&lt;=-0.3),"超过30%","")</f>
        <v/>
      </c>
      <c r="G53" s="434">
        <f>IF(G48&lt;G49,G49/G48-1,G48/G49-1)</f>
        <v>8.1507344088610711E-2</v>
      </c>
      <c r="H53" s="435" t="str">
        <f>IF(OR(G53&gt;=0.3,G53&lt;=-0.3),"超过30%","")</f>
        <v/>
      </c>
      <c r="I53" s="434">
        <f>IF(I48&lt;I49,I49/I48-1,I48/I49-1)</f>
        <v>8.1514416599299366E-2</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f>IF(E49&lt;G49,G49/E49-1,E49/G49-1)</f>
        <v>2.8989098116947387E-2</v>
      </c>
      <c r="F54" s="435" t="str">
        <f>IF(OR(E54&gt;=0.2,E54&lt;=-0.2),"超过20%","")</f>
        <v/>
      </c>
      <c r="G54" s="434">
        <f>IF(G49&lt;I49,I49/G49-1,G49/I49-1)</f>
        <v>0.11910536243600101</v>
      </c>
      <c r="H54" s="435" t="str">
        <f>IF(OR(G54&gt;=0.2,G54&lt;=-0.2),"超过20%","")</f>
        <v/>
      </c>
      <c r="I54" s="434">
        <f>IF(I49&lt;E49,E49/I49-1,I49/E49-1)</f>
        <v>8.7577472379412491E-2</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f>IF(E48&lt;G48,G48/E48-1,E48/G48-1)</f>
        <v>1.1132138483804788E-4</v>
      </c>
      <c r="F55" s="435" t="str">
        <f>IF(OR(E55&gt;=0.3,E55&lt;=-0.3),"超过30%","")</f>
        <v/>
      </c>
      <c r="G55" s="434">
        <f>IF(G48&lt;I48,I48/G48-1,G48/I48-1)</f>
        <v>0.11909804410115865</v>
      </c>
      <c r="H55" s="435" t="str">
        <f>IF(OR(G55&gt;=0.3,G55&lt;=-0.3),"超过30%","")</f>
        <v/>
      </c>
      <c r="I55" s="434">
        <f>IF(I48&lt;E48,E48/I48-1,I48/E48-1)</f>
        <v>0.11922262364519742</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2025-6</v>
      </c>
      <c r="D59" s="1104">
        <f>EDATE(C59,-1)</f>
        <v>45778</v>
      </c>
      <c r="E59" s="1104">
        <f>EDATE(D59,-1)</f>
        <v>45748</v>
      </c>
      <c r="F59" s="1104">
        <f t="shared" ref="F59:O59" si="16">EDATE(E59,-1)</f>
        <v>45717</v>
      </c>
      <c r="G59" s="1104">
        <f t="shared" si="16"/>
        <v>45689</v>
      </c>
      <c r="H59" s="1104">
        <f t="shared" si="16"/>
        <v>45658</v>
      </c>
      <c r="I59" s="1104">
        <f t="shared" si="16"/>
        <v>45627</v>
      </c>
      <c r="J59" s="1104">
        <f t="shared" si="16"/>
        <v>45597</v>
      </c>
      <c r="K59" s="1104">
        <f t="shared" si="16"/>
        <v>45566</v>
      </c>
      <c r="L59" s="1104">
        <f t="shared" si="16"/>
        <v>45536</v>
      </c>
      <c r="M59" s="1104">
        <f t="shared" si="16"/>
        <v>45505</v>
      </c>
      <c r="N59" s="1104">
        <f t="shared" si="16"/>
        <v>45474</v>
      </c>
      <c r="O59" s="1104">
        <f t="shared" si="16"/>
        <v>45444</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65" t="s">
        <v>3448</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v>105</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t="str">
        <f>C9</f>
        <v>商务办公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t="s">
        <v>3452</v>
      </c>
      <c r="D66" s="513" t="s">
        <v>3453</v>
      </c>
      <c r="E66" s="513" t="s">
        <v>3454</v>
      </c>
      <c r="F66" s="513" t="s">
        <v>3455</v>
      </c>
      <c r="G66" s="513" t="s">
        <v>3456</v>
      </c>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f t="shared" ref="C67:E67" si="17">D67-2</f>
        <v>92</v>
      </c>
      <c r="D67" s="467">
        <f t="shared" si="17"/>
        <v>94</v>
      </c>
      <c r="E67" s="467">
        <f t="shared" si="17"/>
        <v>96</v>
      </c>
      <c r="F67" s="467">
        <f>G67-2</f>
        <v>98</v>
      </c>
      <c r="G67" s="467">
        <v>100</v>
      </c>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97</v>
      </c>
      <c r="E78" s="475">
        <f>D78-$K15</f>
        <v>94</v>
      </c>
      <c r="F78" s="475">
        <f>E78-$K15</f>
        <v>91</v>
      </c>
      <c r="G78" s="475">
        <f>F78-$K15</f>
        <v>88</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98</v>
      </c>
      <c r="E82" s="475">
        <f>D82-$K19</f>
        <v>96</v>
      </c>
      <c r="F82" s="475">
        <f>E82-$K19</f>
        <v>94</v>
      </c>
      <c r="G82" s="475">
        <f>F82-$K19</f>
        <v>92</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99</v>
      </c>
      <c r="E84" s="475">
        <f>D84-$K21</f>
        <v>98</v>
      </c>
      <c r="F84" s="475">
        <f>E84-$K21</f>
        <v>97</v>
      </c>
      <c r="G84" s="475">
        <f>F84-$K21</f>
        <v>96</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3167" t="s">
        <v>3458</v>
      </c>
      <c r="D87" s="3168" t="s">
        <v>3459</v>
      </c>
      <c r="E87" s="3168" t="s">
        <v>3460</v>
      </c>
      <c r="F87" s="3168" t="s">
        <v>3461</v>
      </c>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0"/>
      <c r="O88" s="2520"/>
      <c r="P88" s="2528"/>
      <c r="Q88" s="2506"/>
      <c r="R88" s="2438"/>
      <c r="S88" s="2438"/>
      <c r="T88" s="2438"/>
      <c r="U88" s="2438"/>
      <c r="V88" s="2438"/>
      <c r="W88" s="2438"/>
      <c r="X88" s="2438"/>
      <c r="Y88" s="2438"/>
      <c r="Z88" s="2438"/>
      <c r="AA88" s="2438"/>
      <c r="AB88" s="2438"/>
      <c r="AC88" s="2438"/>
    </row>
    <row r="89" spans="1:29" s="102" customFormat="1" ht="15" thickTop="1">
      <c r="A89" s="370"/>
      <c r="B89" s="469" t="str">
        <f>B27</f>
        <v>楼层</v>
      </c>
      <c r="C89" s="3168" t="s">
        <v>3508</v>
      </c>
      <c r="D89" s="3168" t="s">
        <v>3464</v>
      </c>
      <c r="E89" s="3168" t="s">
        <v>3509</v>
      </c>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97</v>
      </c>
      <c r="E90" s="475">
        <f t="shared" ref="E90:M90" si="21">D90-$K27</f>
        <v>94</v>
      </c>
      <c r="F90" s="475">
        <f t="shared" si="21"/>
        <v>91</v>
      </c>
      <c r="G90" s="475">
        <f t="shared" si="21"/>
        <v>88</v>
      </c>
      <c r="H90" s="475">
        <f t="shared" si="21"/>
        <v>85</v>
      </c>
      <c r="I90" s="475">
        <f t="shared" si="21"/>
        <v>82</v>
      </c>
      <c r="J90" s="475">
        <f t="shared" si="21"/>
        <v>79</v>
      </c>
      <c r="K90" s="475">
        <f t="shared" si="21"/>
        <v>76</v>
      </c>
      <c r="L90" s="475">
        <f t="shared" si="21"/>
        <v>73</v>
      </c>
      <c r="M90" s="475">
        <f t="shared" si="21"/>
        <v>70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2">C92-$K28</f>
        <v>99.5</v>
      </c>
      <c r="E92" s="475">
        <f t="shared" si="22"/>
        <v>99</v>
      </c>
      <c r="F92" s="475">
        <f t="shared" si="22"/>
        <v>98.5</v>
      </c>
      <c r="G92" s="475">
        <f t="shared" si="22"/>
        <v>98</v>
      </c>
      <c r="H92" s="475">
        <f t="shared" si="22"/>
        <v>97.5</v>
      </c>
      <c r="I92" s="475">
        <f t="shared" si="22"/>
        <v>97</v>
      </c>
      <c r="J92" s="475">
        <f t="shared" si="22"/>
        <v>96.5</v>
      </c>
      <c r="K92" s="475">
        <f t="shared" si="22"/>
        <v>96</v>
      </c>
      <c r="L92" s="475">
        <f t="shared" si="22"/>
        <v>95.5</v>
      </c>
      <c r="M92" s="475">
        <f t="shared" si="22"/>
        <v>95</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3169" t="s">
        <v>3467</v>
      </c>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0(含)-80</v>
      </c>
      <c r="D103" s="509" t="str">
        <f t="shared" ref="D103:L103" si="24">D104&amp;"(含)"&amp;"-"&amp;E104</f>
        <v>80(含)-</v>
      </c>
      <c r="E103" s="509" t="str">
        <f t="shared" si="24"/>
        <v>(含)-</v>
      </c>
      <c r="F103" s="509" t="str">
        <f t="shared" si="24"/>
        <v>(含)-</v>
      </c>
      <c r="G103" s="509" t="str">
        <f t="shared" si="24"/>
        <v>(含)-</v>
      </c>
      <c r="H103" s="509" t="str">
        <f t="shared" si="24"/>
        <v>(含)-</v>
      </c>
      <c r="I103" s="509" t="str">
        <f t="shared" si="24"/>
        <v>(含)-</v>
      </c>
      <c r="J103" s="509" t="str">
        <f t="shared" si="24"/>
        <v>(含)-</v>
      </c>
      <c r="K103" s="509" t="str">
        <f t="shared" si="24"/>
        <v>(含)-</v>
      </c>
      <c r="L103" s="509" t="str">
        <f t="shared" si="24"/>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80</v>
      </c>
      <c r="E104" s="6"/>
      <c r="F104" s="6"/>
      <c r="G104" s="6"/>
      <c r="H104" s="6"/>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v>100</v>
      </c>
      <c r="D105" s="467">
        <v>100</v>
      </c>
      <c r="E105" s="467"/>
      <c r="F105" s="467"/>
      <c r="G105" s="467"/>
      <c r="H105" s="467"/>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3168" t="s">
        <v>3468</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3168" t="s">
        <v>3469</v>
      </c>
      <c r="D108" s="3168" t="s">
        <v>3471</v>
      </c>
      <c r="E108" s="3168" t="s">
        <v>3472</v>
      </c>
      <c r="F108" s="3170" t="s">
        <v>3473</v>
      </c>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6">C109-$K36</f>
        <v>98</v>
      </c>
      <c r="E109" s="475">
        <f t="shared" si="26"/>
        <v>96</v>
      </c>
      <c r="F109" s="475">
        <f t="shared" si="26"/>
        <v>94</v>
      </c>
      <c r="G109" s="475">
        <f t="shared" si="26"/>
        <v>92</v>
      </c>
      <c r="H109" s="475">
        <f t="shared" si="26"/>
        <v>90</v>
      </c>
      <c r="I109" s="475">
        <f t="shared" si="26"/>
        <v>88</v>
      </c>
      <c r="J109" s="475">
        <f t="shared" si="26"/>
        <v>86</v>
      </c>
      <c r="K109" s="475">
        <f t="shared" si="26"/>
        <v>84</v>
      </c>
      <c r="L109" s="475">
        <f t="shared" si="26"/>
        <v>82</v>
      </c>
      <c r="M109" s="476">
        <f t="shared" si="26"/>
        <v>80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98</v>
      </c>
      <c r="E114" s="475">
        <f t="shared" ref="E114:M114" si="28">D114-$K38</f>
        <v>96</v>
      </c>
      <c r="F114" s="475">
        <f t="shared" si="28"/>
        <v>94</v>
      </c>
      <c r="G114" s="475">
        <f t="shared" si="28"/>
        <v>92</v>
      </c>
      <c r="H114" s="475">
        <f t="shared" si="28"/>
        <v>90</v>
      </c>
      <c r="I114" s="475">
        <f t="shared" si="28"/>
        <v>88</v>
      </c>
      <c r="J114" s="475">
        <f t="shared" si="28"/>
        <v>86</v>
      </c>
      <c r="K114" s="475">
        <f t="shared" si="28"/>
        <v>84</v>
      </c>
      <c r="L114" s="475">
        <f t="shared" si="28"/>
        <v>82</v>
      </c>
      <c r="M114" s="475">
        <f t="shared" si="28"/>
        <v>80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3168" t="s">
        <v>3475</v>
      </c>
      <c r="D115" s="485"/>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3168" t="s">
        <v>3476</v>
      </c>
      <c r="D117" s="3168" t="s">
        <v>3478</v>
      </c>
      <c r="E117" s="3168" t="s">
        <v>3479</v>
      </c>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513" t="s">
        <v>3480</v>
      </c>
      <c r="D119" s="513"/>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95</v>
      </c>
      <c r="E120" s="475">
        <f t="shared" ref="E120:M120" si="30">D120-$K41</f>
        <v>90</v>
      </c>
      <c r="F120" s="475">
        <f t="shared" si="30"/>
        <v>85</v>
      </c>
      <c r="G120" s="475">
        <f t="shared" si="30"/>
        <v>80</v>
      </c>
      <c r="H120" s="475">
        <f t="shared" si="30"/>
        <v>75</v>
      </c>
      <c r="I120" s="475">
        <f t="shared" si="30"/>
        <v>70</v>
      </c>
      <c r="J120" s="475">
        <f t="shared" si="30"/>
        <v>65</v>
      </c>
      <c r="K120" s="475">
        <f t="shared" si="30"/>
        <v>60</v>
      </c>
      <c r="L120" s="475">
        <f t="shared" si="30"/>
        <v>55</v>
      </c>
      <c r="M120" s="475">
        <f t="shared" si="30"/>
        <v>50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3168" t="s">
        <v>3469</v>
      </c>
      <c r="D123" s="3168" t="s">
        <v>3471</v>
      </c>
      <c r="E123" s="3168" t="s">
        <v>3472</v>
      </c>
      <c r="F123" s="3170" t="s">
        <v>3473</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1">C124-$K43</f>
        <v>98</v>
      </c>
      <c r="E124" s="475">
        <f t="shared" si="31"/>
        <v>96</v>
      </c>
      <c r="F124" s="475">
        <f t="shared" si="31"/>
        <v>94</v>
      </c>
      <c r="G124" s="475">
        <f t="shared" si="31"/>
        <v>92</v>
      </c>
      <c r="H124" s="475">
        <f t="shared" si="31"/>
        <v>90</v>
      </c>
      <c r="I124" s="475">
        <f t="shared" si="31"/>
        <v>88</v>
      </c>
      <c r="J124" s="475">
        <f t="shared" si="31"/>
        <v>86</v>
      </c>
      <c r="K124" s="475">
        <f t="shared" si="31"/>
        <v>84</v>
      </c>
      <c r="L124" s="475">
        <f t="shared" si="31"/>
        <v>82</v>
      </c>
      <c r="M124" s="476">
        <f t="shared" si="31"/>
        <v>80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5">
    <dataValidation type="list" allowBlank="1" showInputMessage="1" showErrorMessage="1" sqref="C35 E35 G35 I35" xr:uid="{00000000-0002-0000-1300-000000000000}">
      <formula1>办公建筑结构</formula1>
    </dataValidation>
    <dataValidation type="list" allowBlank="1" showInputMessage="1" showErrorMessage="1" sqref="E24 G24 I24 C24" xr:uid="{00000000-0002-0000-1300-000001000000}">
      <formula1>环境</formula1>
    </dataValidation>
    <dataValidation type="list" allowBlank="1" showInputMessage="1" showErrorMessage="1" sqref="E18 G18 I18 C18" xr:uid="{00000000-0002-0000-1300-000002000000}">
      <formula1>交通便捷度</formula1>
    </dataValidation>
    <dataValidation type="list" allowBlank="1" showInputMessage="1" showErrorMessage="1" sqref="E20 I20 G20 C20" xr:uid="{00000000-0002-0000-1300-000003000000}">
      <formula1>公共配套设施</formula1>
    </dataValidation>
    <dataValidation type="list" allowBlank="1" showInputMessage="1" showErrorMessage="1" sqref="C44 E44 G44 I44" xr:uid="{00000000-0002-0000-1300-000004000000}">
      <formula1>内部装修维护情况</formula1>
    </dataValidation>
    <dataValidation type="list" allowBlank="1" showInputMessage="1" showErrorMessage="1" sqref="D1" xr:uid="{00000000-0002-0000-1300-000005000000}">
      <formula1>项目类型</formula1>
    </dataValidation>
    <dataValidation type="list" allowBlank="1" showInputMessage="1" showErrorMessage="1" sqref="E9 G9 I9" xr:uid="{00000000-0002-0000-1300-000006000000}">
      <formula1>办公用途</formula1>
    </dataValidation>
    <dataValidation type="list" allowBlank="1" showInputMessage="1" showErrorMessage="1" sqref="C16 E16 G16 I16" xr:uid="{00000000-0002-0000-1300-000007000000}">
      <formula1>办公集聚程度</formula1>
    </dataValidation>
    <dataValidation type="list" allowBlank="1" showInputMessage="1" showErrorMessage="1" sqref="G26 C26 E26 I26" xr:uid="{00000000-0002-0000-1300-000008000000}">
      <formula1>办公道路级别</formula1>
    </dataValidation>
    <dataValidation type="list" allowBlank="1" showInputMessage="1" showErrorMessage="1" sqref="C28 E28 G28 I28" xr:uid="{00000000-0002-0000-1300-000009000000}">
      <formula1>办公朝向</formula1>
    </dataValidation>
    <dataValidation type="list" allowBlank="1" showInputMessage="1" showErrorMessage="1" sqref="C27 E27 G27 I27" xr:uid="{00000000-0002-0000-1300-00000A000000}">
      <formula1>办公楼层</formula1>
    </dataValidation>
    <dataValidation type="list" allowBlank="1" showInputMessage="1" showErrorMessage="1" sqref="C33 E33 G33 I33" xr:uid="{00000000-0002-0000-1300-00000B000000}">
      <formula1>办公建筑类型</formula1>
    </dataValidation>
    <dataValidation type="list" allowBlank="1" showInputMessage="1" showErrorMessage="1" sqref="C36 E36 G36 I36" xr:uid="{00000000-0002-0000-1300-00000C000000}">
      <formula1>办公公共部分装修</formula1>
    </dataValidation>
    <dataValidation type="list" allowBlank="1" showInputMessage="1" showErrorMessage="1" sqref="C38 E38 G38 I38" xr:uid="{00000000-0002-0000-1300-00000D000000}">
      <formula1>写字楼等级</formula1>
    </dataValidation>
    <dataValidation type="list" allowBlank="1" showInputMessage="1" showErrorMessage="1" sqref="C39 E39 G39 I39" xr:uid="{00000000-0002-0000-1300-00000E000000}">
      <formula1>办公物业管理</formula1>
    </dataValidation>
    <dataValidation type="list" allowBlank="1" showInputMessage="1" showErrorMessage="1" sqref="C40 E40 G40 I40" xr:uid="{00000000-0002-0000-1300-00000F000000}">
      <formula1>办公基础设施水平</formula1>
    </dataValidation>
    <dataValidation type="list" allowBlank="1" showInputMessage="1" showErrorMessage="1" sqref="C41 E41 G41 I41" xr:uid="{00000000-0002-0000-1300-000010000000}">
      <formula1>办公层高</formula1>
    </dataValidation>
    <dataValidation type="list" allowBlank="1" showInputMessage="1" showErrorMessage="1" sqref="C43 E43 G43 I43" xr:uid="{00000000-0002-0000-1300-000011000000}">
      <formula1>办公内部装修</formula1>
    </dataValidation>
    <dataValidation type="list" allowBlank="1" showInputMessage="1" showErrorMessage="1" sqref="C8 E8 G8 I8" xr:uid="{00000000-0002-0000-1300-000012000000}">
      <formula1>办公交易情况</formula1>
    </dataValidation>
    <dataValidation type="list" allowBlank="1" showInputMessage="1" showErrorMessage="1" sqref="C22 E22 G22 I22" xr:uid="{00000000-0002-0000-1300-000013000000}">
      <formula1>基础设施水平</formula1>
    </dataValidation>
    <dataValidation type="list" allowBlank="1" showInputMessage="1" showErrorMessage="1" sqref="F1" xr:uid="{00000000-0002-0000-1300-000014000000}">
      <formula1>"售价,租金"</formula1>
    </dataValidation>
    <dataValidation type="list" allowBlank="1" showInputMessage="1" showErrorMessage="1" sqref="C2" xr:uid="{00000000-0002-0000-1300-000015000000}">
      <formula1>"需扣减承租人权益,——"</formula1>
    </dataValidation>
    <dataValidation type="list" allowBlank="1" showInputMessage="1" showErrorMessage="1" sqref="F2" xr:uid="{00000000-0002-0000-1300-000016000000}">
      <formula1>估价方法</formula1>
    </dataValidation>
    <dataValidation type="list" allowBlank="1" showInputMessage="1" showErrorMessage="1" sqref="D49" xr:uid="{00000000-0002-0000-1300-000017000000}">
      <formula1>"简单平均,加权平均"</formula1>
    </dataValidation>
    <dataValidation type="list" allowBlank="1" showInputMessage="1" showErrorMessage="1" sqref="E1" xr:uid="{00000000-0002-0000-13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-1</v>
      </c>
      <c r="C2" s="268" t="s">
        <v>1595</v>
      </c>
      <c r="D2" s="268"/>
      <c r="E2" s="2565"/>
      <c r="F2" s="2565"/>
      <c r="G2" s="2565"/>
      <c r="H2" s="2565"/>
      <c r="I2" s="2565"/>
      <c r="J2" s="2565"/>
      <c r="K2" s="2565"/>
    </row>
    <row r="3" spans="1:33" ht="18" customHeight="1" thickBot="1">
      <c r="A3" s="195" t="s">
        <v>1464</v>
      </c>
      <c r="B3" s="196">
        <f ca="1">ROUND(B2*10000/IF(C1="",'数据-汇总表'!E3,INDIRECT("'数据-取费表'!K"&amp;$K$1)),0)</f>
        <v>-150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66.63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66.63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150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66.63</v>
      </c>
      <c r="E20" s="21">
        <f>'数据-取费表'!B28</f>
        <v>190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09" t="s">
        <v>694</v>
      </c>
      <c r="C6" s="1011">
        <f ca="1">ROUND(F6*F8*F7*(1-F9)/10000,0)</f>
        <v>0</v>
      </c>
      <c r="D6" s="147" t="s">
        <v>2109</v>
      </c>
      <c r="E6" s="294" t="s">
        <v>696</v>
      </c>
      <c r="F6" s="295">
        <f ca="1">INDIRECT("'数据-取费表'!u"&amp;$G$1)</f>
        <v>0</v>
      </c>
      <c r="G6" s="1292"/>
      <c r="H6" s="1006" t="s">
        <v>398</v>
      </c>
      <c r="I6" s="3409" t="s">
        <v>694</v>
      </c>
      <c r="J6" s="293">
        <f ca="1">ROUND(M6*M8*M7*(1-M9)/10000,0)</f>
        <v>0</v>
      </c>
      <c r="K6" s="147" t="s">
        <v>2108</v>
      </c>
      <c r="L6" s="294" t="s">
        <v>696</v>
      </c>
      <c r="M6" s="295">
        <f ca="1">INDIRECT("'数据-取费表'!z"&amp;$G$1)</f>
        <v>0</v>
      </c>
    </row>
    <row r="7" spans="1:37" ht="18" customHeight="1">
      <c r="A7" s="1010"/>
      <c r="B7" s="3410"/>
      <c r="C7" s="1012"/>
      <c r="D7" s="299"/>
      <c r="E7" s="1013" t="s">
        <v>697</v>
      </c>
      <c r="F7" s="295">
        <f ca="1">IF(INDIRECT("'数据-取费表'!ah"&amp;$G$1)="",INDIRECT("'数据-取费表'!k"&amp;$G$1),INDIRECT("'数据-取费表'!ah"&amp;$G$1))</f>
        <v>0</v>
      </c>
      <c r="G7" s="1292"/>
      <c r="H7" s="296"/>
      <c r="I7" s="3410"/>
      <c r="J7" s="298"/>
      <c r="K7" s="299"/>
      <c r="L7" s="294" t="s">
        <v>697</v>
      </c>
      <c r="M7" s="295">
        <f ca="1">F7</f>
        <v>0</v>
      </c>
    </row>
    <row r="8" spans="1:37" ht="18" customHeight="1">
      <c r="A8" s="296"/>
      <c r="B8" s="3410"/>
      <c r="C8" s="298"/>
      <c r="D8" s="299"/>
      <c r="E8" s="294" t="s">
        <v>698</v>
      </c>
      <c r="F8" s="295">
        <f ca="1">INDIRECT("'数据-取费表'!ai"&amp;$G$1)</f>
        <v>0</v>
      </c>
      <c r="G8" s="1292"/>
      <c r="H8" s="296"/>
      <c r="I8" s="3410"/>
      <c r="J8" s="298"/>
      <c r="K8" s="299"/>
      <c r="L8" s="294" t="s">
        <v>698</v>
      </c>
      <c r="M8" s="295">
        <f ca="1">INDIRECT("'数据-取费表'!ai"&amp;$G$1)</f>
        <v>0</v>
      </c>
    </row>
    <row r="9" spans="1:37" ht="18" customHeight="1">
      <c r="A9" s="296"/>
      <c r="B9" s="3411"/>
      <c r="C9" s="298"/>
      <c r="D9" s="299"/>
      <c r="E9" s="294" t="s">
        <v>699</v>
      </c>
      <c r="F9" s="304">
        <f ca="1">INDIRECT("'数据-取费表'!w"&amp;$G$1)</f>
        <v>0</v>
      </c>
      <c r="G9" s="1292"/>
      <c r="H9" s="296"/>
      <c r="I9" s="341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ROUND(IF(AND(项目基本情况!B11="自然人",项目基本情况!B10="北京市"),C6*F31/(1+'数据-取费表'!C42),C32+C33+C34),2)</f>
        <v>0</v>
      </c>
      <c r="D31" s="1257" t="s">
        <v>720</v>
      </c>
      <c r="E31" s="1256" t="s">
        <v>770</v>
      </c>
      <c r="F31" s="2138"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3335</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IF(项目基本情况!B11="自然人","——",ROUND(F34*F35/10000,2))</f>
        <v>0</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407" t="s">
        <v>837</v>
      </c>
      <c r="L53" s="3408"/>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6" priority="3">
      <formula>$F$10="自定义"</formula>
    </cfRule>
  </conditionalFormatting>
  <conditionalFormatting sqref="C54">
    <cfRule type="expression" dxfId="115" priority="1">
      <formula>$F$53="自定义"</formula>
    </cfRule>
  </conditionalFormatting>
  <conditionalFormatting sqref="I55 I60">
    <cfRule type="expression" dxfId="114" priority="57">
      <formula>$J$51&gt;$L$48</formula>
    </cfRule>
  </conditionalFormatting>
  <conditionalFormatting sqref="J11">
    <cfRule type="expression" dxfId="113" priority="2">
      <formula>$M$10="自定义"</formula>
    </cfRule>
  </conditionalFormatting>
  <conditionalFormatting sqref="K55 K60">
    <cfRule type="expression" dxfId="112"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I39" sqref="I3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v>201</v>
      </c>
      <c r="D1" s="1271" t="s">
        <v>43</v>
      </c>
      <c r="E1" s="1272" t="s">
        <v>678</v>
      </c>
      <c r="F1" s="999">
        <f ca="1">J53</f>
        <v>35.020000000000003</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47.0396</v>
      </c>
      <c r="C2" s="1289" t="s">
        <v>879</v>
      </c>
      <c r="D2" s="1375">
        <f ca="1">C40+J29+L46</f>
        <v>470396</v>
      </c>
      <c r="E2" s="1295" t="s">
        <v>880</v>
      </c>
      <c r="F2" s="1296"/>
      <c r="G2" s="2476"/>
      <c r="H2" s="2466"/>
      <c r="I2" s="2466"/>
      <c r="J2" s="2466"/>
      <c r="K2" s="2467"/>
      <c r="L2" s="2466"/>
      <c r="M2" s="2466"/>
    </row>
    <row r="3" spans="1:37" ht="18" customHeight="1" thickBot="1">
      <c r="A3" s="1297" t="s">
        <v>881</v>
      </c>
      <c r="B3" s="1298">
        <f ca="1">IF(ISERROR(D2/F43),0,ROUND(D2/F43,0))</f>
        <v>7060</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34603</v>
      </c>
      <c r="D5" s="1273" t="s">
        <v>889</v>
      </c>
      <c r="E5" s="1008"/>
      <c r="F5" s="1009"/>
      <c r="G5" s="1292"/>
      <c r="H5" s="291">
        <v>1</v>
      </c>
      <c r="I5" s="292" t="s">
        <v>888</v>
      </c>
      <c r="J5" s="1007">
        <f ca="1">J6+J10+J12</f>
        <v>0</v>
      </c>
      <c r="K5" s="1273" t="s">
        <v>889</v>
      </c>
      <c r="L5" s="1008"/>
      <c r="M5" s="1009"/>
    </row>
    <row r="6" spans="1:37" ht="18" customHeight="1">
      <c r="A6" s="1006" t="s">
        <v>398</v>
      </c>
      <c r="B6" s="3409" t="s">
        <v>694</v>
      </c>
      <c r="C6" s="1011">
        <f ca="1">ROUND(F6*F8*F7*(1-F9),0)</f>
        <v>34560</v>
      </c>
      <c r="D6" s="147" t="s">
        <v>2106</v>
      </c>
      <c r="E6" s="294" t="s">
        <v>696</v>
      </c>
      <c r="F6" s="295">
        <f ca="1">INDIRECT("'数据-取费表'!u"&amp;$G$1)</f>
        <v>3200</v>
      </c>
      <c r="G6" s="1292"/>
      <c r="H6" s="1006" t="s">
        <v>398</v>
      </c>
      <c r="I6" s="3409" t="s">
        <v>694</v>
      </c>
      <c r="J6" s="293">
        <f ca="1">ROUND(M6*M8*M7*(1-M9),0)</f>
        <v>0</v>
      </c>
      <c r="K6" s="1284" t="s">
        <v>2107</v>
      </c>
      <c r="L6" s="294" t="s">
        <v>696</v>
      </c>
      <c r="M6" s="295">
        <f ca="1">INDIRECT("'数据-取费表'!z"&amp;$G$1)</f>
        <v>0</v>
      </c>
    </row>
    <row r="7" spans="1:37" ht="18" customHeight="1">
      <c r="A7" s="1010"/>
      <c r="B7" s="3410"/>
      <c r="C7" s="1012"/>
      <c r="D7" s="299"/>
      <c r="E7" s="1013" t="s">
        <v>697</v>
      </c>
      <c r="F7" s="295">
        <f ca="1">IF(INDIRECT("'数据-取费表'!ah"&amp;$G$1)="",INDIRECT("'数据-取费表'!k"&amp;$G$1),INDIRECT("'数据-取费表'!ah"&amp;$G$1))</f>
        <v>1</v>
      </c>
      <c r="G7" s="1292"/>
      <c r="H7" s="296"/>
      <c r="I7" s="3410"/>
      <c r="J7" s="298"/>
      <c r="K7" s="299"/>
      <c r="L7" s="294" t="s">
        <v>697</v>
      </c>
      <c r="M7" s="295">
        <f ca="1">F7</f>
        <v>1</v>
      </c>
    </row>
    <row r="8" spans="1:37" ht="18" customHeight="1">
      <c r="A8" s="296"/>
      <c r="B8" s="3410"/>
      <c r="C8" s="298"/>
      <c r="D8" s="299"/>
      <c r="E8" s="294" t="s">
        <v>698</v>
      </c>
      <c r="F8" s="295">
        <f ca="1">INDIRECT("'数据-取费表'!ai"&amp;$G$1)</f>
        <v>12</v>
      </c>
      <c r="G8" s="1292"/>
      <c r="H8" s="296"/>
      <c r="I8" s="3410"/>
      <c r="J8" s="298"/>
      <c r="K8" s="299"/>
      <c r="L8" s="294" t="s">
        <v>698</v>
      </c>
      <c r="M8" s="295">
        <f ca="1">INDIRECT("'数据-取费表'!ai"&amp;$G$1)</f>
        <v>12</v>
      </c>
    </row>
    <row r="9" spans="1:37" ht="18" customHeight="1">
      <c r="A9" s="296"/>
      <c r="B9" s="3411"/>
      <c r="C9" s="298"/>
      <c r="D9" s="299"/>
      <c r="E9" s="294" t="s">
        <v>699</v>
      </c>
      <c r="F9" s="304">
        <f ca="1">INDIRECT("'数据-取费表'!w"&amp;$G$1)</f>
        <v>0.1</v>
      </c>
      <c r="G9" s="1292"/>
      <c r="H9" s="296"/>
      <c r="I9" s="3411"/>
      <c r="J9" s="298"/>
      <c r="K9" s="299"/>
      <c r="L9" s="305" t="s">
        <v>699</v>
      </c>
      <c r="M9" s="306">
        <f ca="1">INDIRECT("'数据-取费表'!ab"&amp;$G$1)</f>
        <v>0</v>
      </c>
    </row>
    <row r="10" spans="1:37" ht="18" customHeight="1">
      <c r="A10" s="1006" t="s">
        <v>402</v>
      </c>
      <c r="B10" s="1274" t="s">
        <v>700</v>
      </c>
      <c r="C10" s="308">
        <f ca="1">ROUND(IF(F10="押一",C6/12*F11,IF(F10="押二",C6/12*2*F11,IF(F10="押三",C6/12*3*F11,C11*F11))),0)</f>
        <v>43</v>
      </c>
      <c r="D10" s="150" t="s">
        <v>2116</v>
      </c>
      <c r="E10" s="305" t="s">
        <v>701</v>
      </c>
      <c r="F10" s="1053" t="s">
        <v>3433</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291036</v>
      </c>
      <c r="D13" s="1018" t="s">
        <v>705</v>
      </c>
      <c r="E13" s="1018" t="s">
        <v>706</v>
      </c>
      <c r="F13" s="1019">
        <f ca="1">INDIRECT("'数据-取费表'!y"&amp;$G$1)</f>
        <v>0.85</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233205</v>
      </c>
      <c r="D14" s="1257" t="s">
        <v>708</v>
      </c>
      <c r="E14" s="1255"/>
      <c r="F14" s="311"/>
      <c r="G14" s="1292"/>
      <c r="H14" s="928" t="s">
        <v>398</v>
      </c>
      <c r="I14" s="294" t="s">
        <v>709</v>
      </c>
      <c r="J14" s="21">
        <f ca="1">C29</f>
        <v>342395</v>
      </c>
      <c r="K14" s="12"/>
      <c r="L14" s="759"/>
      <c r="M14" s="760"/>
    </row>
    <row r="15" spans="1:37" s="1304" customFormat="1" ht="18" customHeight="1" thickBot="1">
      <c r="A15" s="928" t="s">
        <v>399</v>
      </c>
      <c r="B15" s="294" t="s">
        <v>710</v>
      </c>
      <c r="C15" s="21">
        <f ca="1">ROUND(C14*F15,0)</f>
        <v>11660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3424</v>
      </c>
      <c r="K16" s="1024" t="s">
        <v>715</v>
      </c>
      <c r="L16" s="1025"/>
      <c r="M16" s="1009"/>
    </row>
    <row r="17" spans="1:37" s="1304" customFormat="1" ht="18" customHeight="1">
      <c r="A17" s="928" t="s">
        <v>681</v>
      </c>
      <c r="B17" s="294" t="s">
        <v>716</v>
      </c>
      <c r="C17" s="21">
        <f ca="1">ROUND(F17*(F43+INDIRECT("'数据-取费表'!S"&amp;$G$1)),0)</f>
        <v>13326</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4664</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262855</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5257</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3424</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8044</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-3424</v>
      </c>
      <c r="K25" s="1032" t="s">
        <v>753</v>
      </c>
      <c r="L25" s="1033"/>
      <c r="M25" s="1034"/>
    </row>
    <row r="26" spans="1:37" ht="18" customHeight="1">
      <c r="A26" s="928" t="s">
        <v>397</v>
      </c>
      <c r="B26" s="294" t="s">
        <v>754</v>
      </c>
      <c r="C26" s="21">
        <f ca="1">ROUND((C19+C20)*F26,0)</f>
        <v>40217</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342395</v>
      </c>
      <c r="D29" s="1029"/>
      <c r="E29" s="1027"/>
      <c r="F29" s="1030"/>
      <c r="G29" s="1303"/>
      <c r="H29" s="325" t="s">
        <v>396</v>
      </c>
      <c r="I29" s="326" t="s">
        <v>768</v>
      </c>
      <c r="J29" s="327">
        <f ca="1">ROUND(J26/(1+F40)^F41,0)</f>
        <v>0</v>
      </c>
      <c r="K29" s="328" t="s">
        <v>769</v>
      </c>
      <c r="L29" s="329"/>
      <c r="M29" s="330">
        <f ca="1">INDIRECT("'数据-取费表'!k"&amp;$G$1)</f>
        <v>66.63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9821</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ROUND(IF(AND(项目基本情况!B11="自然人",项目基本情况!B10="北京市"),C6*F31/(1+'数据-取费表'!C42),C32+C33+C34),0)</f>
        <v>5760</v>
      </c>
      <c r="D31" s="1257" t="s">
        <v>720</v>
      </c>
      <c r="E31" s="1256" t="s">
        <v>770</v>
      </c>
      <c r="F31" s="2138" t="str">
        <f>IF(项目基本情况!B11="企业","——",IF(M47="住宅",IF(F6*F7*F8/12/(1+'数据-取费表'!F30)&gt;100000,4%,2.5%),IF(F6*F7*F8/12/(1+'数据-取费表'!F30)&gt;100000,12%,7%)))</f>
        <v>——</v>
      </c>
      <c r="G31" s="1292"/>
      <c r="H31" s="2567" t="s">
        <v>2306</v>
      </c>
      <c r="I31" s="1305"/>
      <c r="J31" s="1306"/>
      <c r="K31" s="121"/>
      <c r="L31" s="2469"/>
      <c r="M31" s="2470"/>
    </row>
    <row r="32" spans="1:37" ht="18" customHeight="1">
      <c r="A32" s="928" t="s">
        <v>397</v>
      </c>
      <c r="B32" s="294" t="s">
        <v>723</v>
      </c>
      <c r="C32" s="21">
        <f ca="1">IF(项目基本情况!B11="自然人","——",ROUND(C6*F32/(1+'数据-取费表'!C42),0))</f>
        <v>1810</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f ca="1">IF(项目基本情况!B11="自然人","——",IF(D33="按租金收入计税",ROUND(C6*F33/(1+'数据-取费表'!C42),0),IF(D33="按房产原值计税",ROUND(C29*F33*0.7,0),INDIRECT("'数据-取费表'!Aj"&amp;$G$1))))</f>
        <v>3950</v>
      </c>
      <c r="D33" s="1278" t="s">
        <v>3335</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f ca="1">IF(项目基本情况!B11="自然人","——",ROUND(F34*F35,0))</f>
        <v>0</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3424</v>
      </c>
      <c r="D36" s="1256" t="s">
        <v>771</v>
      </c>
      <c r="E36" s="294" t="s">
        <v>712</v>
      </c>
      <c r="F36" s="320">
        <f ca="1">INDIRECT("'数据-取费表'!Ak"&amp;$G$1)</f>
        <v>0.01</v>
      </c>
      <c r="G36" s="1292"/>
      <c r="H36" s="2471"/>
      <c r="I36" s="1305"/>
      <c r="J36" s="1306"/>
      <c r="K36" s="2329"/>
      <c r="L36" s="2471"/>
      <c r="M36" s="2471"/>
    </row>
    <row r="37" spans="1:18" ht="18" customHeight="1">
      <c r="A37" s="928" t="s">
        <v>437</v>
      </c>
      <c r="B37" s="294" t="s">
        <v>742</v>
      </c>
      <c r="C37" s="21">
        <f ca="1">ROUND(C13*F37,0)</f>
        <v>291</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346</v>
      </c>
      <c r="D38" s="1029" t="s">
        <v>748</v>
      </c>
      <c r="E38" s="1027" t="s">
        <v>744</v>
      </c>
      <c r="F38" s="1023">
        <f ca="1">INDIRECT("'数据-取费表'!Am"&amp;$G$1)</f>
        <v>0.01</v>
      </c>
      <c r="G38" s="1292"/>
      <c r="H38" s="2471"/>
      <c r="I38" s="1305"/>
      <c r="J38" s="1306"/>
      <c r="K38" s="2469"/>
      <c r="L38" s="2471"/>
      <c r="M38" s="2471"/>
    </row>
    <row r="39" spans="1:18" ht="24.6" customHeight="1" thickTop="1">
      <c r="A39" s="1016" t="s">
        <v>394</v>
      </c>
      <c r="B39" s="1031" t="s">
        <v>772</v>
      </c>
      <c r="C39" s="302">
        <f ca="1">C5-C30</f>
        <v>24782</v>
      </c>
      <c r="D39" s="1032" t="s">
        <v>773</v>
      </c>
      <c r="E39" s="1033"/>
      <c r="F39" s="1034"/>
      <c r="G39" s="1292"/>
      <c r="H39" s="2471"/>
      <c r="I39" s="1305"/>
      <c r="J39" s="1306"/>
      <c r="K39" s="2469"/>
      <c r="L39" s="2471"/>
      <c r="M39" s="2471"/>
    </row>
    <row r="40" spans="1:18" ht="18" customHeight="1">
      <c r="A40" s="291" t="s">
        <v>395</v>
      </c>
      <c r="B40" s="292" t="s">
        <v>774</v>
      </c>
      <c r="C40" s="293">
        <f ca="1">ROUND(C39*(1-((1+F42)/(1+F40))^F41)/(F40-F42),0)</f>
        <v>459515</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35.020000000000003</v>
      </c>
      <c r="G41" s="1292"/>
      <c r="H41" s="121"/>
      <c r="I41" s="1305"/>
      <c r="J41" s="1306"/>
      <c r="K41" s="2329"/>
      <c r="L41" s="121"/>
      <c r="M41" s="121"/>
    </row>
    <row r="42" spans="1:18" ht="18" customHeight="1">
      <c r="A42" s="300"/>
      <c r="B42" s="301"/>
      <c r="C42" s="302"/>
      <c r="D42" s="319"/>
      <c r="E42" s="294" t="s">
        <v>766</v>
      </c>
      <c r="F42" s="304">
        <f ca="1">INDIRECT("'数据-取费表'!v"&amp;$G$1)</f>
        <v>1.4999999999999999E-2</v>
      </c>
      <c r="G42" s="1292"/>
      <c r="H42" s="121"/>
      <c r="I42" s="1305"/>
      <c r="J42" s="1306"/>
      <c r="K42" s="2329"/>
      <c r="L42" s="121"/>
      <c r="M42" s="121"/>
    </row>
    <row r="43" spans="1:18" ht="18" customHeight="1" thickBot="1">
      <c r="A43" s="325" t="s">
        <v>396</v>
      </c>
      <c r="B43" s="326" t="s">
        <v>776</v>
      </c>
      <c r="C43" s="327">
        <f ca="1">ROUND(C40/F43,0)</f>
        <v>6897</v>
      </c>
      <c r="D43" s="328" t="s">
        <v>777</v>
      </c>
      <c r="E43" s="329" t="s">
        <v>778</v>
      </c>
      <c r="F43" s="330">
        <f ca="1">INDIRECT("'数据-取费表'!k"&amp;$G$1)</f>
        <v>66.63</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3351</v>
      </c>
      <c r="B45" s="1307"/>
      <c r="C45" s="1376">
        <f ca="1">ROUND((C68-C40)/10000,4)</f>
        <v>-51.670200000000001</v>
      </c>
      <c r="D45" s="3128" t="s">
        <v>3352</v>
      </c>
      <c r="E45" s="1307"/>
      <c r="F45" s="1307"/>
      <c r="O45" s="1310" t="s">
        <v>808</v>
      </c>
      <c r="P45" s="1366"/>
      <c r="Q45" s="1366"/>
      <c r="R45" s="1366"/>
    </row>
    <row r="46" spans="1:18" s="1292" customFormat="1" ht="13.8" thickBot="1">
      <c r="A46" s="1311" t="s">
        <v>809</v>
      </c>
      <c r="C46" s="1312">
        <f ca="1">ROUND(C45,0)</f>
        <v>-52</v>
      </c>
      <c r="D46" s="1313" t="str">
        <f>C2</f>
        <v>万元</v>
      </c>
      <c r="I46" s="1314" t="s">
        <v>810</v>
      </c>
      <c r="J46" s="1315"/>
      <c r="K46" s="1316"/>
      <c r="L46" s="1317">
        <f ca="1">IF(M47="住宅",0,IF(L48&gt;J51,L60,J60))</f>
        <v>10881</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3427</v>
      </c>
      <c r="K47" s="1323" t="s">
        <v>816</v>
      </c>
      <c r="L47" s="1324">
        <f ca="1">INDIRECT("'数据-取费表'!d"&amp;$G$1)</f>
        <v>50</v>
      </c>
      <c r="M47" s="1288" t="str">
        <f>IF(ISNUMBER(FIND("住宅",C1)),"住宅","非住宅")</f>
        <v>非住宅</v>
      </c>
      <c r="O47" s="1325" t="s">
        <v>403</v>
      </c>
      <c r="P47" s="1326" t="s">
        <v>817</v>
      </c>
      <c r="Q47" s="1327">
        <f ca="1">C40+J29</f>
        <v>459515</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3434</v>
      </c>
      <c r="K48" s="1330" t="s">
        <v>820</v>
      </c>
      <c r="L48" s="1331">
        <f ca="1">INDIRECT("'数据-取费表'!f"&amp;$G$1)</f>
        <v>35.020000000000003</v>
      </c>
      <c r="O48" s="1325" t="s">
        <v>404</v>
      </c>
      <c r="P48" s="1326" t="s">
        <v>821</v>
      </c>
      <c r="Q48" s="1327">
        <f ca="1">J60</f>
        <v>10881</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'数据-取费表'!N18</f>
        <v>2016</v>
      </c>
      <c r="K49" s="1330" t="s">
        <v>824</v>
      </c>
      <c r="L49" s="1333"/>
      <c r="O49" s="1334" t="s">
        <v>405</v>
      </c>
      <c r="P49" s="1326" t="s">
        <v>825</v>
      </c>
      <c r="Q49" s="1327">
        <f ca="1">C29</f>
        <v>342395</v>
      </c>
      <c r="R49" s="1327" t="s">
        <v>818</v>
      </c>
    </row>
    <row r="50" spans="1:18" s="1292" customFormat="1" ht="13.8"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12</v>
      </c>
      <c r="I51" s="1338" t="s">
        <v>829</v>
      </c>
      <c r="J51" s="1331">
        <f>IF(J49="",J50,J49+J50-YEAR('数据-取费表'!B2))</f>
        <v>51</v>
      </c>
      <c r="K51" s="1339" t="s">
        <v>830</v>
      </c>
      <c r="L51" s="1340">
        <f ca="1">ROUND(-PV(INDIRECT("'数据-取费表'!h"&amp;$G$1),J51,(C39-C13*C76),0),0)</f>
        <v>80865</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35.020000000000003</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35.020000000000003</v>
      </c>
      <c r="K53" s="3407" t="s">
        <v>837</v>
      </c>
      <c r="L53" s="3408"/>
      <c r="O53" s="1325" t="s">
        <v>409</v>
      </c>
      <c r="P53" s="1326" t="s">
        <v>838</v>
      </c>
      <c r="Q53" s="1327">
        <f ca="1">Q47+Q48</f>
        <v>470396</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0.26600000000000001</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291036</v>
      </c>
      <c r="D56" s="1352"/>
      <c r="E56" s="1353"/>
      <c r="F56" s="1345"/>
      <c r="I56" s="1354" t="s">
        <v>842</v>
      </c>
      <c r="J56" s="1355" t="s">
        <v>3417</v>
      </c>
      <c r="K56" s="1328" t="s">
        <v>843</v>
      </c>
      <c r="L56" s="1331" t="str">
        <f ca="1">IF(L48&lt;J51,"——",L48-J51)</f>
        <v>——</v>
      </c>
      <c r="O56" s="1325" t="s">
        <v>403</v>
      </c>
      <c r="P56" s="1326" t="s">
        <v>817</v>
      </c>
      <c r="Q56" s="1327">
        <f ca="1">C40+J29</f>
        <v>459515</v>
      </c>
      <c r="R56" s="1327" t="s">
        <v>818</v>
      </c>
    </row>
    <row r="57" spans="1:18" s="1292" customFormat="1" ht="24.6" thickBot="1">
      <c r="A57" s="1356"/>
      <c r="B57" s="896" t="s">
        <v>767</v>
      </c>
      <c r="C57" s="230">
        <f ca="1">C29</f>
        <v>342395</v>
      </c>
      <c r="D57" s="1357"/>
      <c r="E57" s="1358"/>
      <c r="F57" s="1359"/>
      <c r="I57" s="1360" t="s">
        <v>844</v>
      </c>
      <c r="J57" s="1361">
        <f ca="1">IF(OR(M47="住宅",J51&lt;L48,J56="是"),"——",J51-L48)</f>
        <v>15.979999999999997</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3715</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t="str">
        <f>IF(项目基本情况!B11="企业","——",IF('数据-取费表'!B10="住宅",IF(F49*F50*F51/12/(1+'数据-取费表'!F30)&gt;100000,4%,2.5%),IF(F49*F50*F51/12/(1+'数据-取费表'!F30)&gt;100000,12%,7%)))</f>
        <v>——</v>
      </c>
      <c r="I59" s="1360" t="s">
        <v>851</v>
      </c>
      <c r="J59" s="1361">
        <f ca="1">IF(OR(M47="住宅",J51&lt;L48,J56="是"),"——",ROUND(C29*J58,0))</f>
        <v>136958</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f ca="1">IF(OR(M47="住宅",J51&lt;L48,J56="是"),"0",ROUND(J59/(1+J52)^J53,0))</f>
        <v>10881</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f ca="1">Q56+Q57</f>
        <v>459515</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3424</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291</v>
      </c>
      <c r="D65" s="910" t="s">
        <v>743</v>
      </c>
      <c r="E65" s="896" t="s">
        <v>744</v>
      </c>
      <c r="F65" s="321">
        <f t="shared" ca="1" si="0"/>
        <v>1E-3</v>
      </c>
      <c r="I65" s="1367" t="s">
        <v>867</v>
      </c>
      <c r="J65" s="610">
        <v>40</v>
      </c>
      <c r="K65" s="610">
        <v>30</v>
      </c>
      <c r="L65" s="610">
        <v>50</v>
      </c>
      <c r="M65" s="1369">
        <v>0.02</v>
      </c>
      <c r="O65" s="1325" t="s">
        <v>403</v>
      </c>
      <c r="P65" s="1326" t="s">
        <v>868</v>
      </c>
      <c r="Q65" s="1327">
        <f ca="1">C40+J29</f>
        <v>459515</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-3715</v>
      </c>
      <c r="D67" s="909" t="s">
        <v>753</v>
      </c>
      <c r="E67" s="914"/>
      <c r="F67" s="915"/>
      <c r="O67" s="1334" t="s">
        <v>405</v>
      </c>
      <c r="P67" s="1326" t="s">
        <v>850</v>
      </c>
      <c r="Q67" s="1370">
        <f ca="1">L51</f>
        <v>80865</v>
      </c>
      <c r="R67" s="1327" t="s">
        <v>870</v>
      </c>
    </row>
    <row r="68" spans="1:18" s="1292" customFormat="1" ht="16.2" thickBot="1">
      <c r="A68" s="893" t="s">
        <v>395</v>
      </c>
      <c r="B68" s="894" t="s">
        <v>774</v>
      </c>
      <c r="C68" s="293">
        <f ca="1">ROUND(C67*(1-((1+F70)/(1+F68))^F69)/(F68-F70),0)</f>
        <v>-57187</v>
      </c>
      <c r="D68" s="911" t="s">
        <v>758</v>
      </c>
      <c r="E68" s="896" t="s">
        <v>759</v>
      </c>
      <c r="F68" s="304">
        <f ca="1">F40</f>
        <v>5.5E-2</v>
      </c>
      <c r="O68" s="1334" t="s">
        <v>406</v>
      </c>
      <c r="P68" s="1371" t="s">
        <v>871</v>
      </c>
      <c r="Q68" s="1327">
        <f ca="1">ROUND(Q69-Q70*Q71,0)</f>
        <v>4409</v>
      </c>
      <c r="R68" s="1327" t="s">
        <v>414</v>
      </c>
    </row>
    <row r="69" spans="1:18" s="1292" customFormat="1" ht="13.8" thickBot="1">
      <c r="A69" s="897"/>
      <c r="B69" s="898"/>
      <c r="C69" s="298"/>
      <c r="D69" s="916" t="s">
        <v>762</v>
      </c>
      <c r="E69" s="896" t="s">
        <v>763</v>
      </c>
      <c r="F69" s="324">
        <f ca="1">F41</f>
        <v>35.020000000000003</v>
      </c>
      <c r="O69" s="1334" t="s">
        <v>411</v>
      </c>
      <c r="P69" s="1371" t="s">
        <v>872</v>
      </c>
      <c r="Q69" s="1327">
        <f ca="1">C39</f>
        <v>24782</v>
      </c>
      <c r="R69" s="1327" t="s">
        <v>818</v>
      </c>
    </row>
    <row r="70" spans="1:18" s="1292" customFormat="1" ht="13.8" thickBot="1">
      <c r="A70" s="900"/>
      <c r="B70" s="901"/>
      <c r="C70" s="302"/>
      <c r="D70" s="912"/>
      <c r="E70" s="896" t="s">
        <v>766</v>
      </c>
      <c r="F70" s="991"/>
      <c r="O70" s="1334" t="s">
        <v>412</v>
      </c>
      <c r="P70" s="1371" t="s">
        <v>873</v>
      </c>
      <c r="Q70" s="1327">
        <f ca="1">C13</f>
        <v>291036</v>
      </c>
      <c r="R70" s="1327" t="s">
        <v>818</v>
      </c>
    </row>
    <row r="71" spans="1:18" s="1292" customFormat="1" ht="13.8" thickBot="1">
      <c r="A71" s="917" t="s">
        <v>396</v>
      </c>
      <c r="B71" s="918" t="s">
        <v>776</v>
      </c>
      <c r="C71" s="327">
        <f ca="1">ROUND(C68/F71,0)</f>
        <v>-858</v>
      </c>
      <c r="D71" s="919" t="s">
        <v>777</v>
      </c>
      <c r="E71" s="920" t="s">
        <v>778</v>
      </c>
      <c r="F71" s="330">
        <f ca="1">F43</f>
        <v>66.63</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20373</v>
      </c>
      <c r="D75" s="1292"/>
      <c r="E75" s="1292"/>
      <c r="F75" s="1292"/>
      <c r="K75" s="1309"/>
      <c r="L75" s="1292"/>
      <c r="O75" s="1325" t="s">
        <v>409</v>
      </c>
      <c r="P75" s="1326" t="s">
        <v>838</v>
      </c>
      <c r="Q75" s="1327">
        <f ca="1">Q65+Q66</f>
        <v>459515</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0.17800000000000005</v>
      </c>
    </row>
    <row r="80" spans="1:18">
      <c r="B80" s="331" t="s">
        <v>800</v>
      </c>
      <c r="C80" s="266">
        <f ca="1">ROUND(C75/C39,3)</f>
        <v>0.82199999999999995</v>
      </c>
    </row>
    <row r="81" spans="2:3">
      <c r="B81" s="262" t="s">
        <v>801</v>
      </c>
      <c r="C81" s="230"/>
    </row>
    <row r="82" spans="2:3">
      <c r="B82" s="265" t="s">
        <v>802</v>
      </c>
      <c r="C82" s="267">
        <f ca="1">1-C83</f>
        <v>0.36699999999999999</v>
      </c>
    </row>
    <row r="83" spans="2:3">
      <c r="B83" s="265" t="s">
        <v>803</v>
      </c>
      <c r="C83" s="266">
        <f ca="1">ROUND(C13/C40,3)</f>
        <v>0.63300000000000001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2" customHeight="1">
      <c r="A2" s="1293" t="s">
        <v>2315</v>
      </c>
      <c r="B2" s="2592" t="e">
        <f>IF(D2="——",C40,C40+E2)</f>
        <v>#DIV/0!</v>
      </c>
      <c r="C2" s="2593" t="s">
        <v>2316</v>
      </c>
      <c r="D2" s="3136" t="s">
        <v>3358</v>
      </c>
      <c r="E2" s="3137"/>
      <c r="F2" s="2595"/>
      <c r="G2" s="2596"/>
      <c r="H2" s="2597"/>
      <c r="I2" s="2598"/>
      <c r="J2" s="3418" t="s">
        <v>2317</v>
      </c>
      <c r="K2" s="3419"/>
      <c r="L2" s="2599" t="s">
        <v>2318</v>
      </c>
      <c r="M2" s="2599" t="s">
        <v>2319</v>
      </c>
      <c r="N2" s="2599" t="s">
        <v>2320</v>
      </c>
      <c r="O2" s="2599" t="s">
        <v>2321</v>
      </c>
      <c r="P2" s="2599" t="s">
        <v>2322</v>
      </c>
      <c r="Q2" s="2600" t="s">
        <v>2323</v>
      </c>
      <c r="R2" s="2601" t="s">
        <v>2324</v>
      </c>
      <c r="S2" s="2590"/>
      <c r="T2" s="2590"/>
      <c r="U2" s="2590"/>
      <c r="V2" s="2598"/>
    </row>
    <row r="3" spans="1:22" s="2602" customFormat="1" ht="13.2" customHeight="1">
      <c r="A3" s="2603" t="s">
        <v>2325</v>
      </c>
      <c r="B3" s="2604" t="e">
        <f>ROUND(B2*10000/B4,0)</f>
        <v>#DIV/0!</v>
      </c>
      <c r="C3" s="2593" t="s">
        <v>2326</v>
      </c>
      <c r="D3" s="2593"/>
      <c r="E3" s="2594"/>
      <c r="F3" s="2595"/>
      <c r="G3" s="2596"/>
      <c r="H3" s="2597"/>
      <c r="I3" s="2598"/>
      <c r="J3" s="3420" t="s">
        <v>2327</v>
      </c>
      <c r="K3" s="3421"/>
      <c r="L3" s="2605"/>
      <c r="M3" s="2605"/>
      <c r="N3" s="2605"/>
      <c r="O3" s="2605"/>
      <c r="P3" s="2605"/>
      <c r="Q3" s="2606"/>
      <c r="R3" s="2607">
        <f>SUM(L3:Q3)</f>
        <v>0</v>
      </c>
      <c r="S3" s="2590"/>
      <c r="T3" s="2590"/>
      <c r="U3" s="2590"/>
      <c r="V3" s="2598"/>
    </row>
    <row r="4" spans="1:22" s="2602" customFormat="1" ht="13.2" customHeight="1">
      <c r="A4" s="2608" t="s">
        <v>2328</v>
      </c>
      <c r="B4" s="2609"/>
      <c r="C4" s="2593"/>
      <c r="D4" s="2593"/>
      <c r="E4" s="2594"/>
      <c r="F4" s="2595"/>
      <c r="G4" s="2596"/>
      <c r="H4" s="2597"/>
      <c r="I4" s="2598"/>
      <c r="J4" s="3420" t="s">
        <v>2329</v>
      </c>
      <c r="K4" s="3421"/>
      <c r="L4" s="2610"/>
      <c r="M4" s="2610"/>
      <c r="N4" s="2610"/>
      <c r="O4" s="2610"/>
      <c r="P4" s="2610"/>
      <c r="Q4" s="2611"/>
      <c r="R4" s="2612">
        <f>SUM(L4:Q4)</f>
        <v>0</v>
      </c>
      <c r="S4" s="2590"/>
      <c r="T4" s="2590"/>
      <c r="U4" s="2590"/>
      <c r="V4" s="2598"/>
    </row>
    <row r="5" spans="1:22" s="2602" customFormat="1" ht="13.2"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2" customHeight="1" thickBot="1">
      <c r="A6" s="3426" t="s">
        <v>2333</v>
      </c>
      <c r="B6" s="3427"/>
      <c r="C6" s="3428"/>
      <c r="D6" s="2619"/>
      <c r="E6" s="2620"/>
      <c r="F6" s="2621"/>
      <c r="G6" s="2622"/>
      <c r="H6" s="2597"/>
      <c r="I6" s="2598"/>
      <c r="J6" s="3412">
        <v>1</v>
      </c>
      <c r="K6" s="3413"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2" customHeight="1">
      <c r="A7" s="2625" t="s">
        <v>2343</v>
      </c>
      <c r="B7" s="2626"/>
      <c r="C7" s="2627"/>
      <c r="D7" s="2628">
        <f>SUM(D9,D10,D11,D17,0)</f>
        <v>0</v>
      </c>
      <c r="E7" s="2629" t="e">
        <f>E9+E10+E11+E17</f>
        <v>#DIV/0!</v>
      </c>
      <c r="F7" s="2630"/>
      <c r="G7" s="2631"/>
      <c r="H7" s="2597"/>
      <c r="I7" s="2598"/>
      <c r="J7" s="3412"/>
      <c r="K7" s="3414"/>
      <c r="L7" s="2632" t="s">
        <v>2344</v>
      </c>
      <c r="M7" s="2633"/>
      <c r="N7" s="2609"/>
      <c r="O7" s="2634"/>
      <c r="P7" s="2634"/>
      <c r="Q7" s="2635">
        <v>365</v>
      </c>
      <c r="R7" s="2636">
        <f>ROUND(M7*N7*O7*P7*Q7/10000,0)</f>
        <v>0</v>
      </c>
      <c r="S7" s="2590"/>
      <c r="T7" s="2590" t="s">
        <v>2345</v>
      </c>
      <c r="U7" s="2590"/>
      <c r="V7" s="2598"/>
    </row>
    <row r="8" spans="1:22" s="2602" customFormat="1" ht="13.2" customHeight="1">
      <c r="A8" s="2637" t="s">
        <v>2346</v>
      </c>
      <c r="B8" s="3429" t="s">
        <v>2347</v>
      </c>
      <c r="C8" s="3430"/>
      <c r="D8" s="2638" t="s">
        <v>2348</v>
      </c>
      <c r="E8" s="2639" t="s">
        <v>2349</v>
      </c>
      <c r="F8" s="2640" t="s">
        <v>2350</v>
      </c>
      <c r="G8" s="2641"/>
      <c r="H8" s="2597"/>
      <c r="I8" s="2598"/>
      <c r="J8" s="3412"/>
      <c r="K8" s="3414"/>
      <c r="L8" s="2632" t="s">
        <v>2351</v>
      </c>
      <c r="M8" s="2633"/>
      <c r="N8" s="2609"/>
      <c r="O8" s="2634"/>
      <c r="P8" s="2634"/>
      <c r="Q8" s="2635">
        <v>365</v>
      </c>
      <c r="R8" s="2636">
        <f t="shared" ref="R8:R13" si="0">ROUND(M8*N8*O8*P8*Q8/10000,0)</f>
        <v>0</v>
      </c>
      <c r="S8" s="2590"/>
      <c r="T8" s="2590" t="s">
        <v>2352</v>
      </c>
      <c r="U8" s="2590"/>
      <c r="V8" s="2598"/>
    </row>
    <row r="9" spans="1:22" s="2602" customFormat="1" ht="13.2" customHeight="1">
      <c r="A9" s="2637">
        <v>1</v>
      </c>
      <c r="B9" s="3429" t="s">
        <v>2353</v>
      </c>
      <c r="C9" s="3430"/>
      <c r="D9" s="2638">
        <f>ROUND(D6*E9,0)</f>
        <v>0</v>
      </c>
      <c r="E9" s="2642"/>
      <c r="F9" s="2643" t="s">
        <v>2354</v>
      </c>
      <c r="G9" s="2622"/>
      <c r="H9" s="2597"/>
      <c r="I9" s="2598"/>
      <c r="J9" s="3412"/>
      <c r="K9" s="3414"/>
      <c r="L9" s="2632" t="s">
        <v>2355</v>
      </c>
      <c r="M9" s="2633"/>
      <c r="N9" s="2609"/>
      <c r="O9" s="2634"/>
      <c r="P9" s="2634"/>
      <c r="Q9" s="2635">
        <v>365</v>
      </c>
      <c r="R9" s="2636">
        <f t="shared" si="0"/>
        <v>0</v>
      </c>
      <c r="S9" s="2590"/>
      <c r="T9" s="2590"/>
      <c r="U9" s="2590"/>
      <c r="V9" s="2598"/>
    </row>
    <row r="10" spans="1:22" s="2602" customFormat="1" ht="13.2" customHeight="1">
      <c r="A10" s="2637">
        <v>2</v>
      </c>
      <c r="B10" s="3429" t="s">
        <v>2356</v>
      </c>
      <c r="C10" s="3430"/>
      <c r="D10" s="2638">
        <f>ROUND(D6*E10,0)</f>
        <v>0</v>
      </c>
      <c r="E10" s="2642"/>
      <c r="F10" s="2643" t="s">
        <v>2357</v>
      </c>
      <c r="G10" s="2622"/>
      <c r="H10" s="2597"/>
      <c r="I10" s="2598"/>
      <c r="J10" s="3412"/>
      <c r="K10" s="3414"/>
      <c r="L10" s="2632" t="s">
        <v>2358</v>
      </c>
      <c r="M10" s="2633"/>
      <c r="N10" s="2609"/>
      <c r="O10" s="2634"/>
      <c r="P10" s="2634"/>
      <c r="Q10" s="2635">
        <v>365</v>
      </c>
      <c r="R10" s="2636">
        <f t="shared" si="0"/>
        <v>0</v>
      </c>
      <c r="S10" s="2590"/>
      <c r="T10" s="2590"/>
      <c r="U10" s="2590"/>
      <c r="V10" s="2598"/>
    </row>
    <row r="11" spans="1:22" s="2602" customFormat="1" ht="13.2" customHeight="1">
      <c r="A11" s="2637">
        <v>3</v>
      </c>
      <c r="B11" s="3429" t="s">
        <v>2359</v>
      </c>
      <c r="C11" s="3430"/>
      <c r="D11" s="2638">
        <f>D12+D14+D15+D16</f>
        <v>0</v>
      </c>
      <c r="E11" s="2644" t="e">
        <f>D11/D6</f>
        <v>#DIV/0!</v>
      </c>
      <c r="F11" s="2640"/>
      <c r="G11" s="2641"/>
      <c r="H11" s="2597"/>
      <c r="I11" s="2598"/>
      <c r="J11" s="3412"/>
      <c r="K11" s="3414"/>
      <c r="L11" s="2632" t="s">
        <v>2360</v>
      </c>
      <c r="M11" s="2633"/>
      <c r="N11" s="2609"/>
      <c r="O11" s="2634"/>
      <c r="P11" s="2634"/>
      <c r="Q11" s="2635">
        <v>365</v>
      </c>
      <c r="R11" s="2636">
        <f t="shared" si="0"/>
        <v>0</v>
      </c>
      <c r="S11" s="2590"/>
      <c r="T11" s="2590"/>
      <c r="U11" s="2590"/>
      <c r="V11" s="2598"/>
    </row>
    <row r="12" spans="1:22" s="2602" customFormat="1" ht="13.2" customHeight="1">
      <c r="A12" s="2645" t="s">
        <v>2361</v>
      </c>
      <c r="B12" s="3422" t="s">
        <v>2362</v>
      </c>
      <c r="C12" s="3423"/>
      <c r="D12" s="2646">
        <f>ROUND(D13*1.2%*(1-30%),0)</f>
        <v>0</v>
      </c>
      <c r="E12" s="2647">
        <v>1.2E-2</v>
      </c>
      <c r="F12" s="2640" t="s">
        <v>2363</v>
      </c>
      <c r="G12" s="2641"/>
      <c r="H12" s="2597"/>
      <c r="I12" s="2598"/>
      <c r="J12" s="3412"/>
      <c r="K12" s="3414"/>
      <c r="L12" s="2632" t="s">
        <v>2364</v>
      </c>
      <c r="M12" s="2633"/>
      <c r="N12" s="2609"/>
      <c r="O12" s="2634"/>
      <c r="P12" s="2634"/>
      <c r="Q12" s="2635">
        <v>365</v>
      </c>
      <c r="R12" s="2636">
        <f t="shared" si="0"/>
        <v>0</v>
      </c>
      <c r="S12" s="2590"/>
      <c r="T12" s="2590"/>
      <c r="U12" s="2590"/>
      <c r="V12" s="2598"/>
    </row>
    <row r="13" spans="1:22" s="2602" customFormat="1" ht="13.2" customHeight="1">
      <c r="A13" s="2645"/>
      <c r="B13" s="2648"/>
      <c r="C13" s="2649" t="s">
        <v>2365</v>
      </c>
      <c r="D13" s="2650"/>
      <c r="E13" s="2651"/>
      <c r="F13" s="2640"/>
      <c r="G13" s="2641"/>
      <c r="H13" s="2597"/>
      <c r="I13" s="2598"/>
      <c r="J13" s="3412"/>
      <c r="K13" s="3414"/>
      <c r="L13" s="2632" t="s">
        <v>2366</v>
      </c>
      <c r="M13" s="2633"/>
      <c r="N13" s="2609"/>
      <c r="O13" s="2634"/>
      <c r="P13" s="2634"/>
      <c r="Q13" s="2635">
        <v>365</v>
      </c>
      <c r="R13" s="2636">
        <f t="shared" si="0"/>
        <v>0</v>
      </c>
      <c r="S13" s="2590"/>
      <c r="T13" s="2590"/>
      <c r="U13" s="2590"/>
      <c r="V13" s="2598"/>
    </row>
    <row r="14" spans="1:22" s="2602" customFormat="1" ht="13.2" customHeight="1">
      <c r="A14" s="2645" t="s">
        <v>2367</v>
      </c>
      <c r="B14" s="3422" t="s">
        <v>2368</v>
      </c>
      <c r="C14" s="3423"/>
      <c r="D14" s="2646">
        <f>ROUND(E14*B5/10000,0)</f>
        <v>0</v>
      </c>
      <c r="E14" s="2635"/>
      <c r="F14" s="2640" t="s">
        <v>2369</v>
      </c>
      <c r="G14" s="2641"/>
      <c r="H14" s="2597"/>
      <c r="I14" s="2598"/>
      <c r="J14" s="3412"/>
      <c r="K14" s="3415"/>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2371</v>
      </c>
      <c r="B15" s="3422" t="s">
        <v>2372</v>
      </c>
      <c r="C15" s="3423"/>
      <c r="D15" s="2646">
        <f>ROUND(D6*E15,0)</f>
        <v>0</v>
      </c>
      <c r="E15" s="2647">
        <v>5.5E-2</v>
      </c>
      <c r="F15" s="2640" t="s">
        <v>2373</v>
      </c>
      <c r="G15" s="2622"/>
      <c r="H15" s="2597"/>
      <c r="I15" s="2598"/>
      <c r="J15" s="3412">
        <v>2</v>
      </c>
      <c r="K15" s="3413"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2" customHeight="1">
      <c r="A16" s="2645" t="s">
        <v>2380</v>
      </c>
      <c r="B16" s="3422" t="s">
        <v>2381</v>
      </c>
      <c r="C16" s="3423"/>
      <c r="D16" s="2657">
        <f>D6*E16</f>
        <v>0</v>
      </c>
      <c r="E16" s="2658"/>
      <c r="F16" s="2643" t="s">
        <v>2382</v>
      </c>
      <c r="G16" s="2622"/>
      <c r="H16" s="2597"/>
      <c r="I16" s="2598"/>
      <c r="J16" s="3412"/>
      <c r="K16" s="3414"/>
      <c r="L16" s="2632" t="s">
        <v>2383</v>
      </c>
      <c r="M16" s="2633"/>
      <c r="N16" s="2633"/>
      <c r="O16" s="2634"/>
      <c r="P16" s="2635">
        <v>365</v>
      </c>
      <c r="Q16" s="2609"/>
      <c r="R16" s="2656">
        <f>ROUND(M16*N16*O16*P16/10000,0)</f>
        <v>0</v>
      </c>
      <c r="S16" s="2590"/>
      <c r="T16" s="2590"/>
      <c r="U16" s="2590"/>
      <c r="V16" s="2598"/>
    </row>
    <row r="17" spans="1:22" s="2602" customFormat="1" ht="13.2" customHeight="1" thickBot="1">
      <c r="A17" s="2659">
        <v>4</v>
      </c>
      <c r="B17" s="3424" t="s">
        <v>2384</v>
      </c>
      <c r="C17" s="3425"/>
      <c r="D17" s="2660">
        <f>ROUND(D6*E17,0)</f>
        <v>0</v>
      </c>
      <c r="E17" s="2661"/>
      <c r="F17" s="2662" t="s">
        <v>2385</v>
      </c>
      <c r="G17" s="2622"/>
      <c r="H17" s="2597"/>
      <c r="I17" s="2598"/>
      <c r="J17" s="3412"/>
      <c r="K17" s="3414"/>
      <c r="L17" s="2632" t="s">
        <v>2386</v>
      </c>
      <c r="M17" s="2633"/>
      <c r="N17" s="2633"/>
      <c r="O17" s="2634"/>
      <c r="P17" s="2635">
        <v>365</v>
      </c>
      <c r="Q17" s="2609"/>
      <c r="R17" s="2656">
        <f>ROUND(M17*N17*O17*P17/10000,0)</f>
        <v>0</v>
      </c>
      <c r="S17" s="2590"/>
      <c r="T17" s="2590"/>
      <c r="U17" s="2590"/>
      <c r="V17" s="2598"/>
    </row>
    <row r="18" spans="1:22" s="2602" customFormat="1" ht="13.2" customHeight="1" thickBot="1">
      <c r="A18" s="2625" t="s">
        <v>2387</v>
      </c>
      <c r="B18" s="2626"/>
      <c r="C18" s="2626"/>
      <c r="D18" s="2663">
        <f>ROUND(D6*E18,0)</f>
        <v>0</v>
      </c>
      <c r="E18" s="2664"/>
      <c r="F18" s="2665" t="s">
        <v>2388</v>
      </c>
      <c r="G18" s="2622"/>
      <c r="H18" s="2597"/>
      <c r="I18" s="2598"/>
      <c r="J18" s="3412"/>
      <c r="K18" s="3414"/>
      <c r="L18" s="2632" t="s">
        <v>2389</v>
      </c>
      <c r="M18" s="2633"/>
      <c r="N18" s="2633"/>
      <c r="O18" s="2634"/>
      <c r="P18" s="2635">
        <v>365</v>
      </c>
      <c r="Q18" s="2609"/>
      <c r="R18" s="2656">
        <f>ROUND(M18*N18*O18*P18/10000,0)</f>
        <v>0</v>
      </c>
      <c r="S18" s="2590"/>
      <c r="T18" s="2590"/>
      <c r="U18" s="2590"/>
      <c r="V18" s="2598"/>
    </row>
    <row r="19" spans="1:22" s="2602" customFormat="1" ht="13.2" customHeight="1" thickBot="1">
      <c r="A19" s="2666" t="s">
        <v>2390</v>
      </c>
      <c r="B19" s="2620"/>
      <c r="C19" s="2620"/>
      <c r="D19" s="2620"/>
      <c r="E19" s="2620"/>
      <c r="F19" s="2621"/>
      <c r="G19" s="2641"/>
      <c r="H19" s="2597"/>
      <c r="I19" s="2598"/>
      <c r="J19" s="3412"/>
      <c r="K19" s="3415"/>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412">
        <v>3</v>
      </c>
      <c r="K20" s="3413"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2" customHeight="1">
      <c r="A21" s="2625"/>
      <c r="B21" s="2626"/>
      <c r="C21" s="2671" t="s">
        <v>2399</v>
      </c>
      <c r="D21" s="2672" t="s">
        <v>2400</v>
      </c>
      <c r="E21" s="2673" t="s">
        <v>2401</v>
      </c>
      <c r="F21" s="2669"/>
      <c r="G21" s="2641"/>
      <c r="H21" s="2597"/>
      <c r="I21" s="2598"/>
      <c r="J21" s="3412"/>
      <c r="K21" s="3414"/>
      <c r="L21" s="2632" t="s">
        <v>2402</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2403</v>
      </c>
      <c r="D22" s="2676" t="s">
        <v>2404</v>
      </c>
      <c r="E22" s="2677" t="s">
        <v>2405</v>
      </c>
      <c r="F22" s="2669"/>
      <c r="G22" s="2590"/>
      <c r="H22" s="2597"/>
      <c r="I22" s="2598"/>
      <c r="J22" s="3412"/>
      <c r="K22" s="3414"/>
      <c r="L22" s="2632" t="s">
        <v>2406</v>
      </c>
      <c r="M22" s="2633"/>
      <c r="N22" s="2633"/>
      <c r="O22" s="2634"/>
      <c r="P22" s="2635">
        <v>365</v>
      </c>
      <c r="Q22" s="2609"/>
      <c r="R22" s="2674">
        <f>ROUND(M22*N22*O22*P22/10000,0)</f>
        <v>0</v>
      </c>
      <c r="S22" s="2590"/>
      <c r="T22" s="2590"/>
      <c r="U22" s="2590"/>
      <c r="V22" s="2598"/>
    </row>
    <row r="23" spans="1:22" s="2602" customFormat="1" ht="13.2" customHeight="1">
      <c r="A23" s="2678">
        <v>1</v>
      </c>
      <c r="B23" s="2679" t="s">
        <v>2407</v>
      </c>
      <c r="C23" s="2680">
        <f>D6</f>
        <v>0</v>
      </c>
      <c r="D23" s="2681">
        <f>C23*(1+D24)</f>
        <v>0</v>
      </c>
      <c r="E23" s="2682">
        <f>D23*(1+E24)</f>
        <v>0</v>
      </c>
      <c r="F23" s="2683"/>
      <c r="G23" s="2684"/>
      <c r="H23" s="2597"/>
      <c r="I23" s="2598"/>
      <c r="J23" s="3412"/>
      <c r="K23" s="3414"/>
      <c r="L23" s="2632" t="s">
        <v>2408</v>
      </c>
      <c r="M23" s="2633"/>
      <c r="N23" s="2633"/>
      <c r="O23" s="2634"/>
      <c r="P23" s="2635">
        <v>365</v>
      </c>
      <c r="Q23" s="2609"/>
      <c r="R23" s="2674">
        <f>ROUND(M23*N23*O23*P23/10000,0)</f>
        <v>0</v>
      </c>
      <c r="S23" s="2590"/>
      <c r="T23" s="2590"/>
      <c r="U23" s="2590"/>
      <c r="V23" s="2598"/>
    </row>
    <row r="24" spans="1:22" s="2602" customFormat="1" ht="13.2" customHeight="1">
      <c r="A24" s="2685"/>
      <c r="B24" s="2686" t="s">
        <v>2409</v>
      </c>
      <c r="C24" s="2687"/>
      <c r="D24" s="2688"/>
      <c r="E24" s="2689"/>
      <c r="F24" s="2690"/>
      <c r="G24" s="2684"/>
      <c r="H24" s="2597"/>
      <c r="I24" s="2598"/>
      <c r="J24" s="3412"/>
      <c r="K24" s="3415"/>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2" customHeight="1">
      <c r="A26" s="2678">
        <v>2</v>
      </c>
      <c r="B26" s="2679" t="s">
        <v>2411</v>
      </c>
      <c r="C26" s="2680">
        <f>D7</f>
        <v>0</v>
      </c>
      <c r="D26" s="2681">
        <f>D23*D27</f>
        <v>0</v>
      </c>
      <c r="E26" s="2682">
        <f>E23*E27</f>
        <v>0</v>
      </c>
      <c r="F26" s="2683"/>
      <c r="G26" s="2684"/>
      <c r="H26" s="2597"/>
      <c r="I26" s="2598"/>
      <c r="J26" s="3416">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2" customHeight="1">
      <c r="A27" s="2685"/>
      <c r="B27" s="2686" t="s">
        <v>2417</v>
      </c>
      <c r="C27" s="2703" t="e">
        <f>E7</f>
        <v>#DIV/0!</v>
      </c>
      <c r="D27" s="2688"/>
      <c r="E27" s="2689"/>
      <c r="F27" s="2690"/>
      <c r="G27" s="2684"/>
      <c r="H27" s="2704"/>
      <c r="I27" s="2696"/>
      <c r="J27" s="3417"/>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2"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2" customHeight="1">
      <c r="A32" s="2678">
        <v>4</v>
      </c>
      <c r="B32" s="2679" t="s">
        <v>2425</v>
      </c>
      <c r="C32" s="2680">
        <f>C23-C26-C29</f>
        <v>0</v>
      </c>
      <c r="D32" s="2681">
        <f>D23-D26-D29</f>
        <v>0</v>
      </c>
      <c r="E32" s="2682">
        <f>E23-E26-E29</f>
        <v>0</v>
      </c>
      <c r="F32" s="2683"/>
      <c r="G32" s="2590"/>
      <c r="H32" s="2597"/>
      <c r="I32" s="2598"/>
      <c r="J32" s="3418" t="s">
        <v>2317</v>
      </c>
      <c r="K32" s="3419"/>
      <c r="L32" s="2599" t="s">
        <v>2318</v>
      </c>
      <c r="M32" s="2599" t="s">
        <v>2319</v>
      </c>
      <c r="N32" s="2599" t="s">
        <v>2320</v>
      </c>
      <c r="O32" s="2599" t="s">
        <v>2321</v>
      </c>
      <c r="P32" s="2599" t="s">
        <v>2322</v>
      </c>
      <c r="Q32" s="2600" t="s">
        <v>2323</v>
      </c>
      <c r="R32" s="2719" t="s">
        <v>2324</v>
      </c>
      <c r="S32" s="2590"/>
      <c r="T32" s="2590"/>
      <c r="U32" s="2590"/>
      <c r="V32" s="2696"/>
    </row>
    <row r="33" spans="1:23" s="2602" customFormat="1" ht="13.2" customHeight="1">
      <c r="A33" s="2678"/>
      <c r="B33" s="2679"/>
      <c r="C33" s="2680"/>
      <c r="D33" s="2720"/>
      <c r="E33" s="2721"/>
      <c r="F33" s="2683"/>
      <c r="G33" s="2590"/>
      <c r="H33" s="2704"/>
      <c r="I33" s="2696"/>
      <c r="J33" s="3420" t="s">
        <v>2327</v>
      </c>
      <c r="K33" s="3421"/>
      <c r="L33" s="2605"/>
      <c r="M33" s="2605"/>
      <c r="N33" s="2605"/>
      <c r="O33" s="2605"/>
      <c r="P33" s="2605"/>
      <c r="Q33" s="2606"/>
      <c r="R33" s="2722">
        <f>SUM(L33:Q33)</f>
        <v>0</v>
      </c>
      <c r="S33" s="2590"/>
      <c r="T33" s="2590"/>
      <c r="U33" s="2590"/>
      <c r="V33" s="2598"/>
    </row>
    <row r="34" spans="1:23" s="2602" customFormat="1" ht="13.2" customHeight="1">
      <c r="A34" s="2678">
        <v>5</v>
      </c>
      <c r="B34" s="2679" t="s">
        <v>2426</v>
      </c>
      <c r="C34" s="2723"/>
      <c r="D34" s="2724"/>
      <c r="E34" s="2725"/>
      <c r="F34" s="2683"/>
      <c r="G34" s="2590"/>
      <c r="H34" s="2704"/>
      <c r="I34" s="2696"/>
      <c r="J34" s="3420" t="s">
        <v>2329</v>
      </c>
      <c r="K34" s="3421"/>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2" customHeight="1" thickBot="1">
      <c r="A36" s="2678">
        <v>7</v>
      </c>
      <c r="B36" s="2732" t="s">
        <v>2428</v>
      </c>
      <c r="C36" s="2733"/>
      <c r="D36" s="2734"/>
      <c r="E36" s="2735"/>
      <c r="F36" s="2736">
        <f>C36+D36+E36</f>
        <v>0</v>
      </c>
      <c r="G36" s="2590"/>
      <c r="H36" s="2597"/>
      <c r="I36" s="2598"/>
      <c r="J36" s="3412">
        <v>1</v>
      </c>
      <c r="K36" s="3413" t="s">
        <v>2429</v>
      </c>
      <c r="L36" s="2623"/>
      <c r="M36" s="2624"/>
      <c r="N36" s="2624"/>
      <c r="O36" s="2624"/>
      <c r="P36" s="2624"/>
      <c r="Q36" s="2624"/>
      <c r="R36" s="2607" t="s">
        <v>2341</v>
      </c>
      <c r="S36" s="2590"/>
      <c r="T36" s="2590" t="s">
        <v>2342</v>
      </c>
      <c r="U36" s="2590"/>
      <c r="V36" s="2598"/>
    </row>
    <row r="37" spans="1:23" s="2602" customFormat="1" ht="13.2" customHeight="1">
      <c r="A37" s="2678"/>
      <c r="B37" s="2679"/>
      <c r="C37" s="2679"/>
      <c r="D37" s="2679"/>
      <c r="E37" s="2679"/>
      <c r="F37" s="2683"/>
      <c r="G37" s="2590"/>
      <c r="H37" s="2597"/>
      <c r="I37" s="2598"/>
      <c r="J37" s="3412"/>
      <c r="K37" s="3414"/>
      <c r="L37" s="2632"/>
      <c r="M37" s="2633"/>
      <c r="N37" s="2609"/>
      <c r="O37" s="2634"/>
      <c r="P37" s="2634"/>
      <c r="Q37" s="2635"/>
      <c r="R37" s="2636"/>
      <c r="S37" s="2590"/>
      <c r="T37" s="2590" t="s">
        <v>2345</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412"/>
      <c r="K38" s="3414"/>
      <c r="L38" s="2632"/>
      <c r="M38" s="2633"/>
      <c r="N38" s="2609"/>
      <c r="O38" s="2634"/>
      <c r="P38" s="2634"/>
      <c r="Q38" s="2635"/>
      <c r="R38" s="2636"/>
      <c r="S38" s="2590"/>
      <c r="T38" s="2590" t="s">
        <v>2352</v>
      </c>
      <c r="U38" s="2590"/>
      <c r="V38" s="2598"/>
    </row>
    <row r="39" spans="1:23" s="2602" customFormat="1" ht="13.2" customHeight="1">
      <c r="A39" s="2678">
        <v>9</v>
      </c>
      <c r="B39" s="2679" t="s">
        <v>2430</v>
      </c>
      <c r="C39" s="2646" t="e">
        <f>C38</f>
        <v>#DIV/0!</v>
      </c>
      <c r="D39" s="2679">
        <f>D38/(1+D34)^C36</f>
        <v>0</v>
      </c>
      <c r="E39" s="2679">
        <f>E38/(1+E34)^(C36+D36)</f>
        <v>0</v>
      </c>
      <c r="F39" s="2683"/>
      <c r="G39" s="2598"/>
      <c r="H39" s="2597"/>
      <c r="I39" s="2598"/>
      <c r="J39" s="3412"/>
      <c r="K39" s="3414"/>
      <c r="L39" s="2632"/>
      <c r="M39" s="2633"/>
      <c r="N39" s="2609"/>
      <c r="O39" s="2634"/>
      <c r="P39" s="2634"/>
      <c r="Q39" s="2635"/>
      <c r="R39" s="2636"/>
      <c r="S39" s="2590"/>
      <c r="T39" s="2590"/>
      <c r="U39" s="2590"/>
      <c r="V39" s="2598"/>
    </row>
    <row r="40" spans="1:23" s="2602" customFormat="1" ht="13.2" customHeight="1">
      <c r="A40" s="2737">
        <v>10</v>
      </c>
      <c r="B40" s="2679" t="s">
        <v>2431</v>
      </c>
      <c r="C40" s="2738" t="e">
        <f>C39+D39+E39</f>
        <v>#DIV/0!</v>
      </c>
      <c r="D40" s="2739"/>
      <c r="E40" s="2739"/>
      <c r="F40" s="2740"/>
      <c r="G40" s="2590"/>
      <c r="H40" s="2597"/>
      <c r="I40" s="2598"/>
      <c r="J40" s="3412"/>
      <c r="K40" s="3415"/>
      <c r="L40" s="2652" t="s">
        <v>2370</v>
      </c>
      <c r="M40" s="2653"/>
      <c r="N40" s="2653"/>
      <c r="O40" s="2654"/>
      <c r="P40" s="2654"/>
      <c r="Q40" s="2655"/>
      <c r="R40" s="2601">
        <f>SUM(R37:R39)</f>
        <v>0</v>
      </c>
      <c r="S40" s="2590"/>
      <c r="T40" s="2590"/>
      <c r="U40" s="2590"/>
      <c r="V40" s="2598"/>
    </row>
    <row r="41" spans="1:23" s="2602" customFormat="1" ht="13.2"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2" customHeight="1">
      <c r="G42" s="2597"/>
      <c r="H42" s="2597"/>
      <c r="I42" s="2598"/>
      <c r="J42" s="3416">
        <v>3</v>
      </c>
      <c r="K42" s="2698" t="s">
        <v>2412</v>
      </c>
      <c r="L42" s="2699"/>
      <c r="M42" s="2700"/>
      <c r="N42" s="2701" t="s">
        <v>2413</v>
      </c>
      <c r="O42" s="2701" t="s">
        <v>2414</v>
      </c>
      <c r="P42" s="2702" t="s">
        <v>2415</v>
      </c>
      <c r="Q42" s="2702" t="s">
        <v>2416</v>
      </c>
      <c r="R42" s="2607" t="s">
        <v>2341</v>
      </c>
      <c r="S42" s="2641"/>
      <c r="T42" s="2641"/>
      <c r="U42" s="2590"/>
      <c r="V42" s="2598"/>
    </row>
    <row r="43" spans="1:23" ht="13.2" customHeight="1">
      <c r="A43" s="2602"/>
      <c r="B43" s="2602"/>
      <c r="C43" s="2602"/>
      <c r="D43" s="2602"/>
      <c r="E43" s="2602"/>
      <c r="F43" s="2602"/>
      <c r="I43" s="2585"/>
      <c r="J43" s="3417"/>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47.0396</v>
      </c>
      <c r="C2" s="1729" t="s">
        <v>1651</v>
      </c>
      <c r="D2" s="1730" t="s">
        <v>1652</v>
      </c>
      <c r="E2" s="2391">
        <f>SUM(E6:E13)</f>
        <v>66.63</v>
      </c>
      <c r="F2" s="2477"/>
      <c r="G2" s="459"/>
      <c r="H2" s="459"/>
      <c r="I2" s="459"/>
      <c r="J2" s="459"/>
      <c r="K2" s="459"/>
      <c r="L2" s="459"/>
      <c r="M2" s="459"/>
      <c r="N2" s="459"/>
      <c r="O2" s="459"/>
      <c r="P2" s="459"/>
      <c r="Q2" s="459"/>
      <c r="R2" s="459"/>
      <c r="S2" s="459"/>
    </row>
    <row r="3" spans="1:22" ht="15.6">
      <c r="A3" s="1728" t="s">
        <v>686</v>
      </c>
      <c r="B3" s="2385">
        <f ca="1">ROUND(B2*10000/E2,0)</f>
        <v>7060</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431" t="s">
        <v>1654</v>
      </c>
      <c r="C5" s="3432"/>
      <c r="D5" s="2478"/>
      <c r="E5" s="1731" t="s">
        <v>1655</v>
      </c>
      <c r="F5" s="129" t="s">
        <v>1656</v>
      </c>
      <c r="G5" s="459"/>
      <c r="H5" s="459"/>
      <c r="I5" s="459"/>
      <c r="J5" s="459"/>
      <c r="K5" s="459"/>
      <c r="L5" s="459"/>
      <c r="M5" s="459"/>
      <c r="N5" s="459"/>
      <c r="O5" s="459"/>
      <c r="P5" s="459"/>
      <c r="Q5" s="459"/>
      <c r="R5" s="459"/>
      <c r="S5" s="459"/>
    </row>
    <row r="6" spans="1:22" ht="14.4">
      <c r="A6" s="2388" t="str">
        <f>'数据-取费表'!AN6</f>
        <v>收益法 (元)</v>
      </c>
      <c r="B6" s="2386">
        <f ca="1">IF(F6="是",'数据-取费表'!AO6,0)</f>
        <v>47.0396</v>
      </c>
      <c r="C6" s="1729" t="s">
        <v>1651</v>
      </c>
      <c r="D6" s="2477"/>
      <c r="E6" s="2390">
        <f>IF(OR(A6=0,F6="否"),0,'数据-取费表'!K6+'数据-取费表'!S6)</f>
        <v>66.63</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66.63</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377" t="s">
        <v>1667</v>
      </c>
      <c r="D4" s="3378"/>
      <c r="E4" s="3379" t="s">
        <v>1668</v>
      </c>
      <c r="F4" s="3380"/>
      <c r="G4" s="3377" t="s">
        <v>1669</v>
      </c>
      <c r="H4" s="3378"/>
      <c r="I4" s="3377" t="s">
        <v>1670</v>
      </c>
      <c r="J4" s="3378"/>
      <c r="K4" s="1744" t="s">
        <v>1671</v>
      </c>
      <c r="L4" s="2484"/>
      <c r="M4" s="2485"/>
      <c r="N4" s="2485"/>
      <c r="O4" s="2485"/>
      <c r="P4" s="3437" t="s">
        <v>1672</v>
      </c>
      <c r="Q4" s="3438"/>
      <c r="R4" s="3441" t="s">
        <v>1668</v>
      </c>
      <c r="S4" s="3442"/>
      <c r="T4" s="3441" t="s">
        <v>1669</v>
      </c>
      <c r="U4" s="3442"/>
      <c r="V4" s="3361" t="s">
        <v>1670</v>
      </c>
      <c r="W4" s="3361"/>
      <c r="X4" s="1265"/>
      <c r="Y4" s="3441" t="s">
        <v>1672</v>
      </c>
      <c r="Z4" s="3442"/>
      <c r="AA4" s="3436" t="s">
        <v>1668</v>
      </c>
      <c r="AB4" s="3436" t="s">
        <v>1669</v>
      </c>
      <c r="AC4" s="3436" t="s">
        <v>1670</v>
      </c>
    </row>
    <row r="5" spans="1:29">
      <c r="A5" s="348"/>
      <c r="B5" s="349"/>
      <c r="C5" s="3443" t="s">
        <v>1673</v>
      </c>
      <c r="D5" s="3397"/>
      <c r="E5" s="3444" t="s">
        <v>1674</v>
      </c>
      <c r="F5" s="3445"/>
      <c r="G5" s="3443" t="s">
        <v>1675</v>
      </c>
      <c r="H5" s="3397"/>
      <c r="I5" s="3443" t="s">
        <v>1676</v>
      </c>
      <c r="J5" s="3397"/>
      <c r="K5" s="1745"/>
      <c r="L5" s="2484"/>
      <c r="M5" s="2485"/>
      <c r="N5" s="2485"/>
      <c r="O5" s="2485"/>
      <c r="P5" s="3439"/>
      <c r="Q5" s="3384"/>
      <c r="R5" s="3389"/>
      <c r="S5" s="3390"/>
      <c r="T5" s="3389"/>
      <c r="U5" s="3390"/>
      <c r="V5" s="3361"/>
      <c r="W5" s="3361"/>
      <c r="X5" s="1265"/>
      <c r="Y5" s="3389"/>
      <c r="Z5" s="3390"/>
      <c r="AA5" s="3405"/>
      <c r="AB5" s="3405"/>
      <c r="AC5" s="3405"/>
    </row>
    <row r="6" spans="1:29" ht="15" thickBot="1">
      <c r="A6" s="350"/>
      <c r="B6" s="351"/>
      <c r="C6" s="3394" t="s">
        <v>1677</v>
      </c>
      <c r="D6" s="3395"/>
      <c r="E6" s="3402" t="s">
        <v>1677</v>
      </c>
      <c r="F6" s="3403"/>
      <c r="G6" s="3394" t="s">
        <v>1677</v>
      </c>
      <c r="H6" s="3395"/>
      <c r="I6" s="3394" t="s">
        <v>1677</v>
      </c>
      <c r="J6" s="3395"/>
      <c r="K6" s="1745" t="s">
        <v>1678</v>
      </c>
      <c r="L6" s="2484"/>
      <c r="M6" s="2485"/>
      <c r="N6" s="2485"/>
      <c r="O6" s="2485"/>
      <c r="P6" s="3440"/>
      <c r="Q6" s="3386"/>
      <c r="R6" s="3389"/>
      <c r="S6" s="3390"/>
      <c r="T6" s="3391"/>
      <c r="U6" s="3392"/>
      <c r="V6" s="3361"/>
      <c r="W6" s="3361"/>
      <c r="X6" s="1265"/>
      <c r="Y6" s="3391"/>
      <c r="Z6" s="3392"/>
      <c r="AA6" s="3406"/>
      <c r="AB6" s="3406"/>
      <c r="AC6" s="3406"/>
    </row>
    <row r="7" spans="1:29" s="102" customFormat="1" ht="15" thickBot="1">
      <c r="A7" s="352" t="s">
        <v>1679</v>
      </c>
      <c r="B7" s="353"/>
      <c r="C7" s="354">
        <f>'数据-取费表'!B2</f>
        <v>45814</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00" t="s">
        <v>1680</v>
      </c>
      <c r="Q7" s="3401"/>
      <c r="R7" s="664" t="s">
        <v>20</v>
      </c>
      <c r="S7" s="665">
        <f t="shared" ref="S7:S15" si="0">F7</f>
        <v>0</v>
      </c>
      <c r="T7" s="664" t="s">
        <v>20</v>
      </c>
      <c r="U7" s="665">
        <f t="shared" ref="U7:U15" si="1">H7</f>
        <v>0</v>
      </c>
      <c r="V7" s="664" t="s">
        <v>20</v>
      </c>
      <c r="W7" s="665">
        <f t="shared" ref="W7:W15" si="2">J7</f>
        <v>0</v>
      </c>
      <c r="X7" s="666"/>
      <c r="Y7" s="3400" t="s">
        <v>1680</v>
      </c>
      <c r="Z7" s="3399"/>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00" t="s">
        <v>1683</v>
      </c>
      <c r="Q8" s="3399"/>
      <c r="R8" s="664" t="s">
        <v>20</v>
      </c>
      <c r="S8" s="665">
        <f t="shared" si="0"/>
        <v>100</v>
      </c>
      <c r="T8" s="664" t="s">
        <v>20</v>
      </c>
      <c r="U8" s="665">
        <f t="shared" si="1"/>
        <v>100</v>
      </c>
      <c r="V8" s="664" t="s">
        <v>20</v>
      </c>
      <c r="W8" s="665">
        <f t="shared" si="2"/>
        <v>100</v>
      </c>
      <c r="X8" s="666"/>
      <c r="Y8" s="3400" t="s">
        <v>1683</v>
      </c>
      <c r="Z8" s="3399"/>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59" t="s">
        <v>1686</v>
      </c>
      <c r="Q9" s="530" t="str">
        <f t="shared" ref="Q9:Q15" si="6">B9</f>
        <v>用途</v>
      </c>
      <c r="R9" s="664" t="s">
        <v>14</v>
      </c>
      <c r="S9" s="665">
        <f t="shared" si="0"/>
        <v>100</v>
      </c>
      <c r="T9" s="664" t="s">
        <v>14</v>
      </c>
      <c r="U9" s="665">
        <f t="shared" si="1"/>
        <v>100</v>
      </c>
      <c r="V9" s="664" t="s">
        <v>14</v>
      </c>
      <c r="W9" s="665">
        <f t="shared" si="2"/>
        <v>100</v>
      </c>
      <c r="X9" s="666"/>
      <c r="Y9" s="3263"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59"/>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59"/>
      <c r="Q11" s="530" t="str">
        <f t="shared" si="6"/>
        <v>容积率</v>
      </c>
      <c r="R11" s="664" t="s">
        <v>18</v>
      </c>
      <c r="S11" s="665" t="e">
        <f t="shared" si="0"/>
        <v>#N/A</v>
      </c>
      <c r="T11" s="664" t="s">
        <v>18</v>
      </c>
      <c r="U11" s="665" t="e">
        <f t="shared" si="1"/>
        <v>#N/A</v>
      </c>
      <c r="V11" s="664" t="s">
        <v>18</v>
      </c>
      <c r="W11" s="665" t="e">
        <f t="shared" si="2"/>
        <v>#N/A</v>
      </c>
      <c r="X11" s="666"/>
      <c r="Y11" s="326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59"/>
      <c r="Q12" s="530">
        <f t="shared" si="6"/>
        <v>111</v>
      </c>
      <c r="R12" s="664" t="s">
        <v>18</v>
      </c>
      <c r="S12" s="665">
        <f t="shared" si="0"/>
        <v>100</v>
      </c>
      <c r="T12" s="664" t="s">
        <v>18</v>
      </c>
      <c r="U12" s="665">
        <f t="shared" si="1"/>
        <v>100</v>
      </c>
      <c r="V12" s="664" t="s">
        <v>18</v>
      </c>
      <c r="W12" s="665">
        <f t="shared" si="2"/>
        <v>100</v>
      </c>
      <c r="X12" s="666"/>
      <c r="Y12" s="326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59"/>
      <c r="Q13" s="530">
        <f t="shared" si="6"/>
        <v>111</v>
      </c>
      <c r="R13" s="664" t="s">
        <v>18</v>
      </c>
      <c r="S13" s="665">
        <f t="shared" si="0"/>
        <v>100</v>
      </c>
      <c r="T13" s="664" t="s">
        <v>18</v>
      </c>
      <c r="U13" s="665">
        <f t="shared" si="1"/>
        <v>100</v>
      </c>
      <c r="V13" s="664" t="s">
        <v>18</v>
      </c>
      <c r="W13" s="665">
        <f t="shared" si="2"/>
        <v>100</v>
      </c>
      <c r="X13" s="666"/>
      <c r="Y13" s="3263"/>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59"/>
      <c r="Q14" s="530">
        <f t="shared" si="6"/>
        <v>111</v>
      </c>
      <c r="R14" s="664" t="s">
        <v>18</v>
      </c>
      <c r="S14" s="665">
        <f t="shared" si="0"/>
        <v>100</v>
      </c>
      <c r="T14" s="664" t="s">
        <v>18</v>
      </c>
      <c r="U14" s="665">
        <f t="shared" si="1"/>
        <v>100</v>
      </c>
      <c r="V14" s="664" t="s">
        <v>18</v>
      </c>
      <c r="W14" s="665">
        <f t="shared" si="2"/>
        <v>100</v>
      </c>
      <c r="X14" s="666"/>
      <c r="Y14" s="3263"/>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365" t="s">
        <v>1691</v>
      </c>
      <c r="Q15" s="1263" t="str">
        <f t="shared" si="6"/>
        <v>居住社区成熟度</v>
      </c>
      <c r="R15" s="667" t="s">
        <v>18</v>
      </c>
      <c r="S15" s="668">
        <f t="shared" si="0"/>
        <v>100</v>
      </c>
      <c r="T15" s="667" t="s">
        <v>18</v>
      </c>
      <c r="U15" s="668">
        <f t="shared" si="1"/>
        <v>100</v>
      </c>
      <c r="V15" s="667" t="s">
        <v>18</v>
      </c>
      <c r="W15" s="668">
        <f t="shared" si="2"/>
        <v>100</v>
      </c>
      <c r="X15" s="1265"/>
      <c r="Y15" s="336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366"/>
      <c r="Q16" s="1263"/>
      <c r="R16" s="667"/>
      <c r="S16" s="668"/>
      <c r="T16" s="667"/>
      <c r="U16" s="668"/>
      <c r="V16" s="667"/>
      <c r="W16" s="668"/>
      <c r="X16" s="1265"/>
      <c r="Y16" s="3368"/>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66"/>
      <c r="Q17" s="1263" t="str">
        <f>B17</f>
        <v>交通便捷度</v>
      </c>
      <c r="R17" s="667" t="s">
        <v>18</v>
      </c>
      <c r="S17" s="668">
        <f>F17</f>
        <v>100</v>
      </c>
      <c r="T17" s="667" t="s">
        <v>18</v>
      </c>
      <c r="U17" s="668">
        <f>H17</f>
        <v>100</v>
      </c>
      <c r="V17" s="667" t="s">
        <v>18</v>
      </c>
      <c r="W17" s="668">
        <f>J17</f>
        <v>100</v>
      </c>
      <c r="X17" s="1265"/>
      <c r="Y17" s="3368"/>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366"/>
      <c r="Q18" s="1263"/>
      <c r="R18" s="667"/>
      <c r="S18" s="668"/>
      <c r="T18" s="667"/>
      <c r="U18" s="668"/>
      <c r="V18" s="667"/>
      <c r="W18" s="668"/>
      <c r="X18" s="1265"/>
      <c r="Y18" s="3368"/>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366"/>
      <c r="Q19" s="1263" t="str">
        <f>B19</f>
        <v>公共配套设施</v>
      </c>
      <c r="R19" s="667" t="s">
        <v>18</v>
      </c>
      <c r="S19" s="668">
        <f>F19</f>
        <v>100</v>
      </c>
      <c r="T19" s="667" t="s">
        <v>18</v>
      </c>
      <c r="U19" s="668">
        <f>H19</f>
        <v>100</v>
      </c>
      <c r="V19" s="667" t="s">
        <v>18</v>
      </c>
      <c r="W19" s="668">
        <f>J19</f>
        <v>100</v>
      </c>
      <c r="X19" s="1265"/>
      <c r="Y19" s="3368"/>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366"/>
      <c r="Q20" s="1263"/>
      <c r="R20" s="667"/>
      <c r="S20" s="668"/>
      <c r="T20" s="667"/>
      <c r="U20" s="668"/>
      <c r="V20" s="667"/>
      <c r="W20" s="668"/>
      <c r="X20" s="1265"/>
      <c r="Y20" s="3368"/>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66"/>
      <c r="Q21" s="1263" t="str">
        <f>B21</f>
        <v>基础设施水平</v>
      </c>
      <c r="R21" s="667" t="s">
        <v>14</v>
      </c>
      <c r="S21" s="668">
        <f>F21</f>
        <v>100</v>
      </c>
      <c r="T21" s="667" t="s">
        <v>14</v>
      </c>
      <c r="U21" s="668">
        <f>H21</f>
        <v>100</v>
      </c>
      <c r="V21" s="667" t="s">
        <v>14</v>
      </c>
      <c r="W21" s="668">
        <f>J21</f>
        <v>100</v>
      </c>
      <c r="X21" s="1265"/>
      <c r="Y21" s="336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366"/>
      <c r="Q22" s="1263"/>
      <c r="R22" s="667"/>
      <c r="S22" s="668"/>
      <c r="T22" s="667"/>
      <c r="U22" s="668"/>
      <c r="V22" s="667"/>
      <c r="W22" s="668"/>
      <c r="X22" s="1265"/>
      <c r="Y22" s="3368"/>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66"/>
      <c r="Q23" s="1263" t="str">
        <f>B23</f>
        <v>自然及人文环境</v>
      </c>
      <c r="R23" s="667" t="s">
        <v>18</v>
      </c>
      <c r="S23" s="668">
        <f>F23</f>
        <v>100</v>
      </c>
      <c r="T23" s="667" t="s">
        <v>18</v>
      </c>
      <c r="U23" s="668">
        <f>H23</f>
        <v>100</v>
      </c>
      <c r="V23" s="667" t="s">
        <v>18</v>
      </c>
      <c r="W23" s="668">
        <f>J23</f>
        <v>100</v>
      </c>
      <c r="X23" s="1265"/>
      <c r="Y23" s="3368"/>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366"/>
      <c r="Q24" s="1263"/>
      <c r="R24" s="667"/>
      <c r="S24" s="668"/>
      <c r="T24" s="667"/>
      <c r="U24" s="668"/>
      <c r="V24" s="667"/>
      <c r="W24" s="668"/>
      <c r="X24" s="1265"/>
      <c r="Y24" s="3368"/>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36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6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366"/>
      <c r="Q26" s="1263" t="str">
        <f t="shared" si="11"/>
        <v>朝向</v>
      </c>
      <c r="R26" s="667" t="s">
        <v>18</v>
      </c>
      <c r="S26" s="668">
        <f t="shared" si="12"/>
        <v>100</v>
      </c>
      <c r="T26" s="667" t="s">
        <v>18</v>
      </c>
      <c r="U26" s="668">
        <f t="shared" si="13"/>
        <v>100</v>
      </c>
      <c r="V26" s="667" t="s">
        <v>18</v>
      </c>
      <c r="W26" s="668">
        <f t="shared" si="14"/>
        <v>100</v>
      </c>
      <c r="X26" s="1265"/>
      <c r="Y26" s="336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366"/>
      <c r="Q27" s="530">
        <f t="shared" si="11"/>
        <v>111</v>
      </c>
      <c r="R27" s="664" t="s">
        <v>18</v>
      </c>
      <c r="S27" s="665">
        <f t="shared" si="12"/>
        <v>100</v>
      </c>
      <c r="T27" s="664" t="s">
        <v>18</v>
      </c>
      <c r="U27" s="665">
        <f t="shared" si="13"/>
        <v>100</v>
      </c>
      <c r="V27" s="664" t="s">
        <v>18</v>
      </c>
      <c r="W27" s="665">
        <f t="shared" si="14"/>
        <v>100</v>
      </c>
      <c r="X27" s="666"/>
      <c r="Y27" s="336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366"/>
      <c r="Q28" s="1263">
        <f t="shared" si="11"/>
        <v>111</v>
      </c>
      <c r="R28" s="667" t="s">
        <v>18</v>
      </c>
      <c r="S28" s="668">
        <f t="shared" si="12"/>
        <v>100</v>
      </c>
      <c r="T28" s="667" t="s">
        <v>18</v>
      </c>
      <c r="U28" s="668">
        <f t="shared" si="13"/>
        <v>100</v>
      </c>
      <c r="V28" s="667" t="s">
        <v>18</v>
      </c>
      <c r="W28" s="668">
        <f t="shared" si="14"/>
        <v>100</v>
      </c>
      <c r="X28" s="1265"/>
      <c r="Y28" s="336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366"/>
      <c r="Q29" s="1263">
        <f t="shared" si="11"/>
        <v>111</v>
      </c>
      <c r="R29" s="667" t="s">
        <v>18</v>
      </c>
      <c r="S29" s="668">
        <f t="shared" si="12"/>
        <v>100</v>
      </c>
      <c r="T29" s="667" t="s">
        <v>18</v>
      </c>
      <c r="U29" s="668">
        <f t="shared" si="13"/>
        <v>100</v>
      </c>
      <c r="V29" s="667" t="s">
        <v>18</v>
      </c>
      <c r="W29" s="668">
        <f t="shared" si="14"/>
        <v>100</v>
      </c>
      <c r="X29" s="1265"/>
      <c r="Y29" s="336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366"/>
      <c r="Q30" s="1263">
        <f t="shared" si="11"/>
        <v>111</v>
      </c>
      <c r="R30" s="667" t="s">
        <v>18</v>
      </c>
      <c r="S30" s="668">
        <f t="shared" si="12"/>
        <v>100</v>
      </c>
      <c r="T30" s="667" t="s">
        <v>18</v>
      </c>
      <c r="U30" s="668">
        <f t="shared" si="13"/>
        <v>100</v>
      </c>
      <c r="V30" s="667" t="s">
        <v>18</v>
      </c>
      <c r="W30" s="668">
        <f t="shared" si="14"/>
        <v>100</v>
      </c>
      <c r="X30" s="1265"/>
      <c r="Y30" s="3368"/>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366"/>
      <c r="Q31" s="1263">
        <f t="shared" si="11"/>
        <v>111</v>
      </c>
      <c r="R31" s="667" t="s">
        <v>18</v>
      </c>
      <c r="S31" s="668">
        <f t="shared" si="12"/>
        <v>100</v>
      </c>
      <c r="T31" s="667" t="s">
        <v>18</v>
      </c>
      <c r="U31" s="668">
        <f t="shared" si="13"/>
        <v>100</v>
      </c>
      <c r="V31" s="667" t="s">
        <v>18</v>
      </c>
      <c r="W31" s="668">
        <f t="shared" si="14"/>
        <v>100</v>
      </c>
      <c r="X31" s="1265"/>
      <c r="Y31" s="3368"/>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369" t="s">
        <v>1696</v>
      </c>
      <c r="Q32" s="1263" t="str">
        <f t="shared" si="11"/>
        <v>建筑类型</v>
      </c>
      <c r="R32" s="667" t="s">
        <v>18</v>
      </c>
      <c r="S32" s="668">
        <f t="shared" si="12"/>
        <v>100</v>
      </c>
      <c r="T32" s="667" t="s">
        <v>18</v>
      </c>
      <c r="U32" s="668">
        <f t="shared" si="13"/>
        <v>100</v>
      </c>
      <c r="V32" s="667" t="s">
        <v>18</v>
      </c>
      <c r="W32" s="668">
        <f t="shared" si="14"/>
        <v>100</v>
      </c>
      <c r="X32" s="1265"/>
      <c r="Y32" s="337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370"/>
      <c r="Q33" s="531" t="str">
        <f t="shared" si="11"/>
        <v>项目建筑规模</v>
      </c>
      <c r="R33" s="669" t="s">
        <v>18</v>
      </c>
      <c r="S33" s="670" t="e">
        <f t="shared" si="12"/>
        <v>#N/A</v>
      </c>
      <c r="T33" s="669" t="s">
        <v>18</v>
      </c>
      <c r="U33" s="670" t="e">
        <f t="shared" si="13"/>
        <v>#N/A</v>
      </c>
      <c r="V33" s="669" t="s">
        <v>18</v>
      </c>
      <c r="W33" s="670" t="e">
        <f t="shared" si="14"/>
        <v>#N/A</v>
      </c>
      <c r="X33" s="671"/>
      <c r="Y33" s="3372"/>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370"/>
      <c r="Q34" s="1263" t="str">
        <f t="shared" si="11"/>
        <v>建筑结构</v>
      </c>
      <c r="R34" s="667" t="s">
        <v>18</v>
      </c>
      <c r="S34" s="668">
        <f t="shared" si="12"/>
        <v>100</v>
      </c>
      <c r="T34" s="667" t="s">
        <v>18</v>
      </c>
      <c r="U34" s="668">
        <f t="shared" si="13"/>
        <v>100</v>
      </c>
      <c r="V34" s="667" t="s">
        <v>18</v>
      </c>
      <c r="W34" s="668">
        <f t="shared" si="14"/>
        <v>100</v>
      </c>
      <c r="X34" s="1265"/>
      <c r="Y34" s="3372"/>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370"/>
      <c r="Q35" s="1263" t="str">
        <f t="shared" si="11"/>
        <v>建筑品质</v>
      </c>
      <c r="R35" s="667" t="s">
        <v>18</v>
      </c>
      <c r="S35" s="668">
        <f t="shared" si="12"/>
        <v>100</v>
      </c>
      <c r="T35" s="667" t="s">
        <v>18</v>
      </c>
      <c r="U35" s="668">
        <f t="shared" si="13"/>
        <v>100</v>
      </c>
      <c r="V35" s="667" t="s">
        <v>18</v>
      </c>
      <c r="W35" s="668">
        <f t="shared" si="14"/>
        <v>100</v>
      </c>
      <c r="X35" s="1265"/>
      <c r="Y35" s="3372"/>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370"/>
      <c r="Q36" s="1263" t="str">
        <f t="shared" si="11"/>
        <v>公共部分装修</v>
      </c>
      <c r="R36" s="667" t="s">
        <v>18</v>
      </c>
      <c r="S36" s="668">
        <f t="shared" si="12"/>
        <v>100</v>
      </c>
      <c r="T36" s="667" t="s">
        <v>18</v>
      </c>
      <c r="U36" s="668">
        <f t="shared" si="13"/>
        <v>100</v>
      </c>
      <c r="V36" s="667" t="s">
        <v>18</v>
      </c>
      <c r="W36" s="668">
        <f t="shared" si="14"/>
        <v>100</v>
      </c>
      <c r="X36" s="1265"/>
      <c r="Y36" s="3372"/>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370"/>
      <c r="Q37" s="530" t="str">
        <f t="shared" si="11"/>
        <v>成新度</v>
      </c>
      <c r="R37" s="664" t="s">
        <v>18</v>
      </c>
      <c r="S37" s="665" t="e">
        <f t="shared" si="12"/>
        <v>#N/A</v>
      </c>
      <c r="T37" s="664" t="s">
        <v>18</v>
      </c>
      <c r="U37" s="665" t="e">
        <f t="shared" si="13"/>
        <v>#N/A</v>
      </c>
      <c r="V37" s="664" t="s">
        <v>18</v>
      </c>
      <c r="W37" s="665" t="e">
        <f t="shared" si="14"/>
        <v>#N/A</v>
      </c>
      <c r="X37" s="666"/>
      <c r="Y37" s="3372"/>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370" t="s">
        <v>1696</v>
      </c>
      <c r="Q38" s="1263" t="str">
        <f t="shared" si="11"/>
        <v>物业管理</v>
      </c>
      <c r="R38" s="667" t="s">
        <v>18</v>
      </c>
      <c r="S38" s="668">
        <f t="shared" si="12"/>
        <v>100</v>
      </c>
      <c r="T38" s="667" t="s">
        <v>18</v>
      </c>
      <c r="U38" s="668">
        <f t="shared" si="13"/>
        <v>100</v>
      </c>
      <c r="V38" s="667" t="s">
        <v>18</v>
      </c>
      <c r="W38" s="668">
        <f t="shared" si="14"/>
        <v>100</v>
      </c>
      <c r="X38" s="1265"/>
      <c r="Y38" s="3372"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370"/>
      <c r="Q39" s="1263" t="str">
        <f t="shared" si="11"/>
        <v>市政基础设施</v>
      </c>
      <c r="R39" s="667" t="s">
        <v>18</v>
      </c>
      <c r="S39" s="668">
        <f t="shared" si="12"/>
        <v>100</v>
      </c>
      <c r="T39" s="667" t="s">
        <v>18</v>
      </c>
      <c r="U39" s="668">
        <f t="shared" si="13"/>
        <v>100</v>
      </c>
      <c r="V39" s="667" t="s">
        <v>18</v>
      </c>
      <c r="W39" s="668">
        <f t="shared" si="14"/>
        <v>100</v>
      </c>
      <c r="X39" s="1265"/>
      <c r="Y39" s="3372"/>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370"/>
      <c r="Q40" s="1263" t="str">
        <f t="shared" si="11"/>
        <v>房型</v>
      </c>
      <c r="R40" s="667" t="s">
        <v>18</v>
      </c>
      <c r="S40" s="668">
        <f t="shared" si="12"/>
        <v>100</v>
      </c>
      <c r="T40" s="667" t="s">
        <v>18</v>
      </c>
      <c r="U40" s="668">
        <f t="shared" si="13"/>
        <v>100</v>
      </c>
      <c r="V40" s="667" t="s">
        <v>18</v>
      </c>
      <c r="W40" s="668">
        <f t="shared" si="14"/>
        <v>100</v>
      </c>
      <c r="X40" s="1265"/>
      <c r="Y40" s="3372"/>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370"/>
      <c r="Q41" s="531" t="str">
        <f t="shared" si="11"/>
        <v>单套/主力户型建筑面积</v>
      </c>
      <c r="R41" s="669" t="s">
        <v>18</v>
      </c>
      <c r="S41" s="670">
        <f t="shared" si="12"/>
        <v>100</v>
      </c>
      <c r="T41" s="669" t="s">
        <v>18</v>
      </c>
      <c r="U41" s="670">
        <f t="shared" si="13"/>
        <v>100</v>
      </c>
      <c r="V41" s="669" t="s">
        <v>18</v>
      </c>
      <c r="W41" s="670">
        <f t="shared" si="14"/>
        <v>100</v>
      </c>
      <c r="X41" s="671"/>
      <c r="Y41" s="3372"/>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370"/>
      <c r="Q42" s="1263" t="str">
        <f t="shared" si="11"/>
        <v>内部装修</v>
      </c>
      <c r="R42" s="667" t="s">
        <v>18</v>
      </c>
      <c r="S42" s="668">
        <f t="shared" si="12"/>
        <v>100</v>
      </c>
      <c r="T42" s="667" t="s">
        <v>18</v>
      </c>
      <c r="U42" s="668">
        <f t="shared" si="13"/>
        <v>100</v>
      </c>
      <c r="V42" s="667" t="s">
        <v>18</v>
      </c>
      <c r="W42" s="668">
        <f t="shared" si="14"/>
        <v>100</v>
      </c>
      <c r="X42" s="1265"/>
      <c r="Y42" s="3372"/>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370"/>
      <c r="Q43" s="1263" t="str">
        <f t="shared" si="11"/>
        <v>内部装修维护情况</v>
      </c>
      <c r="R43" s="667" t="s">
        <v>18</v>
      </c>
      <c r="S43" s="668">
        <f t="shared" si="12"/>
        <v>100</v>
      </c>
      <c r="T43" s="667" t="s">
        <v>18</v>
      </c>
      <c r="U43" s="668">
        <f t="shared" si="13"/>
        <v>100</v>
      </c>
      <c r="V43" s="667" t="s">
        <v>18</v>
      </c>
      <c r="W43" s="668">
        <f t="shared" si="14"/>
        <v>100</v>
      </c>
      <c r="X43" s="1265"/>
      <c r="Y43" s="337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370"/>
      <c r="Q44" s="530">
        <f t="shared" si="11"/>
        <v>111</v>
      </c>
      <c r="R44" s="664" t="s">
        <v>18</v>
      </c>
      <c r="S44" s="665">
        <f t="shared" si="12"/>
        <v>100</v>
      </c>
      <c r="T44" s="664" t="s">
        <v>18</v>
      </c>
      <c r="U44" s="665">
        <f t="shared" si="13"/>
        <v>100</v>
      </c>
      <c r="V44" s="664" t="s">
        <v>18</v>
      </c>
      <c r="W44" s="665">
        <f t="shared" si="14"/>
        <v>100</v>
      </c>
      <c r="X44" s="666"/>
      <c r="Y44" s="337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370"/>
      <c r="Q45" s="1263">
        <f t="shared" si="11"/>
        <v>111</v>
      </c>
      <c r="R45" s="667" t="s">
        <v>18</v>
      </c>
      <c r="S45" s="668">
        <f t="shared" si="12"/>
        <v>100</v>
      </c>
      <c r="T45" s="667" t="s">
        <v>18</v>
      </c>
      <c r="U45" s="668">
        <f t="shared" si="13"/>
        <v>100</v>
      </c>
      <c r="V45" s="667" t="s">
        <v>18</v>
      </c>
      <c r="W45" s="668">
        <f t="shared" si="14"/>
        <v>100</v>
      </c>
      <c r="X45" s="1265"/>
      <c r="Y45" s="3372"/>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371"/>
      <c r="Q46" s="1263">
        <f t="shared" si="11"/>
        <v>111</v>
      </c>
      <c r="R46" s="667" t="s">
        <v>17</v>
      </c>
      <c r="S46" s="668">
        <f t="shared" si="12"/>
        <v>100</v>
      </c>
      <c r="T46" s="667" t="s">
        <v>17</v>
      </c>
      <c r="U46" s="668">
        <f t="shared" si="13"/>
        <v>100</v>
      </c>
      <c r="V46" s="667" t="s">
        <v>17</v>
      </c>
      <c r="W46" s="668">
        <f t="shared" si="14"/>
        <v>100</v>
      </c>
      <c r="X46" s="1265"/>
      <c r="Y46" s="3373"/>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360" t="str">
        <f>A47</f>
        <v>成交单价（元/平方米）</v>
      </c>
      <c r="Q47" s="3360"/>
      <c r="R47" s="3361">
        <f>E47</f>
        <v>0</v>
      </c>
      <c r="S47" s="3361"/>
      <c r="T47" s="3361">
        <f>G47</f>
        <v>0</v>
      </c>
      <c r="U47" s="3361"/>
      <c r="V47" s="3361">
        <f>I47</f>
        <v>0</v>
      </c>
      <c r="W47" s="3361"/>
      <c r="X47" s="385"/>
      <c r="Y47" s="673"/>
      <c r="Z47" s="385"/>
      <c r="AA47" s="385"/>
      <c r="AB47" s="385"/>
      <c r="AC47" s="385"/>
    </row>
    <row r="48" spans="1:29" ht="15" thickBot="1">
      <c r="A48" s="423" t="s">
        <v>1709</v>
      </c>
      <c r="B48" s="424"/>
      <c r="C48" s="1082" t="e">
        <f>R49</f>
        <v>#DIV/0!</v>
      </c>
      <c r="D48" s="2140" t="s">
        <v>2138</v>
      </c>
      <c r="E48" s="1083" t="e">
        <f>R48</f>
        <v>#DIV/0!</v>
      </c>
      <c r="F48" s="2141"/>
      <c r="G48" s="1082" t="e">
        <f>T48</f>
        <v>#DIV/0!</v>
      </c>
      <c r="H48" s="2141"/>
      <c r="I48" s="1083" t="e">
        <f>V48</f>
        <v>#DIV/0!</v>
      </c>
      <c r="J48" s="2141"/>
      <c r="K48" s="2142">
        <f>F48+H48+J48</f>
        <v>0</v>
      </c>
      <c r="L48" s="2492"/>
      <c r="M48" s="2485"/>
      <c r="N48" s="2485"/>
      <c r="O48" s="2485"/>
      <c r="P48" s="3360" t="str">
        <f>A48</f>
        <v>比较价值（元/平方米）</v>
      </c>
      <c r="Q48" s="3360"/>
      <c r="R48" s="3361" t="e">
        <f>IF(F1="售价",ROUND(PRODUCT(R47,AA7:AA46),0),ROUND(PRODUCT(R47,AA7:AA46),1))</f>
        <v>#DIV/0!</v>
      </c>
      <c r="S48" s="3361"/>
      <c r="T48" s="3361" t="e">
        <f>IF(F1="售价",ROUND(PRODUCT(T47,AB7:AB46),0),ROUND(PRODUCT(T47,AB7:AB46),1))</f>
        <v>#DIV/0!</v>
      </c>
      <c r="U48" s="3361"/>
      <c r="V48" s="3361" t="e">
        <f>IF(F1="售价",ROUND(PRODUCT(V47,AC7:AC46),0),ROUND(PRODUCT(V47,AC7:AC46),1))</f>
        <v>#DIV/0!</v>
      </c>
      <c r="W48" s="3361"/>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433" t="str">
        <f>A49</f>
        <v>估价对象XX用房的比较价值（楼面单价，元/平方米）</v>
      </c>
      <c r="Q49" s="3434"/>
      <c r="R49" s="3435" t="e">
        <f>IF(F1="售价",ROUND(IF(D48="简单平均",AVERAGE(R48:V48),R48*F48+T48*H48+V48*J48),0),ROUND(IF(D48="简单平均",AVERAGE(R48:V48),R48*F48+T48*H48+V48*J48),1))</f>
        <v>#DIV/0!</v>
      </c>
      <c r="S49" s="3435"/>
      <c r="T49" s="3435"/>
      <c r="U49" s="3435"/>
      <c r="V49" s="3435"/>
      <c r="W49" s="3435"/>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2025-6</v>
      </c>
      <c r="D58" s="1104">
        <f>EDATE(C58,-1)</f>
        <v>45778</v>
      </c>
      <c r="E58" s="1104">
        <f>EDATE(D58,-1)</f>
        <v>45748</v>
      </c>
      <c r="F58" s="1104">
        <f t="shared" ref="F58:O58" si="19">EDATE(E58,-1)</f>
        <v>45717</v>
      </c>
      <c r="G58" s="1104">
        <f t="shared" si="19"/>
        <v>45689</v>
      </c>
      <c r="H58" s="1104">
        <f t="shared" si="19"/>
        <v>45658</v>
      </c>
      <c r="I58" s="1104">
        <f t="shared" si="19"/>
        <v>45627</v>
      </c>
      <c r="J58" s="1104">
        <f t="shared" si="19"/>
        <v>45597</v>
      </c>
      <c r="K58" s="1104">
        <f t="shared" si="19"/>
        <v>45566</v>
      </c>
      <c r="L58" s="1104">
        <f t="shared" si="19"/>
        <v>45536</v>
      </c>
      <c r="M58" s="1104">
        <f t="shared" si="19"/>
        <v>45505</v>
      </c>
      <c r="N58" s="1104">
        <f t="shared" si="19"/>
        <v>45474</v>
      </c>
      <c r="O58" s="1104">
        <f t="shared" si="19"/>
        <v>45444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66.63</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377" t="s">
        <v>1770</v>
      </c>
      <c r="D4" s="3378"/>
      <c r="E4" s="3379" t="s">
        <v>1771</v>
      </c>
      <c r="F4" s="3380"/>
      <c r="G4" s="3377" t="s">
        <v>1772</v>
      </c>
      <c r="H4" s="3378"/>
      <c r="I4" s="3377" t="s">
        <v>1773</v>
      </c>
      <c r="J4" s="3378"/>
      <c r="K4" s="537" t="s">
        <v>1774</v>
      </c>
      <c r="L4" s="2484"/>
      <c r="M4" s="2485"/>
      <c r="N4" s="2485"/>
      <c r="O4" s="2485"/>
      <c r="P4" s="3437" t="s">
        <v>1775</v>
      </c>
      <c r="Q4" s="3438"/>
      <c r="R4" s="3441" t="s">
        <v>1771</v>
      </c>
      <c r="S4" s="3442"/>
      <c r="T4" s="3441" t="s">
        <v>1772</v>
      </c>
      <c r="U4" s="3442"/>
      <c r="V4" s="3361" t="s">
        <v>1773</v>
      </c>
      <c r="W4" s="3361"/>
      <c r="X4" s="1265"/>
      <c r="Y4" s="3441" t="s">
        <v>1775</v>
      </c>
      <c r="Z4" s="3442"/>
      <c r="AA4" s="3436" t="s">
        <v>1771</v>
      </c>
      <c r="AB4" s="3361" t="s">
        <v>1772</v>
      </c>
      <c r="AC4" s="3436" t="s">
        <v>1773</v>
      </c>
    </row>
    <row r="5" spans="1:29">
      <c r="A5" s="348"/>
      <c r="B5" s="349"/>
      <c r="C5" s="3443" t="s">
        <v>1673</v>
      </c>
      <c r="D5" s="3397"/>
      <c r="E5" s="3444" t="s">
        <v>1674</v>
      </c>
      <c r="F5" s="3445"/>
      <c r="G5" s="3443" t="s">
        <v>1675</v>
      </c>
      <c r="H5" s="3397"/>
      <c r="I5" s="3443" t="s">
        <v>1676</v>
      </c>
      <c r="J5" s="3397"/>
      <c r="K5" s="537"/>
      <c r="L5" s="2484"/>
      <c r="M5" s="2485"/>
      <c r="N5" s="2485"/>
      <c r="O5" s="2485"/>
      <c r="P5" s="3439"/>
      <c r="Q5" s="3384"/>
      <c r="R5" s="3389"/>
      <c r="S5" s="3390"/>
      <c r="T5" s="3389"/>
      <c r="U5" s="3390"/>
      <c r="V5" s="3361"/>
      <c r="W5" s="3361"/>
      <c r="X5" s="1265"/>
      <c r="Y5" s="3389"/>
      <c r="Z5" s="3390"/>
      <c r="AA5" s="3405"/>
      <c r="AB5" s="3361"/>
      <c r="AC5" s="3405"/>
    </row>
    <row r="6" spans="1:29" ht="15" thickBot="1">
      <c r="A6" s="350"/>
      <c r="B6" s="351"/>
      <c r="C6" s="3394" t="s">
        <v>1677</v>
      </c>
      <c r="D6" s="3395"/>
      <c r="E6" s="3402" t="s">
        <v>1677</v>
      </c>
      <c r="F6" s="3403"/>
      <c r="G6" s="3394" t="s">
        <v>1677</v>
      </c>
      <c r="H6" s="3395"/>
      <c r="I6" s="3394" t="s">
        <v>1677</v>
      </c>
      <c r="J6" s="3395"/>
      <c r="K6" s="537" t="s">
        <v>1678</v>
      </c>
      <c r="L6" s="2484"/>
      <c r="M6" s="2485"/>
      <c r="N6" s="2485"/>
      <c r="O6" s="2485"/>
      <c r="P6" s="3440"/>
      <c r="Q6" s="3386"/>
      <c r="R6" s="3389"/>
      <c r="S6" s="3390"/>
      <c r="T6" s="3391"/>
      <c r="U6" s="3392"/>
      <c r="V6" s="3361"/>
      <c r="W6" s="3361"/>
      <c r="X6" s="1265"/>
      <c r="Y6" s="3391"/>
      <c r="Z6" s="3392"/>
      <c r="AA6" s="3406"/>
      <c r="AB6" s="3361"/>
      <c r="AC6" s="3406"/>
    </row>
    <row r="7" spans="1:29" s="102" customFormat="1" ht="15" thickBot="1">
      <c r="A7" s="352" t="s">
        <v>1679</v>
      </c>
      <c r="B7" s="353"/>
      <c r="C7" s="354">
        <f>'数据-取费表'!B2</f>
        <v>45814</v>
      </c>
      <c r="D7" s="355">
        <v>100</v>
      </c>
      <c r="E7" s="356"/>
      <c r="F7" s="357">
        <f>SUMIF(58:58,YEAR(E7)&amp;"-"&amp;MONTH(E7),59:59)</f>
        <v>0</v>
      </c>
      <c r="G7" s="356"/>
      <c r="H7" s="355">
        <f>SUMIF(58:58,YEAR(G7)&amp;"-"&amp;MONTH(G7),59:59)</f>
        <v>0</v>
      </c>
      <c r="I7" s="356"/>
      <c r="J7" s="355">
        <f>SUMIF(58:58,YEAR(I7)&amp;"-"&amp;MONTH(I7),59:59)</f>
        <v>0</v>
      </c>
      <c r="K7" s="38"/>
      <c r="L7" s="2486"/>
      <c r="M7" s="2438"/>
      <c r="N7" s="2438"/>
      <c r="O7" s="2438"/>
      <c r="P7" s="3400" t="s">
        <v>1680</v>
      </c>
      <c r="Q7" s="3401"/>
      <c r="R7" s="664" t="s">
        <v>14</v>
      </c>
      <c r="S7" s="665">
        <f t="shared" ref="S7:S15" si="0">F7</f>
        <v>0</v>
      </c>
      <c r="T7" s="664" t="s">
        <v>14</v>
      </c>
      <c r="U7" s="665">
        <f t="shared" ref="U7:U15" si="1">H7</f>
        <v>0</v>
      </c>
      <c r="V7" s="664" t="s">
        <v>14</v>
      </c>
      <c r="W7" s="665">
        <f t="shared" ref="W7:W15" si="2">J7</f>
        <v>0</v>
      </c>
      <c r="X7" s="666"/>
      <c r="Y7" s="3400" t="s">
        <v>1680</v>
      </c>
      <c r="Z7" s="3399"/>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400" t="s">
        <v>1683</v>
      </c>
      <c r="Q8" s="3399"/>
      <c r="R8" s="664" t="s">
        <v>14</v>
      </c>
      <c r="S8" s="665">
        <f t="shared" si="0"/>
        <v>100</v>
      </c>
      <c r="T8" s="664" t="s">
        <v>14</v>
      </c>
      <c r="U8" s="665">
        <f t="shared" si="1"/>
        <v>100</v>
      </c>
      <c r="V8" s="664" t="s">
        <v>14</v>
      </c>
      <c r="W8" s="665">
        <f t="shared" si="2"/>
        <v>100</v>
      </c>
      <c r="X8" s="666"/>
      <c r="Y8" s="3400" t="s">
        <v>1683</v>
      </c>
      <c r="Z8" s="3399"/>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359" t="s">
        <v>1686</v>
      </c>
      <c r="Q9" s="530" t="str">
        <f t="shared" ref="Q9:Q15" si="6">B9</f>
        <v>用途</v>
      </c>
      <c r="R9" s="664" t="s">
        <v>14</v>
      </c>
      <c r="S9" s="665">
        <f t="shared" si="0"/>
        <v>100</v>
      </c>
      <c r="T9" s="664" t="s">
        <v>14</v>
      </c>
      <c r="U9" s="665">
        <f t="shared" si="1"/>
        <v>100</v>
      </c>
      <c r="V9" s="664" t="s">
        <v>14</v>
      </c>
      <c r="W9" s="665">
        <f t="shared" si="2"/>
        <v>100</v>
      </c>
      <c r="X9" s="666"/>
      <c r="Y9" s="3263"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59"/>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59"/>
      <c r="Q11" s="530" t="str">
        <f t="shared" si="6"/>
        <v>容积率</v>
      </c>
      <c r="R11" s="664" t="s">
        <v>14</v>
      </c>
      <c r="S11" s="665" t="e">
        <f t="shared" si="0"/>
        <v>#N/A</v>
      </c>
      <c r="T11" s="664" t="s">
        <v>14</v>
      </c>
      <c r="U11" s="665" t="e">
        <f t="shared" si="1"/>
        <v>#N/A</v>
      </c>
      <c r="V11" s="664" t="s">
        <v>14</v>
      </c>
      <c r="W11" s="665" t="e">
        <f t="shared" si="2"/>
        <v>#N/A</v>
      </c>
      <c r="X11" s="666"/>
      <c r="Y11" s="326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59"/>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59"/>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59"/>
      <c r="Q14" s="530">
        <f t="shared" si="6"/>
        <v>111</v>
      </c>
      <c r="R14" s="664" t="s">
        <v>14</v>
      </c>
      <c r="S14" s="665">
        <f t="shared" si="0"/>
        <v>100</v>
      </c>
      <c r="T14" s="664" t="s">
        <v>14</v>
      </c>
      <c r="U14" s="665">
        <f t="shared" si="1"/>
        <v>100</v>
      </c>
      <c r="V14" s="664" t="s">
        <v>14</v>
      </c>
      <c r="W14" s="665">
        <f t="shared" si="2"/>
        <v>100</v>
      </c>
      <c r="X14" s="666"/>
      <c r="Y14" s="3263"/>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365" t="s">
        <v>1691</v>
      </c>
      <c r="Q15" s="1263" t="str">
        <f t="shared" si="6"/>
        <v>商业繁华度</v>
      </c>
      <c r="R15" s="667" t="s">
        <v>14</v>
      </c>
      <c r="S15" s="668">
        <f t="shared" si="0"/>
        <v>100</v>
      </c>
      <c r="T15" s="667" t="s">
        <v>14</v>
      </c>
      <c r="U15" s="668">
        <f t="shared" si="1"/>
        <v>100</v>
      </c>
      <c r="V15" s="667" t="s">
        <v>14</v>
      </c>
      <c r="W15" s="668">
        <f t="shared" si="2"/>
        <v>100</v>
      </c>
      <c r="X15" s="1265"/>
      <c r="Y15" s="3367"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366"/>
      <c r="Q16" s="1263"/>
      <c r="R16" s="667"/>
      <c r="S16" s="668"/>
      <c r="T16" s="667"/>
      <c r="U16" s="668"/>
      <c r="V16" s="667"/>
      <c r="W16" s="668"/>
      <c r="X16" s="1265"/>
      <c r="Y16" s="3368"/>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366"/>
      <c r="Q17" s="1263" t="str">
        <f>B17</f>
        <v>交通便捷度</v>
      </c>
      <c r="R17" s="667" t="s">
        <v>14</v>
      </c>
      <c r="S17" s="668">
        <f>F17</f>
        <v>100</v>
      </c>
      <c r="T17" s="667" t="s">
        <v>14</v>
      </c>
      <c r="U17" s="668">
        <f>H17</f>
        <v>100</v>
      </c>
      <c r="V17" s="667" t="s">
        <v>14</v>
      </c>
      <c r="W17" s="668">
        <f>J17</f>
        <v>100</v>
      </c>
      <c r="X17" s="1265"/>
      <c r="Y17" s="336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366"/>
      <c r="Q18" s="1263"/>
      <c r="R18" s="667"/>
      <c r="S18" s="668"/>
      <c r="T18" s="667"/>
      <c r="U18" s="668"/>
      <c r="V18" s="667"/>
      <c r="W18" s="668"/>
      <c r="X18" s="1265"/>
      <c r="Y18" s="3368"/>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366"/>
      <c r="Q19" s="1263" t="str">
        <f>B19</f>
        <v>公共配套设施</v>
      </c>
      <c r="R19" s="667" t="s">
        <v>14</v>
      </c>
      <c r="S19" s="668">
        <f>F19</f>
        <v>100</v>
      </c>
      <c r="T19" s="667" t="s">
        <v>14</v>
      </c>
      <c r="U19" s="668">
        <f>H19</f>
        <v>100</v>
      </c>
      <c r="V19" s="667" t="s">
        <v>14</v>
      </c>
      <c r="W19" s="668">
        <f>J19</f>
        <v>100</v>
      </c>
      <c r="X19" s="1265"/>
      <c r="Y19" s="336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366"/>
      <c r="Q20" s="1263"/>
      <c r="R20" s="667"/>
      <c r="S20" s="668"/>
      <c r="T20" s="667"/>
      <c r="U20" s="668"/>
      <c r="V20" s="667"/>
      <c r="W20" s="668"/>
      <c r="X20" s="1265"/>
      <c r="Y20" s="3368"/>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366"/>
      <c r="Q21" s="1263" t="str">
        <f>B21</f>
        <v>基础设施水平</v>
      </c>
      <c r="R21" s="667" t="s">
        <v>14</v>
      </c>
      <c r="S21" s="668">
        <f>F21</f>
        <v>100</v>
      </c>
      <c r="T21" s="667" t="s">
        <v>14</v>
      </c>
      <c r="U21" s="668">
        <f>H21</f>
        <v>100</v>
      </c>
      <c r="V21" s="667" t="s">
        <v>14</v>
      </c>
      <c r="W21" s="668">
        <f>J21</f>
        <v>100</v>
      </c>
      <c r="X21" s="1265"/>
      <c r="Y21" s="336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366"/>
      <c r="Q22" s="1263"/>
      <c r="R22" s="667"/>
      <c r="S22" s="668"/>
      <c r="T22" s="667"/>
      <c r="U22" s="668"/>
      <c r="V22" s="667"/>
      <c r="W22" s="668"/>
      <c r="X22" s="1265"/>
      <c r="Y22" s="3368"/>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366"/>
      <c r="Q23" s="1263" t="str">
        <f>B23</f>
        <v>自然及人文环境</v>
      </c>
      <c r="R23" s="667" t="s">
        <v>14</v>
      </c>
      <c r="S23" s="668">
        <f>F23</f>
        <v>100</v>
      </c>
      <c r="T23" s="667" t="s">
        <v>14</v>
      </c>
      <c r="U23" s="668">
        <f>H23</f>
        <v>100</v>
      </c>
      <c r="V23" s="667" t="s">
        <v>14</v>
      </c>
      <c r="W23" s="668">
        <f>J23</f>
        <v>100</v>
      </c>
      <c r="X23" s="1265"/>
      <c r="Y23" s="3368"/>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366"/>
      <c r="Q24" s="1263"/>
      <c r="R24" s="667"/>
      <c r="S24" s="668"/>
      <c r="T24" s="667"/>
      <c r="U24" s="668"/>
      <c r="V24" s="667"/>
      <c r="W24" s="668"/>
      <c r="X24" s="1265"/>
      <c r="Y24" s="3368"/>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366"/>
      <c r="Q25" s="1263" t="str">
        <f t="shared" ref="Q25:Q46" si="11">B25</f>
        <v>临街状况</v>
      </c>
      <c r="R25" s="667" t="s">
        <v>14</v>
      </c>
      <c r="S25" s="668">
        <f>F25</f>
        <v>100</v>
      </c>
      <c r="T25" s="667" t="s">
        <v>14</v>
      </c>
      <c r="U25" s="668">
        <f>H25</f>
        <v>100</v>
      </c>
      <c r="V25" s="667" t="s">
        <v>14</v>
      </c>
      <c r="W25" s="668">
        <f>J25</f>
        <v>100</v>
      </c>
      <c r="X25" s="1265"/>
      <c r="Y25" s="3368"/>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366"/>
      <c r="Q26" s="1263" t="str">
        <f t="shared" si="11"/>
        <v>平面位置/可视性</v>
      </c>
      <c r="R26" s="667" t="s">
        <v>14</v>
      </c>
      <c r="S26" s="668">
        <f>F26</f>
        <v>100</v>
      </c>
      <c r="T26" s="667" t="s">
        <v>14</v>
      </c>
      <c r="U26" s="668">
        <f>H26</f>
        <v>100</v>
      </c>
      <c r="V26" s="667" t="s">
        <v>14</v>
      </c>
      <c r="W26" s="668">
        <f>J26</f>
        <v>100</v>
      </c>
      <c r="X26" s="1265"/>
      <c r="Y26" s="3368"/>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366"/>
      <c r="Q27" s="530" t="str">
        <f t="shared" si="11"/>
        <v>人流量</v>
      </c>
      <c r="R27" s="664" t="s">
        <v>14</v>
      </c>
      <c r="S27" s="665">
        <f>F27</f>
        <v>100</v>
      </c>
      <c r="T27" s="664" t="s">
        <v>14</v>
      </c>
      <c r="U27" s="665">
        <f>H27</f>
        <v>100</v>
      </c>
      <c r="V27" s="664" t="s">
        <v>14</v>
      </c>
      <c r="W27" s="665">
        <f>J27</f>
        <v>100</v>
      </c>
      <c r="X27" s="666"/>
      <c r="Y27" s="3368"/>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36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68"/>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366"/>
      <c r="Q29" s="1263">
        <f t="shared" si="11"/>
        <v>111</v>
      </c>
      <c r="R29" s="667" t="s">
        <v>14</v>
      </c>
      <c r="S29" s="668">
        <f t="shared" si="12"/>
        <v>100</v>
      </c>
      <c r="T29" s="667" t="s">
        <v>14</v>
      </c>
      <c r="U29" s="668">
        <f t="shared" si="13"/>
        <v>100</v>
      </c>
      <c r="V29" s="667" t="s">
        <v>14</v>
      </c>
      <c r="W29" s="668">
        <f t="shared" si="14"/>
        <v>100</v>
      </c>
      <c r="X29" s="1265"/>
      <c r="Y29" s="3368"/>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66"/>
      <c r="Q30" s="1263">
        <f t="shared" si="11"/>
        <v>111</v>
      </c>
      <c r="R30" s="667" t="s">
        <v>14</v>
      </c>
      <c r="S30" s="668">
        <f t="shared" si="12"/>
        <v>100</v>
      </c>
      <c r="T30" s="667" t="s">
        <v>14</v>
      </c>
      <c r="U30" s="668">
        <f t="shared" si="13"/>
        <v>100</v>
      </c>
      <c r="V30" s="667" t="s">
        <v>14</v>
      </c>
      <c r="W30" s="668">
        <f t="shared" si="14"/>
        <v>100</v>
      </c>
      <c r="X30" s="1265"/>
      <c r="Y30" s="3368"/>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366"/>
      <c r="Q31" s="1263">
        <f t="shared" si="11"/>
        <v>111</v>
      </c>
      <c r="R31" s="667" t="s">
        <v>14</v>
      </c>
      <c r="S31" s="668">
        <f t="shared" si="12"/>
        <v>100</v>
      </c>
      <c r="T31" s="667" t="s">
        <v>14</v>
      </c>
      <c r="U31" s="668">
        <f t="shared" si="13"/>
        <v>100</v>
      </c>
      <c r="V31" s="667" t="s">
        <v>14</v>
      </c>
      <c r="W31" s="668">
        <f t="shared" si="14"/>
        <v>100</v>
      </c>
      <c r="X31" s="1265"/>
      <c r="Y31" s="3368"/>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369" t="s">
        <v>1696</v>
      </c>
      <c r="Q32" s="1263" t="str">
        <f t="shared" si="11"/>
        <v>商业类型</v>
      </c>
      <c r="R32" s="667" t="s">
        <v>14</v>
      </c>
      <c r="S32" s="668">
        <f t="shared" si="12"/>
        <v>100</v>
      </c>
      <c r="T32" s="667" t="s">
        <v>14</v>
      </c>
      <c r="U32" s="668">
        <f t="shared" si="13"/>
        <v>100</v>
      </c>
      <c r="V32" s="667" t="s">
        <v>14</v>
      </c>
      <c r="W32" s="668">
        <f t="shared" si="14"/>
        <v>100</v>
      </c>
      <c r="X32" s="1265"/>
      <c r="Y32" s="3372"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370"/>
      <c r="Q33" s="531" t="str">
        <f t="shared" si="11"/>
        <v>项目建筑规模</v>
      </c>
      <c r="R33" s="669" t="s">
        <v>14</v>
      </c>
      <c r="S33" s="670" t="e">
        <f t="shared" si="12"/>
        <v>#N/A</v>
      </c>
      <c r="T33" s="669" t="s">
        <v>14</v>
      </c>
      <c r="U33" s="670" t="e">
        <f t="shared" si="13"/>
        <v>#N/A</v>
      </c>
      <c r="V33" s="669" t="s">
        <v>14</v>
      </c>
      <c r="W33" s="670" t="e">
        <f t="shared" si="14"/>
        <v>#N/A</v>
      </c>
      <c r="X33" s="671"/>
      <c r="Y33" s="3372"/>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370"/>
      <c r="Q34" s="1263" t="str">
        <f t="shared" si="11"/>
        <v>建筑结构</v>
      </c>
      <c r="R34" s="667" t="s">
        <v>14</v>
      </c>
      <c r="S34" s="668">
        <f t="shared" si="12"/>
        <v>100</v>
      </c>
      <c r="T34" s="667" t="s">
        <v>14</v>
      </c>
      <c r="U34" s="668">
        <f t="shared" si="13"/>
        <v>100</v>
      </c>
      <c r="V34" s="667" t="s">
        <v>14</v>
      </c>
      <c r="W34" s="668">
        <f t="shared" si="14"/>
        <v>100</v>
      </c>
      <c r="X34" s="1265"/>
      <c r="Y34" s="3372"/>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370"/>
      <c r="Q35" s="1263" t="str">
        <f t="shared" si="11"/>
        <v>公共部分装修</v>
      </c>
      <c r="R35" s="667" t="s">
        <v>14</v>
      </c>
      <c r="S35" s="668">
        <f t="shared" si="12"/>
        <v>100</v>
      </c>
      <c r="T35" s="667" t="s">
        <v>14</v>
      </c>
      <c r="U35" s="668">
        <f t="shared" si="13"/>
        <v>100</v>
      </c>
      <c r="V35" s="667" t="s">
        <v>14</v>
      </c>
      <c r="W35" s="668">
        <f t="shared" si="14"/>
        <v>100</v>
      </c>
      <c r="X35" s="1265"/>
      <c r="Y35" s="3372"/>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370"/>
      <c r="Q36" s="1263" t="str">
        <f t="shared" si="11"/>
        <v>成新度</v>
      </c>
      <c r="R36" s="667" t="s">
        <v>14</v>
      </c>
      <c r="S36" s="668" t="e">
        <f t="shared" si="12"/>
        <v>#N/A</v>
      </c>
      <c r="T36" s="667" t="s">
        <v>14</v>
      </c>
      <c r="U36" s="668" t="e">
        <f t="shared" si="13"/>
        <v>#N/A</v>
      </c>
      <c r="V36" s="667" t="s">
        <v>14</v>
      </c>
      <c r="W36" s="668" t="e">
        <f t="shared" si="14"/>
        <v>#N/A</v>
      </c>
      <c r="X36" s="1265"/>
      <c r="Y36" s="3372"/>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370"/>
      <c r="Q37" s="530" t="str">
        <f t="shared" si="11"/>
        <v>市政基础设施</v>
      </c>
      <c r="R37" s="664" t="s">
        <v>14</v>
      </c>
      <c r="S37" s="665">
        <f t="shared" si="12"/>
        <v>100</v>
      </c>
      <c r="T37" s="664" t="s">
        <v>14</v>
      </c>
      <c r="U37" s="665">
        <f t="shared" si="13"/>
        <v>100</v>
      </c>
      <c r="V37" s="664" t="s">
        <v>14</v>
      </c>
      <c r="W37" s="665">
        <f t="shared" si="14"/>
        <v>100</v>
      </c>
      <c r="X37" s="666"/>
      <c r="Y37" s="3372"/>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370" t="s">
        <v>1696</v>
      </c>
      <c r="Q38" s="1263" t="str">
        <f t="shared" si="11"/>
        <v>业态</v>
      </c>
      <c r="R38" s="667" t="s">
        <v>14</v>
      </c>
      <c r="S38" s="668">
        <f t="shared" si="12"/>
        <v>100</v>
      </c>
      <c r="T38" s="667" t="s">
        <v>14</v>
      </c>
      <c r="U38" s="668">
        <f t="shared" si="13"/>
        <v>100</v>
      </c>
      <c r="V38" s="667" t="s">
        <v>14</v>
      </c>
      <c r="W38" s="668">
        <f t="shared" si="14"/>
        <v>100</v>
      </c>
      <c r="X38" s="1265"/>
      <c r="Y38" s="3372"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370"/>
      <c r="Q39" s="1263" t="str">
        <f t="shared" si="11"/>
        <v>层高</v>
      </c>
      <c r="R39" s="667" t="s">
        <v>14</v>
      </c>
      <c r="S39" s="668">
        <f t="shared" si="12"/>
        <v>100</v>
      </c>
      <c r="T39" s="667" t="s">
        <v>14</v>
      </c>
      <c r="U39" s="668">
        <f t="shared" si="13"/>
        <v>100</v>
      </c>
      <c r="V39" s="667" t="s">
        <v>14</v>
      </c>
      <c r="W39" s="668">
        <f t="shared" si="14"/>
        <v>100</v>
      </c>
      <c r="X39" s="1265"/>
      <c r="Y39" s="3372"/>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70"/>
      <c r="Q40" s="1263" t="str">
        <f t="shared" si="11"/>
        <v>单套建筑面积</v>
      </c>
      <c r="R40" s="667" t="s">
        <v>14</v>
      </c>
      <c r="S40" s="668">
        <f t="shared" si="12"/>
        <v>100</v>
      </c>
      <c r="T40" s="667" t="s">
        <v>14</v>
      </c>
      <c r="U40" s="668">
        <f t="shared" si="13"/>
        <v>100</v>
      </c>
      <c r="V40" s="667" t="s">
        <v>14</v>
      </c>
      <c r="W40" s="668">
        <f t="shared" si="14"/>
        <v>100</v>
      </c>
      <c r="X40" s="1265"/>
      <c r="Y40" s="3372"/>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370"/>
      <c r="Q41" s="531" t="str">
        <f t="shared" si="11"/>
        <v>进深比</v>
      </c>
      <c r="R41" s="669" t="s">
        <v>14</v>
      </c>
      <c r="S41" s="670">
        <f t="shared" si="12"/>
        <v>100</v>
      </c>
      <c r="T41" s="669" t="s">
        <v>14</v>
      </c>
      <c r="U41" s="670">
        <f t="shared" si="13"/>
        <v>100</v>
      </c>
      <c r="V41" s="669" t="s">
        <v>14</v>
      </c>
      <c r="W41" s="670">
        <f t="shared" si="14"/>
        <v>100</v>
      </c>
      <c r="X41" s="671"/>
      <c r="Y41" s="3372"/>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370"/>
      <c r="Q42" s="1263" t="str">
        <f t="shared" si="11"/>
        <v>内部装修</v>
      </c>
      <c r="R42" s="667" t="s">
        <v>14</v>
      </c>
      <c r="S42" s="668">
        <f t="shared" si="12"/>
        <v>100</v>
      </c>
      <c r="T42" s="667" t="s">
        <v>14</v>
      </c>
      <c r="U42" s="668">
        <f t="shared" si="13"/>
        <v>100</v>
      </c>
      <c r="V42" s="667" t="s">
        <v>14</v>
      </c>
      <c r="W42" s="668">
        <f t="shared" si="14"/>
        <v>100</v>
      </c>
      <c r="X42" s="1265"/>
      <c r="Y42" s="3372"/>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370"/>
      <c r="Q43" s="1263" t="str">
        <f t="shared" si="11"/>
        <v>内部装修维护情况</v>
      </c>
      <c r="R43" s="667" t="s">
        <v>14</v>
      </c>
      <c r="S43" s="668">
        <f t="shared" si="12"/>
        <v>100</v>
      </c>
      <c r="T43" s="667" t="s">
        <v>14</v>
      </c>
      <c r="U43" s="668">
        <f t="shared" si="13"/>
        <v>100</v>
      </c>
      <c r="V43" s="667" t="s">
        <v>14</v>
      </c>
      <c r="W43" s="668">
        <f t="shared" si="14"/>
        <v>100</v>
      </c>
      <c r="X43" s="1265"/>
      <c r="Y43" s="3372"/>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370"/>
      <c r="Q44" s="530">
        <f t="shared" si="11"/>
        <v>111</v>
      </c>
      <c r="R44" s="664" t="s">
        <v>14</v>
      </c>
      <c r="S44" s="665">
        <f t="shared" si="12"/>
        <v>100</v>
      </c>
      <c r="T44" s="664" t="s">
        <v>14</v>
      </c>
      <c r="U44" s="665">
        <f t="shared" si="13"/>
        <v>100</v>
      </c>
      <c r="V44" s="664" t="s">
        <v>14</v>
      </c>
      <c r="W44" s="665">
        <f t="shared" si="14"/>
        <v>100</v>
      </c>
      <c r="X44" s="666"/>
      <c r="Y44" s="3372"/>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70"/>
      <c r="Q45" s="1263">
        <f t="shared" si="11"/>
        <v>111</v>
      </c>
      <c r="R45" s="667" t="s">
        <v>14</v>
      </c>
      <c r="S45" s="668">
        <f t="shared" si="12"/>
        <v>100</v>
      </c>
      <c r="T45" s="667" t="s">
        <v>14</v>
      </c>
      <c r="U45" s="668">
        <f t="shared" si="13"/>
        <v>100</v>
      </c>
      <c r="V45" s="667" t="s">
        <v>14</v>
      </c>
      <c r="W45" s="668">
        <f t="shared" si="14"/>
        <v>100</v>
      </c>
      <c r="X45" s="1265"/>
      <c r="Y45" s="3372"/>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371"/>
      <c r="Q46" s="1263">
        <f t="shared" si="11"/>
        <v>111</v>
      </c>
      <c r="R46" s="667" t="s">
        <v>14</v>
      </c>
      <c r="S46" s="668">
        <f t="shared" si="12"/>
        <v>100</v>
      </c>
      <c r="T46" s="667" t="s">
        <v>14</v>
      </c>
      <c r="U46" s="668">
        <f t="shared" si="13"/>
        <v>100</v>
      </c>
      <c r="V46" s="667" t="s">
        <v>14</v>
      </c>
      <c r="W46" s="668">
        <f t="shared" si="14"/>
        <v>100</v>
      </c>
      <c r="X46" s="1265"/>
      <c r="Y46" s="3373"/>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2"/>
      <c r="M47" s="2485"/>
      <c r="N47" s="2485"/>
      <c r="O47" s="2485"/>
      <c r="P47" s="3360" t="str">
        <f>A47</f>
        <v>成交单价（元/平方米）</v>
      </c>
      <c r="Q47" s="3360"/>
      <c r="R47" s="3361">
        <f>E47</f>
        <v>0</v>
      </c>
      <c r="S47" s="3361"/>
      <c r="T47" s="3361">
        <f>G47</f>
        <v>0</v>
      </c>
      <c r="U47" s="3361"/>
      <c r="V47" s="3361">
        <f>I47</f>
        <v>0</v>
      </c>
      <c r="W47" s="3361"/>
      <c r="X47" s="385"/>
      <c r="Y47" s="673"/>
      <c r="Z47" s="385"/>
      <c r="AA47" s="385"/>
      <c r="AB47" s="385"/>
      <c r="AC47" s="385"/>
    </row>
    <row r="48" spans="1:29" ht="15" thickBot="1">
      <c r="A48" s="423" t="s">
        <v>1793</v>
      </c>
      <c r="B48" s="424"/>
      <c r="C48" s="1082" t="e">
        <f>R49</f>
        <v>#DIV/0!</v>
      </c>
      <c r="D48" s="2140" t="s">
        <v>2138</v>
      </c>
      <c r="E48" s="1083" t="e">
        <f>R48</f>
        <v>#DIV/0!</v>
      </c>
      <c r="F48" s="2141"/>
      <c r="G48" s="1082" t="e">
        <f>T48</f>
        <v>#DIV/0!</v>
      </c>
      <c r="H48" s="2141"/>
      <c r="I48" s="1083" t="e">
        <f>V48</f>
        <v>#DIV/0!</v>
      </c>
      <c r="J48" s="2141"/>
      <c r="K48" s="2143">
        <f>F48+H48+J48</f>
        <v>0</v>
      </c>
      <c r="L48" s="2492"/>
      <c r="M48" s="2485"/>
      <c r="N48" s="2485"/>
      <c r="O48" s="2485"/>
      <c r="P48" s="3360" t="str">
        <f>A48</f>
        <v>比较价值（元/平方米）</v>
      </c>
      <c r="Q48" s="3360"/>
      <c r="R48" s="3361" t="e">
        <f>IF(F1="售价",ROUND(PRODUCT(R47,AA7:AA46),0),ROUND(PRODUCT(R47,AA7:AA46),1))</f>
        <v>#DIV/0!</v>
      </c>
      <c r="S48" s="3361"/>
      <c r="T48" s="3361" t="e">
        <f>IF(F1="售价",ROUND(PRODUCT(T47,AB7:AB46),0),ROUND(PRODUCT(T47,AB7:AB46),1))</f>
        <v>#DIV/0!</v>
      </c>
      <c r="U48" s="3361"/>
      <c r="V48" s="3361" t="e">
        <f>IF(F1="售价",ROUND(PRODUCT(V47,AC7:AC46),0),ROUND(PRODUCT(V47,AC7:AC46),1))</f>
        <v>#DIV/0!</v>
      </c>
      <c r="W48" s="3361"/>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433" t="str">
        <f>A49</f>
        <v>估价对象XX用房的比较价值（楼面单价，元/平方米）</v>
      </c>
      <c r="Q49" s="3434"/>
      <c r="R49" s="3435" t="e">
        <f>IF(F1="售价",ROUND(IF(D48="简单平均",AVERAGE(R48:V48),R48*F48+T48*H48+V48*J48),0),ROUND(IF(D48="简单平均",AVERAGE(R48:V48),R48*F48+T48*H48+V48*J48),1))</f>
        <v>#DIV/0!</v>
      </c>
      <c r="S49" s="3435"/>
      <c r="T49" s="3435"/>
      <c r="U49" s="3435"/>
      <c r="V49" s="3435"/>
      <c r="W49" s="3435"/>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2025-6</v>
      </c>
      <c r="D58" s="1104">
        <f>EDATE(C58,-1)</f>
        <v>45778</v>
      </c>
      <c r="E58" s="1104">
        <f t="shared" ref="E58:N58" si="16">EDATE(D58,-1)</f>
        <v>45748</v>
      </c>
      <c r="F58" s="1104">
        <f t="shared" si="16"/>
        <v>45717</v>
      </c>
      <c r="G58" s="1104">
        <f t="shared" si="16"/>
        <v>45689</v>
      </c>
      <c r="H58" s="1104">
        <f t="shared" si="16"/>
        <v>45658</v>
      </c>
      <c r="I58" s="1104">
        <f t="shared" si="16"/>
        <v>45627</v>
      </c>
      <c r="J58" s="1104">
        <f t="shared" si="16"/>
        <v>45597</v>
      </c>
      <c r="K58" s="1104">
        <f t="shared" si="16"/>
        <v>45566</v>
      </c>
      <c r="L58" s="1104">
        <f t="shared" si="16"/>
        <v>45536</v>
      </c>
      <c r="M58" s="1104">
        <f t="shared" si="16"/>
        <v>45505</v>
      </c>
      <c r="N58" s="1104">
        <f t="shared" si="16"/>
        <v>45474</v>
      </c>
      <c r="O58" s="1104">
        <f>EDATE(N58,-1)</f>
        <v>45444</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66.63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77" t="s">
        <v>1770</v>
      </c>
      <c r="D4" s="3378"/>
      <c r="E4" s="3379" t="s">
        <v>1771</v>
      </c>
      <c r="F4" s="3380"/>
      <c r="G4" s="3377" t="s">
        <v>1772</v>
      </c>
      <c r="H4" s="3378"/>
      <c r="I4" s="3377" t="s">
        <v>1773</v>
      </c>
      <c r="J4" s="3378"/>
      <c r="K4" s="537" t="s">
        <v>1774</v>
      </c>
      <c r="L4" s="860"/>
      <c r="M4" s="861"/>
      <c r="N4" s="861"/>
      <c r="O4" s="861"/>
      <c r="P4" s="3437" t="s">
        <v>1775</v>
      </c>
      <c r="Q4" s="3438"/>
      <c r="R4" s="3441" t="s">
        <v>1771</v>
      </c>
      <c r="S4" s="3442"/>
      <c r="T4" s="3441" t="s">
        <v>1772</v>
      </c>
      <c r="U4" s="3442"/>
      <c r="V4" s="3361" t="s">
        <v>1773</v>
      </c>
      <c r="W4" s="3361"/>
      <c r="X4" s="1265"/>
      <c r="Y4" s="3441" t="s">
        <v>1775</v>
      </c>
      <c r="Z4" s="3442"/>
      <c r="AA4" s="3436" t="s">
        <v>1771</v>
      </c>
      <c r="AB4" s="3405" t="s">
        <v>1772</v>
      </c>
      <c r="AC4" s="3436" t="s">
        <v>1773</v>
      </c>
    </row>
    <row r="5" spans="1:29">
      <c r="A5" s="348"/>
      <c r="B5" s="349"/>
      <c r="C5" s="3443" t="s">
        <v>1673</v>
      </c>
      <c r="D5" s="3397"/>
      <c r="E5" s="3444" t="s">
        <v>1674</v>
      </c>
      <c r="F5" s="3445"/>
      <c r="G5" s="3443" t="s">
        <v>1675</v>
      </c>
      <c r="H5" s="3397"/>
      <c r="I5" s="3443" t="s">
        <v>1676</v>
      </c>
      <c r="J5" s="3397"/>
      <c r="K5" s="537"/>
      <c r="L5" s="860"/>
      <c r="M5" s="861"/>
      <c r="N5" s="861"/>
      <c r="O5" s="861"/>
      <c r="P5" s="3439"/>
      <c r="Q5" s="3384"/>
      <c r="R5" s="3389"/>
      <c r="S5" s="3390"/>
      <c r="T5" s="3389"/>
      <c r="U5" s="3390"/>
      <c r="V5" s="3361"/>
      <c r="W5" s="3361"/>
      <c r="X5" s="1265"/>
      <c r="Y5" s="3389"/>
      <c r="Z5" s="3390"/>
      <c r="AA5" s="3405"/>
      <c r="AB5" s="3405"/>
      <c r="AC5" s="3405"/>
    </row>
    <row r="6" spans="1:29" ht="15" thickBot="1">
      <c r="A6" s="350"/>
      <c r="B6" s="351"/>
      <c r="C6" s="3394" t="s">
        <v>1677</v>
      </c>
      <c r="D6" s="3395"/>
      <c r="E6" s="3402" t="s">
        <v>1677</v>
      </c>
      <c r="F6" s="3403"/>
      <c r="G6" s="3394" t="s">
        <v>1677</v>
      </c>
      <c r="H6" s="3395"/>
      <c r="I6" s="3394" t="s">
        <v>1677</v>
      </c>
      <c r="J6" s="3395"/>
      <c r="K6" s="537" t="s">
        <v>1678</v>
      </c>
      <c r="L6" s="860"/>
      <c r="M6" s="861"/>
      <c r="N6" s="861"/>
      <c r="O6" s="861"/>
      <c r="P6" s="3440"/>
      <c r="Q6" s="3386"/>
      <c r="R6" s="3389"/>
      <c r="S6" s="3390"/>
      <c r="T6" s="3391"/>
      <c r="U6" s="3392"/>
      <c r="V6" s="3361"/>
      <c r="W6" s="3361"/>
      <c r="X6" s="1265"/>
      <c r="Y6" s="3391"/>
      <c r="Z6" s="3392"/>
      <c r="AA6" s="3406"/>
      <c r="AB6" s="3406"/>
      <c r="AC6" s="3406"/>
    </row>
    <row r="7" spans="1:29" s="102" customFormat="1" ht="15" thickBot="1">
      <c r="A7" s="352" t="s">
        <v>1679</v>
      </c>
      <c r="B7" s="353"/>
      <c r="C7" s="354">
        <f>'数据-取费表'!B2</f>
        <v>45814</v>
      </c>
      <c r="D7" s="355">
        <v>100</v>
      </c>
      <c r="E7" s="356"/>
      <c r="F7" s="357">
        <f>SUMIF(52:52,YEAR(E7)&amp;"-"&amp;MONTH(E7),53:53)</f>
        <v>0</v>
      </c>
      <c r="G7" s="356"/>
      <c r="H7" s="355">
        <f>SUMIF(52:52,YEAR(G7)&amp;"-"&amp;MONTH(G7),53:53)</f>
        <v>0</v>
      </c>
      <c r="I7" s="356"/>
      <c r="J7" s="355">
        <f>SUMIF(52:52,YEAR(I7)&amp;"-"&amp;MONTH(I7),53:53)</f>
        <v>0</v>
      </c>
      <c r="K7" s="38"/>
      <c r="L7" s="862"/>
      <c r="M7" s="863"/>
      <c r="N7" s="863"/>
      <c r="O7" s="863"/>
      <c r="P7" s="3400" t="s">
        <v>1680</v>
      </c>
      <c r="Q7" s="3401"/>
      <c r="R7" s="664" t="s">
        <v>14</v>
      </c>
      <c r="S7" s="665">
        <f t="shared" ref="S7:S15" si="0">F7</f>
        <v>0</v>
      </c>
      <c r="T7" s="664" t="s">
        <v>14</v>
      </c>
      <c r="U7" s="665">
        <f t="shared" ref="U7:U15" si="1">H7</f>
        <v>0</v>
      </c>
      <c r="V7" s="664" t="s">
        <v>14</v>
      </c>
      <c r="W7" s="665">
        <f t="shared" ref="W7:W15" si="2">J7</f>
        <v>0</v>
      </c>
      <c r="X7" s="666"/>
      <c r="Y7" s="3400" t="s">
        <v>1680</v>
      </c>
      <c r="Z7" s="3399"/>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0" t="s">
        <v>1683</v>
      </c>
      <c r="Q8" s="3399"/>
      <c r="R8" s="664" t="s">
        <v>14</v>
      </c>
      <c r="S8" s="665">
        <f t="shared" si="0"/>
        <v>100</v>
      </c>
      <c r="T8" s="664" t="s">
        <v>14</v>
      </c>
      <c r="U8" s="665">
        <f t="shared" si="1"/>
        <v>100</v>
      </c>
      <c r="V8" s="664" t="s">
        <v>14</v>
      </c>
      <c r="W8" s="665">
        <f t="shared" si="2"/>
        <v>100</v>
      </c>
      <c r="X8" s="666"/>
      <c r="Y8" s="3400" t="s">
        <v>1683</v>
      </c>
      <c r="Z8" s="3399"/>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0" t="s">
        <v>1686</v>
      </c>
      <c r="Q9" s="530" t="str">
        <f t="shared" ref="Q9:Q15" si="6">B9</f>
        <v>用途</v>
      </c>
      <c r="R9" s="664" t="s">
        <v>14</v>
      </c>
      <c r="S9" s="665">
        <f t="shared" si="0"/>
        <v>100</v>
      </c>
      <c r="T9" s="664" t="s">
        <v>14</v>
      </c>
      <c r="U9" s="665">
        <f t="shared" si="1"/>
        <v>100</v>
      </c>
      <c r="V9" s="664" t="s">
        <v>14</v>
      </c>
      <c r="W9" s="665">
        <f t="shared" si="2"/>
        <v>100</v>
      </c>
      <c r="X9" s="666"/>
      <c r="Y9" s="3263"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60"/>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0"/>
      <c r="Q11" s="530" t="str">
        <f t="shared" si="6"/>
        <v>容积率</v>
      </c>
      <c r="R11" s="664" t="s">
        <v>14</v>
      </c>
      <c r="S11" s="665">
        <f t="shared" si="0"/>
        <v>100</v>
      </c>
      <c r="T11" s="664" t="s">
        <v>14</v>
      </c>
      <c r="U11" s="665">
        <f t="shared" si="1"/>
        <v>100</v>
      </c>
      <c r="V11" s="664" t="s">
        <v>14</v>
      </c>
      <c r="W11" s="665">
        <f t="shared" si="2"/>
        <v>100</v>
      </c>
      <c r="X11" s="666"/>
      <c r="Y11" s="326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0"/>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0"/>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0"/>
      <c r="Q14" s="530">
        <f t="shared" si="6"/>
        <v>111</v>
      </c>
      <c r="R14" s="664" t="s">
        <v>14</v>
      </c>
      <c r="S14" s="665">
        <f t="shared" si="0"/>
        <v>100</v>
      </c>
      <c r="T14" s="664" t="s">
        <v>14</v>
      </c>
      <c r="U14" s="665">
        <f t="shared" si="1"/>
        <v>100</v>
      </c>
      <c r="V14" s="664" t="s">
        <v>14</v>
      </c>
      <c r="W14" s="665">
        <f t="shared" si="2"/>
        <v>100</v>
      </c>
      <c r="X14" s="666"/>
      <c r="Y14" s="3263"/>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67" t="s">
        <v>1691</v>
      </c>
      <c r="Q15" s="1263" t="str">
        <f t="shared" si="6"/>
        <v>产业集聚程度</v>
      </c>
      <c r="R15" s="667" t="s">
        <v>14</v>
      </c>
      <c r="S15" s="668">
        <f t="shared" si="0"/>
        <v>100</v>
      </c>
      <c r="T15" s="667" t="s">
        <v>14</v>
      </c>
      <c r="U15" s="668">
        <f t="shared" si="1"/>
        <v>100</v>
      </c>
      <c r="V15" s="667" t="s">
        <v>14</v>
      </c>
      <c r="W15" s="668">
        <f t="shared" si="2"/>
        <v>100</v>
      </c>
      <c r="X15" s="1265"/>
      <c r="Y15" s="336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68"/>
      <c r="Q16" s="1263"/>
      <c r="R16" s="667"/>
      <c r="S16" s="668"/>
      <c r="T16" s="667"/>
      <c r="U16" s="668"/>
      <c r="V16" s="667"/>
      <c r="W16" s="668"/>
      <c r="X16" s="1265"/>
      <c r="Y16" s="3368"/>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68"/>
      <c r="Q17" s="1263" t="str">
        <f>B17</f>
        <v>交通便捷度</v>
      </c>
      <c r="R17" s="667" t="s">
        <v>14</v>
      </c>
      <c r="S17" s="668">
        <f>F17</f>
        <v>100</v>
      </c>
      <c r="T17" s="667" t="s">
        <v>14</v>
      </c>
      <c r="U17" s="668">
        <f>H17</f>
        <v>100</v>
      </c>
      <c r="V17" s="667" t="s">
        <v>14</v>
      </c>
      <c r="W17" s="668">
        <f>J17</f>
        <v>100</v>
      </c>
      <c r="X17" s="1265"/>
      <c r="Y17" s="3368"/>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68"/>
      <c r="Q18" s="1263"/>
      <c r="R18" s="667"/>
      <c r="S18" s="668"/>
      <c r="T18" s="667"/>
      <c r="U18" s="668"/>
      <c r="V18" s="667"/>
      <c r="W18" s="668"/>
      <c r="X18" s="1265"/>
      <c r="Y18" s="3368"/>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68"/>
      <c r="Q19" s="1263" t="str">
        <f>B19</f>
        <v>公共配套设施</v>
      </c>
      <c r="R19" s="667" t="s">
        <v>14</v>
      </c>
      <c r="S19" s="668">
        <f>F19</f>
        <v>100</v>
      </c>
      <c r="T19" s="667" t="s">
        <v>14</v>
      </c>
      <c r="U19" s="668">
        <f>H19</f>
        <v>100</v>
      </c>
      <c r="V19" s="667" t="s">
        <v>14</v>
      </c>
      <c r="W19" s="668">
        <f>J19</f>
        <v>100</v>
      </c>
      <c r="X19" s="1265"/>
      <c r="Y19" s="3368"/>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68"/>
      <c r="Q20" s="1263"/>
      <c r="R20" s="667"/>
      <c r="S20" s="668"/>
      <c r="T20" s="667"/>
      <c r="U20" s="668"/>
      <c r="V20" s="667"/>
      <c r="W20" s="668"/>
      <c r="X20" s="1265"/>
      <c r="Y20" s="3368"/>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68"/>
      <c r="Q21" s="1263" t="str">
        <f>B21</f>
        <v>基础设施水平</v>
      </c>
      <c r="R21" s="667" t="s">
        <v>14</v>
      </c>
      <c r="S21" s="668">
        <f>F21</f>
        <v>100</v>
      </c>
      <c r="T21" s="667" t="s">
        <v>14</v>
      </c>
      <c r="U21" s="668">
        <f>H21</f>
        <v>100</v>
      </c>
      <c r="V21" s="667" t="s">
        <v>14</v>
      </c>
      <c r="W21" s="668">
        <f>J21</f>
        <v>100</v>
      </c>
      <c r="X21" s="1265"/>
      <c r="Y21" s="3368"/>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68"/>
      <c r="Q22" s="1263"/>
      <c r="R22" s="667"/>
      <c r="S22" s="668"/>
      <c r="T22" s="667"/>
      <c r="U22" s="668"/>
      <c r="V22" s="667"/>
      <c r="W22" s="668"/>
      <c r="X22" s="1265"/>
      <c r="Y22" s="3368"/>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68"/>
      <c r="Q23" s="1263" t="str">
        <f>B23</f>
        <v>环境质量</v>
      </c>
      <c r="R23" s="667" t="s">
        <v>14</v>
      </c>
      <c r="S23" s="668">
        <f>F23</f>
        <v>100</v>
      </c>
      <c r="T23" s="667" t="s">
        <v>14</v>
      </c>
      <c r="U23" s="668">
        <f>H23</f>
        <v>100</v>
      </c>
      <c r="V23" s="667" t="s">
        <v>14</v>
      </c>
      <c r="W23" s="668">
        <f>J23</f>
        <v>100</v>
      </c>
      <c r="X23" s="1265"/>
      <c r="Y23" s="3368"/>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68"/>
      <c r="Q24" s="1263"/>
      <c r="R24" s="667"/>
      <c r="S24" s="668"/>
      <c r="T24" s="667"/>
      <c r="U24" s="668"/>
      <c r="V24" s="667"/>
      <c r="W24" s="668"/>
      <c r="X24" s="1265"/>
      <c r="Y24" s="336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68"/>
      <c r="Q25" s="1263">
        <f>B25</f>
        <v>111</v>
      </c>
      <c r="R25" s="667" t="s">
        <v>14</v>
      </c>
      <c r="S25" s="668">
        <f>F25</f>
        <v>100</v>
      </c>
      <c r="T25" s="667" t="s">
        <v>14</v>
      </c>
      <c r="U25" s="668">
        <f>H25</f>
        <v>100</v>
      </c>
      <c r="V25" s="667" t="s">
        <v>14</v>
      </c>
      <c r="W25" s="668">
        <f>J25</f>
        <v>100</v>
      </c>
      <c r="X25" s="1265"/>
      <c r="Y25" s="336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68"/>
      <c r="Q26" s="1263">
        <f t="shared" ref="Q26:Q40" si="11">B26</f>
        <v>111</v>
      </c>
      <c r="R26" s="667" t="s">
        <v>14</v>
      </c>
      <c r="S26" s="668">
        <f>F26</f>
        <v>100</v>
      </c>
      <c r="T26" s="667" t="s">
        <v>14</v>
      </c>
      <c r="U26" s="668">
        <f>H26</f>
        <v>100</v>
      </c>
      <c r="V26" s="667" t="s">
        <v>14</v>
      </c>
      <c r="W26" s="668">
        <f>J26</f>
        <v>100</v>
      </c>
      <c r="X26" s="1265"/>
      <c r="Y26" s="336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68"/>
      <c r="Q27" s="530">
        <f t="shared" si="11"/>
        <v>111</v>
      </c>
      <c r="R27" s="664" t="s">
        <v>14</v>
      </c>
      <c r="S27" s="665">
        <f>F27</f>
        <v>100</v>
      </c>
      <c r="T27" s="664" t="s">
        <v>14</v>
      </c>
      <c r="U27" s="665">
        <f>H27</f>
        <v>100</v>
      </c>
      <c r="V27" s="664" t="s">
        <v>14</v>
      </c>
      <c r="W27" s="665">
        <f>J27</f>
        <v>100</v>
      </c>
      <c r="X27" s="666"/>
      <c r="Y27" s="3368"/>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68"/>
      <c r="Q28" s="1263">
        <f t="shared" si="11"/>
        <v>111</v>
      </c>
      <c r="R28" s="667" t="s">
        <v>14</v>
      </c>
      <c r="S28" s="668">
        <f t="shared" ref="S28:S40" si="12">F28</f>
        <v>100</v>
      </c>
      <c r="T28" s="667" t="s">
        <v>14</v>
      </c>
      <c r="U28" s="668">
        <f t="shared" ref="U28:U40" si="13">H28</f>
        <v>100</v>
      </c>
      <c r="V28" s="667" t="s">
        <v>14</v>
      </c>
      <c r="W28" s="668">
        <f t="shared" ref="W28:W40" si="14">J28</f>
        <v>100</v>
      </c>
      <c r="X28" s="1265"/>
      <c r="Y28" s="3368"/>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46" t="s">
        <v>1696</v>
      </c>
      <c r="Q29" s="1263" t="str">
        <f t="shared" si="11"/>
        <v>建筑类型</v>
      </c>
      <c r="R29" s="667" t="s">
        <v>14</v>
      </c>
      <c r="S29" s="668">
        <f t="shared" si="12"/>
        <v>100</v>
      </c>
      <c r="T29" s="667" t="s">
        <v>14</v>
      </c>
      <c r="U29" s="668">
        <f t="shared" si="13"/>
        <v>100</v>
      </c>
      <c r="V29" s="667" t="s">
        <v>14</v>
      </c>
      <c r="W29" s="668">
        <f t="shared" si="14"/>
        <v>100</v>
      </c>
      <c r="X29" s="1265"/>
      <c r="Y29" s="337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2"/>
      <c r="Q30" s="531" t="str">
        <f t="shared" si="11"/>
        <v>项目建筑规模</v>
      </c>
      <c r="R30" s="669" t="s">
        <v>14</v>
      </c>
      <c r="S30" s="670" t="e">
        <f t="shared" si="12"/>
        <v>#N/A</v>
      </c>
      <c r="T30" s="669" t="s">
        <v>14</v>
      </c>
      <c r="U30" s="670" t="e">
        <f t="shared" si="13"/>
        <v>#N/A</v>
      </c>
      <c r="V30" s="669" t="s">
        <v>14</v>
      </c>
      <c r="W30" s="670" t="e">
        <f t="shared" si="14"/>
        <v>#N/A</v>
      </c>
      <c r="X30" s="671"/>
      <c r="Y30" s="337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2"/>
      <c r="Q31" s="1263" t="str">
        <f t="shared" si="11"/>
        <v>建筑结构</v>
      </c>
      <c r="R31" s="667" t="s">
        <v>14</v>
      </c>
      <c r="S31" s="668">
        <f t="shared" si="12"/>
        <v>100</v>
      </c>
      <c r="T31" s="667" t="s">
        <v>14</v>
      </c>
      <c r="U31" s="668">
        <f t="shared" si="13"/>
        <v>100</v>
      </c>
      <c r="V31" s="667" t="s">
        <v>14</v>
      </c>
      <c r="W31" s="668">
        <f t="shared" si="14"/>
        <v>100</v>
      </c>
      <c r="X31" s="1265"/>
      <c r="Y31" s="337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2"/>
      <c r="Q32" s="1263" t="str">
        <f t="shared" si="11"/>
        <v>公共部分装修</v>
      </c>
      <c r="R32" s="667" t="s">
        <v>14</v>
      </c>
      <c r="S32" s="668">
        <f t="shared" si="12"/>
        <v>100</v>
      </c>
      <c r="T32" s="667" t="s">
        <v>14</v>
      </c>
      <c r="U32" s="668">
        <f t="shared" si="13"/>
        <v>100</v>
      </c>
      <c r="V32" s="667" t="s">
        <v>14</v>
      </c>
      <c r="W32" s="668">
        <f t="shared" si="14"/>
        <v>100</v>
      </c>
      <c r="X32" s="1265"/>
      <c r="Y32" s="337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2"/>
      <c r="Q33" s="1263" t="str">
        <f t="shared" si="11"/>
        <v>成新度</v>
      </c>
      <c r="R33" s="667" t="s">
        <v>14</v>
      </c>
      <c r="S33" s="668" t="e">
        <f t="shared" si="12"/>
        <v>#N/A</v>
      </c>
      <c r="T33" s="667" t="s">
        <v>14</v>
      </c>
      <c r="U33" s="668" t="e">
        <f t="shared" si="13"/>
        <v>#N/A</v>
      </c>
      <c r="V33" s="667" t="s">
        <v>14</v>
      </c>
      <c r="W33" s="668" t="e">
        <f t="shared" si="14"/>
        <v>#N/A</v>
      </c>
      <c r="X33" s="1265"/>
      <c r="Y33" s="3372"/>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2"/>
      <c r="Q34" s="530" t="str">
        <f t="shared" si="11"/>
        <v>物业管理</v>
      </c>
      <c r="R34" s="664" t="s">
        <v>14</v>
      </c>
      <c r="S34" s="665">
        <f t="shared" si="12"/>
        <v>100</v>
      </c>
      <c r="T34" s="664" t="s">
        <v>14</v>
      </c>
      <c r="U34" s="665">
        <f t="shared" si="13"/>
        <v>100</v>
      </c>
      <c r="V34" s="664" t="s">
        <v>14</v>
      </c>
      <c r="W34" s="665">
        <f t="shared" si="14"/>
        <v>100</v>
      </c>
      <c r="X34" s="666"/>
      <c r="Y34" s="337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2" t="s">
        <v>1696</v>
      </c>
      <c r="Q35" s="1263" t="str">
        <f t="shared" si="11"/>
        <v>市政基础设施</v>
      </c>
      <c r="R35" s="667" t="s">
        <v>14</v>
      </c>
      <c r="S35" s="668">
        <f t="shared" si="12"/>
        <v>100</v>
      </c>
      <c r="T35" s="667" t="s">
        <v>14</v>
      </c>
      <c r="U35" s="668">
        <f t="shared" si="13"/>
        <v>100</v>
      </c>
      <c r="V35" s="667" t="s">
        <v>14</v>
      </c>
      <c r="W35" s="668">
        <f t="shared" si="14"/>
        <v>100</v>
      </c>
      <c r="X35" s="1265"/>
      <c r="Y35" s="337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2"/>
      <c r="Q36" s="1263" t="str">
        <f t="shared" si="11"/>
        <v>内部装修</v>
      </c>
      <c r="R36" s="667" t="s">
        <v>14</v>
      </c>
      <c r="S36" s="668">
        <f t="shared" si="12"/>
        <v>100</v>
      </c>
      <c r="T36" s="667" t="s">
        <v>14</v>
      </c>
      <c r="U36" s="668">
        <f t="shared" si="13"/>
        <v>100</v>
      </c>
      <c r="V36" s="667" t="s">
        <v>14</v>
      </c>
      <c r="W36" s="668">
        <f t="shared" si="14"/>
        <v>100</v>
      </c>
      <c r="X36" s="1265"/>
      <c r="Y36" s="3372"/>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2"/>
      <c r="Q37" s="1263" t="str">
        <f t="shared" si="11"/>
        <v>内部装修状况</v>
      </c>
      <c r="R37" s="667" t="s">
        <v>14</v>
      </c>
      <c r="S37" s="668">
        <f t="shared" si="12"/>
        <v>100</v>
      </c>
      <c r="T37" s="667" t="s">
        <v>14</v>
      </c>
      <c r="U37" s="668">
        <f t="shared" si="13"/>
        <v>100</v>
      </c>
      <c r="V37" s="667" t="s">
        <v>14</v>
      </c>
      <c r="W37" s="668">
        <f t="shared" si="14"/>
        <v>100</v>
      </c>
      <c r="X37" s="1265"/>
      <c r="Y37" s="337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2"/>
      <c r="Q38" s="531">
        <f t="shared" si="11"/>
        <v>111</v>
      </c>
      <c r="R38" s="669" t="s">
        <v>14</v>
      </c>
      <c r="S38" s="670">
        <f t="shared" si="12"/>
        <v>100</v>
      </c>
      <c r="T38" s="669" t="s">
        <v>14</v>
      </c>
      <c r="U38" s="670">
        <f t="shared" si="13"/>
        <v>100</v>
      </c>
      <c r="V38" s="669" t="s">
        <v>14</v>
      </c>
      <c r="W38" s="670">
        <f t="shared" si="14"/>
        <v>100</v>
      </c>
      <c r="X38" s="671"/>
      <c r="Y38" s="337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2"/>
      <c r="Q39" s="1263">
        <f t="shared" si="11"/>
        <v>111</v>
      </c>
      <c r="R39" s="667" t="s">
        <v>14</v>
      </c>
      <c r="S39" s="668">
        <f t="shared" si="12"/>
        <v>100</v>
      </c>
      <c r="T39" s="667" t="s">
        <v>14</v>
      </c>
      <c r="U39" s="668">
        <f t="shared" si="13"/>
        <v>100</v>
      </c>
      <c r="V39" s="667" t="s">
        <v>14</v>
      </c>
      <c r="W39" s="668">
        <f t="shared" si="14"/>
        <v>100</v>
      </c>
      <c r="X39" s="1265"/>
      <c r="Y39" s="3372"/>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3"/>
      <c r="Q40" s="1263">
        <f t="shared" si="11"/>
        <v>111</v>
      </c>
      <c r="R40" s="667" t="s">
        <v>14</v>
      </c>
      <c r="S40" s="668">
        <f t="shared" si="12"/>
        <v>100</v>
      </c>
      <c r="T40" s="667" t="s">
        <v>14</v>
      </c>
      <c r="U40" s="668">
        <f t="shared" si="13"/>
        <v>100</v>
      </c>
      <c r="V40" s="667" t="s">
        <v>14</v>
      </c>
      <c r="W40" s="668">
        <f t="shared" si="14"/>
        <v>100</v>
      </c>
      <c r="X40" s="1265"/>
      <c r="Y40" s="3373"/>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60" t="str">
        <f>A41</f>
        <v>成交单价（元/平方米）</v>
      </c>
      <c r="Q41" s="3360"/>
      <c r="R41" s="3361">
        <f>E41</f>
        <v>0</v>
      </c>
      <c r="S41" s="3361"/>
      <c r="T41" s="3361">
        <f>G41</f>
        <v>0</v>
      </c>
      <c r="U41" s="3361"/>
      <c r="V41" s="3361">
        <f>I41</f>
        <v>0</v>
      </c>
      <c r="W41" s="3361"/>
      <c r="X41" s="385"/>
      <c r="Y41" s="673"/>
      <c r="Z41" s="385"/>
      <c r="AA41" s="385"/>
      <c r="AB41" s="385"/>
      <c r="AC41" s="385"/>
    </row>
    <row r="42" spans="1:29" ht="1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360" t="str">
        <f>A42</f>
        <v>比较价值（元/平方米）</v>
      </c>
      <c r="Q42" s="3360"/>
      <c r="R42" s="3361" t="e">
        <f>IF(F1="售价",ROUND(PRODUCT(R41,AA7:AA40),0),ROUND(PRODUCT(R41,AA7:AA40),1))</f>
        <v>#DIV/0!</v>
      </c>
      <c r="S42" s="3361"/>
      <c r="T42" s="3361" t="e">
        <f>IF(F1="售价",ROUND(PRODUCT(T41,AB7:AB40),0),ROUND(PRODUCT(T41,AB7:AB40),1))</f>
        <v>#DIV/0!</v>
      </c>
      <c r="U42" s="3361"/>
      <c r="V42" s="3361" t="e">
        <f>IF(F1="售价",ROUND(PRODUCT(V41,AC7:AC40),0),ROUND(PRODUCT(V41,AC7:AC40),1))</f>
        <v>#DIV/0!</v>
      </c>
      <c r="W42" s="3361"/>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33" t="str">
        <f>A43</f>
        <v>估价对象XX用房的比较价值（楼面单价，元/平方米）</v>
      </c>
      <c r="Q43" s="3434"/>
      <c r="R43" s="3435" t="e">
        <f>IF(F1="售价",ROUND(IF(D42="简单平均",AVERAGE(R42:V42),R42*F42+T42*H42+V42*J42),0),ROUND(IF(D42="简单平均",AVERAGE(R42:V42),R42*F42+T42*H42+V42*J42),1))</f>
        <v>#DIV/0!</v>
      </c>
      <c r="S43" s="3435"/>
      <c r="T43" s="3435"/>
      <c r="U43" s="3435"/>
      <c r="V43" s="3435"/>
      <c r="W43" s="3435"/>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2025-6</v>
      </c>
      <c r="D52" s="1104">
        <f>EDATE(C52,-1)</f>
        <v>45778</v>
      </c>
      <c r="E52" s="1104">
        <f t="shared" ref="E52:O52" si="16">EDATE(D52,-1)</f>
        <v>45748</v>
      </c>
      <c r="F52" s="1104">
        <f t="shared" si="16"/>
        <v>45717</v>
      </c>
      <c r="G52" s="1104">
        <f t="shared" si="16"/>
        <v>45689</v>
      </c>
      <c r="H52" s="1104">
        <f t="shared" si="16"/>
        <v>45658</v>
      </c>
      <c r="I52" s="1104">
        <f t="shared" si="16"/>
        <v>45627</v>
      </c>
      <c r="J52" s="1104">
        <f t="shared" si="16"/>
        <v>45597</v>
      </c>
      <c r="K52" s="1104">
        <f t="shared" si="16"/>
        <v>45566</v>
      </c>
      <c r="L52" s="1104">
        <f t="shared" si="16"/>
        <v>45536</v>
      </c>
      <c r="M52" s="1104">
        <f t="shared" si="16"/>
        <v>45505</v>
      </c>
      <c r="N52" s="1104">
        <f t="shared" si="16"/>
        <v>45474</v>
      </c>
      <c r="O52" s="1104">
        <f t="shared" si="16"/>
        <v>45444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377" t="s">
        <v>1770</v>
      </c>
      <c r="D4" s="3378"/>
      <c r="E4" s="3379" t="s">
        <v>1771</v>
      </c>
      <c r="F4" s="3380"/>
      <c r="G4" s="3377" t="s">
        <v>1772</v>
      </c>
      <c r="H4" s="3378"/>
      <c r="I4" s="3377" t="s">
        <v>1773</v>
      </c>
      <c r="J4" s="3378"/>
      <c r="K4" s="537" t="s">
        <v>1774</v>
      </c>
      <c r="L4" s="2484"/>
      <c r="M4" s="2485"/>
      <c r="N4" s="2485"/>
      <c r="O4" s="2485"/>
      <c r="P4" s="3437" t="s">
        <v>1775</v>
      </c>
      <c r="Q4" s="3438"/>
      <c r="R4" s="3441" t="s">
        <v>1771</v>
      </c>
      <c r="S4" s="3442"/>
      <c r="T4" s="3441" t="s">
        <v>1772</v>
      </c>
      <c r="U4" s="3442"/>
      <c r="V4" s="3361" t="s">
        <v>1773</v>
      </c>
      <c r="W4" s="3361"/>
      <c r="X4" s="1265"/>
      <c r="Y4" s="3441" t="s">
        <v>1775</v>
      </c>
      <c r="Z4" s="3442"/>
      <c r="AA4" s="3436" t="s">
        <v>1771</v>
      </c>
      <c r="AB4" s="3405" t="s">
        <v>1772</v>
      </c>
      <c r="AC4" s="3436" t="s">
        <v>1773</v>
      </c>
    </row>
    <row r="5" spans="1:29">
      <c r="A5" s="348"/>
      <c r="B5" s="349"/>
      <c r="C5" s="3443" t="s">
        <v>1673</v>
      </c>
      <c r="D5" s="3397"/>
      <c r="E5" s="3444" t="s">
        <v>1674</v>
      </c>
      <c r="F5" s="3445"/>
      <c r="G5" s="3443" t="s">
        <v>1675</v>
      </c>
      <c r="H5" s="3397"/>
      <c r="I5" s="3443" t="s">
        <v>1676</v>
      </c>
      <c r="J5" s="3397"/>
      <c r="K5" s="537"/>
      <c r="L5" s="2484"/>
      <c r="M5" s="2485"/>
      <c r="N5" s="2485"/>
      <c r="O5" s="2485"/>
      <c r="P5" s="3439"/>
      <c r="Q5" s="3384"/>
      <c r="R5" s="3389"/>
      <c r="S5" s="3390"/>
      <c r="T5" s="3389"/>
      <c r="U5" s="3390"/>
      <c r="V5" s="3361"/>
      <c r="W5" s="3361"/>
      <c r="X5" s="1265"/>
      <c r="Y5" s="3389"/>
      <c r="Z5" s="3390"/>
      <c r="AA5" s="3405"/>
      <c r="AB5" s="3405"/>
      <c r="AC5" s="3405"/>
    </row>
    <row r="6" spans="1:29" ht="15" thickBot="1">
      <c r="A6" s="350"/>
      <c r="B6" s="351"/>
      <c r="C6" s="3394" t="s">
        <v>1677</v>
      </c>
      <c r="D6" s="3395"/>
      <c r="E6" s="3402" t="s">
        <v>1677</v>
      </c>
      <c r="F6" s="3403"/>
      <c r="G6" s="3394" t="s">
        <v>1677</v>
      </c>
      <c r="H6" s="3395"/>
      <c r="I6" s="3394" t="s">
        <v>1677</v>
      </c>
      <c r="J6" s="3395"/>
      <c r="K6" s="537" t="s">
        <v>1678</v>
      </c>
      <c r="L6" s="2484"/>
      <c r="M6" s="2485"/>
      <c r="N6" s="2485"/>
      <c r="O6" s="2485"/>
      <c r="P6" s="3440"/>
      <c r="Q6" s="3386"/>
      <c r="R6" s="3389"/>
      <c r="S6" s="3390"/>
      <c r="T6" s="3391"/>
      <c r="U6" s="3392"/>
      <c r="V6" s="3361"/>
      <c r="W6" s="3361"/>
      <c r="X6" s="1265"/>
      <c r="Y6" s="3391"/>
      <c r="Z6" s="3392"/>
      <c r="AA6" s="3406"/>
      <c r="AB6" s="3406"/>
      <c r="AC6" s="3406"/>
    </row>
    <row r="7" spans="1:29" s="102" customFormat="1" ht="15" thickBot="1">
      <c r="A7" s="352" t="s">
        <v>1679</v>
      </c>
      <c r="B7" s="353"/>
      <c r="C7" s="354">
        <f>'数据-取费表'!B2</f>
        <v>45814</v>
      </c>
      <c r="D7" s="355">
        <v>100</v>
      </c>
      <c r="E7" s="356"/>
      <c r="F7" s="357">
        <f>SUMIF(48:48,YEAR(E7)&amp;"-"&amp;MONTH(E7),49:49)</f>
        <v>0</v>
      </c>
      <c r="G7" s="356"/>
      <c r="H7" s="355">
        <f>SUMIF(48:48,YEAR(G7)&amp;"-"&amp;MONTH(G7),49:49)</f>
        <v>0</v>
      </c>
      <c r="I7" s="356"/>
      <c r="J7" s="355">
        <f>SUMIF(48:48,YEAR(I7)&amp;"-"&amp;MONTH(I7),49:49)</f>
        <v>0</v>
      </c>
      <c r="K7" s="38"/>
      <c r="L7" s="2486"/>
      <c r="M7" s="2438"/>
      <c r="N7" s="2438"/>
      <c r="O7" s="2438"/>
      <c r="P7" s="3400" t="s">
        <v>1680</v>
      </c>
      <c r="Q7" s="3401"/>
      <c r="R7" s="664" t="s">
        <v>14</v>
      </c>
      <c r="S7" s="665">
        <f t="shared" ref="S7:S14" si="0">F7</f>
        <v>0</v>
      </c>
      <c r="T7" s="664" t="s">
        <v>14</v>
      </c>
      <c r="U7" s="665">
        <f t="shared" ref="U7:U14" si="1">H7</f>
        <v>0</v>
      </c>
      <c r="V7" s="664" t="s">
        <v>14</v>
      </c>
      <c r="W7" s="665">
        <f t="shared" ref="W7:W14" si="2">J7</f>
        <v>0</v>
      </c>
      <c r="X7" s="666"/>
      <c r="Y7" s="3400" t="s">
        <v>1680</v>
      </c>
      <c r="Z7" s="3399"/>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00" t="s">
        <v>1683</v>
      </c>
      <c r="Q8" s="3399"/>
      <c r="R8" s="664" t="s">
        <v>14</v>
      </c>
      <c r="S8" s="665">
        <f t="shared" si="0"/>
        <v>100</v>
      </c>
      <c r="T8" s="664" t="s">
        <v>14</v>
      </c>
      <c r="U8" s="665">
        <f t="shared" si="1"/>
        <v>100</v>
      </c>
      <c r="V8" s="664" t="s">
        <v>14</v>
      </c>
      <c r="W8" s="665">
        <f t="shared" si="2"/>
        <v>100</v>
      </c>
      <c r="X8" s="666"/>
      <c r="Y8" s="3400" t="s">
        <v>1683</v>
      </c>
      <c r="Z8" s="3399"/>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360" t="s">
        <v>1686</v>
      </c>
      <c r="Q9" s="530" t="str">
        <f t="shared" ref="Q9:Q14" si="6">B9</f>
        <v>用途</v>
      </c>
      <c r="R9" s="664" t="s">
        <v>14</v>
      </c>
      <c r="S9" s="665">
        <f t="shared" si="0"/>
        <v>100</v>
      </c>
      <c r="T9" s="664" t="s">
        <v>14</v>
      </c>
      <c r="U9" s="665">
        <f t="shared" si="1"/>
        <v>100</v>
      </c>
      <c r="V9" s="664" t="s">
        <v>14</v>
      </c>
      <c r="W9" s="665">
        <f t="shared" si="2"/>
        <v>100</v>
      </c>
      <c r="X9" s="666"/>
      <c r="Y9" s="3263"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60"/>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60"/>
      <c r="Q11" s="530">
        <f t="shared" si="6"/>
        <v>111</v>
      </c>
      <c r="R11" s="664" t="s">
        <v>14</v>
      </c>
      <c r="S11" s="665">
        <f t="shared" si="0"/>
        <v>100</v>
      </c>
      <c r="T11" s="664" t="s">
        <v>14</v>
      </c>
      <c r="U11" s="665">
        <f t="shared" si="1"/>
        <v>100</v>
      </c>
      <c r="V11" s="664" t="s">
        <v>14</v>
      </c>
      <c r="W11" s="665">
        <f t="shared" si="2"/>
        <v>100</v>
      </c>
      <c r="X11" s="666"/>
      <c r="Y11" s="326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360"/>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60"/>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67" t="s">
        <v>1691</v>
      </c>
      <c r="Q14" s="1263" t="str">
        <f t="shared" si="6"/>
        <v>交通便捷度</v>
      </c>
      <c r="R14" s="667" t="s">
        <v>14</v>
      </c>
      <c r="S14" s="668">
        <f t="shared" si="0"/>
        <v>100</v>
      </c>
      <c r="T14" s="667" t="s">
        <v>14</v>
      </c>
      <c r="U14" s="668">
        <f t="shared" si="1"/>
        <v>100</v>
      </c>
      <c r="V14" s="667" t="s">
        <v>14</v>
      </c>
      <c r="W14" s="668">
        <f t="shared" si="2"/>
        <v>100</v>
      </c>
      <c r="X14" s="1265"/>
      <c r="Y14" s="336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368"/>
      <c r="Q15" s="1263"/>
      <c r="R15" s="667"/>
      <c r="S15" s="668"/>
      <c r="T15" s="667"/>
      <c r="U15" s="668"/>
      <c r="V15" s="667"/>
      <c r="W15" s="668"/>
      <c r="X15" s="1265"/>
      <c r="Y15" s="3368"/>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68"/>
      <c r="Q16" s="1263" t="str">
        <f>B16</f>
        <v>公共配套设施</v>
      </c>
      <c r="R16" s="667" t="s">
        <v>14</v>
      </c>
      <c r="S16" s="668">
        <f>F16</f>
        <v>100</v>
      </c>
      <c r="T16" s="667" t="s">
        <v>14</v>
      </c>
      <c r="U16" s="668">
        <f>H16</f>
        <v>100</v>
      </c>
      <c r="V16" s="667" t="s">
        <v>14</v>
      </c>
      <c r="W16" s="668">
        <f>J16</f>
        <v>100</v>
      </c>
      <c r="X16" s="1265"/>
      <c r="Y16" s="3368"/>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368"/>
      <c r="Q17" s="1263"/>
      <c r="R17" s="667"/>
      <c r="S17" s="668"/>
      <c r="T17" s="667"/>
      <c r="U17" s="668"/>
      <c r="V17" s="667"/>
      <c r="W17" s="668"/>
      <c r="X17" s="1265"/>
      <c r="Y17" s="3368"/>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68"/>
      <c r="Q18" s="1263" t="str">
        <f>B18</f>
        <v>基础设施水平</v>
      </c>
      <c r="R18" s="667" t="s">
        <v>14</v>
      </c>
      <c r="S18" s="668">
        <f>F18</f>
        <v>100</v>
      </c>
      <c r="T18" s="667" t="s">
        <v>14</v>
      </c>
      <c r="U18" s="668">
        <f>H18</f>
        <v>100</v>
      </c>
      <c r="V18" s="667" t="s">
        <v>14</v>
      </c>
      <c r="W18" s="668">
        <f>J18</f>
        <v>100</v>
      </c>
      <c r="X18" s="1265"/>
      <c r="Y18" s="3368"/>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368"/>
      <c r="Q19" s="1263"/>
      <c r="R19" s="667"/>
      <c r="S19" s="668"/>
      <c r="T19" s="667"/>
      <c r="U19" s="668"/>
      <c r="V19" s="667"/>
      <c r="W19" s="668"/>
      <c r="X19" s="1265"/>
      <c r="Y19" s="3368"/>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68"/>
      <c r="Q20" s="1263" t="str">
        <f>B20</f>
        <v>自然及人文环境</v>
      </c>
      <c r="R20" s="667" t="s">
        <v>14</v>
      </c>
      <c r="S20" s="668">
        <f>F20</f>
        <v>100</v>
      </c>
      <c r="T20" s="667" t="s">
        <v>14</v>
      </c>
      <c r="U20" s="668">
        <f>H20</f>
        <v>100</v>
      </c>
      <c r="V20" s="667" t="s">
        <v>14</v>
      </c>
      <c r="W20" s="668">
        <f>J20</f>
        <v>100</v>
      </c>
      <c r="X20" s="1265"/>
      <c r="Y20" s="336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368"/>
      <c r="Q21" s="1263"/>
      <c r="R21" s="667"/>
      <c r="S21" s="668"/>
      <c r="T21" s="667"/>
      <c r="U21" s="668"/>
      <c r="V21" s="667"/>
      <c r="W21" s="668"/>
      <c r="X21" s="1265"/>
      <c r="Y21" s="336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68"/>
      <c r="Q22" s="1263" t="str">
        <f>B22</f>
        <v>楼层</v>
      </c>
      <c r="R22" s="667" t="s">
        <v>14</v>
      </c>
      <c r="S22" s="668">
        <f>F22</f>
        <v>100</v>
      </c>
      <c r="T22" s="667" t="s">
        <v>14</v>
      </c>
      <c r="U22" s="668">
        <f>H22</f>
        <v>100</v>
      </c>
      <c r="V22" s="667" t="s">
        <v>14</v>
      </c>
      <c r="W22" s="668">
        <f>J22</f>
        <v>100</v>
      </c>
      <c r="X22" s="1265"/>
      <c r="Y22" s="336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68"/>
      <c r="Q23" s="1263">
        <f>B23</f>
        <v>111</v>
      </c>
      <c r="R23" s="667" t="s">
        <v>14</v>
      </c>
      <c r="S23" s="668">
        <f>F23</f>
        <v>100</v>
      </c>
      <c r="T23" s="667" t="s">
        <v>14</v>
      </c>
      <c r="U23" s="668">
        <f>H23</f>
        <v>100</v>
      </c>
      <c r="V23" s="667" t="s">
        <v>14</v>
      </c>
      <c r="W23" s="668">
        <f>J23</f>
        <v>100</v>
      </c>
      <c r="X23" s="1265"/>
      <c r="Y23" s="336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68"/>
      <c r="Q24" s="1263">
        <f t="shared" ref="Q24:Q36" si="11">B24</f>
        <v>111</v>
      </c>
      <c r="R24" s="667" t="s">
        <v>14</v>
      </c>
      <c r="S24" s="668">
        <f>F24</f>
        <v>100</v>
      </c>
      <c r="T24" s="667" t="s">
        <v>14</v>
      </c>
      <c r="U24" s="668">
        <f>H24</f>
        <v>100</v>
      </c>
      <c r="V24" s="667" t="s">
        <v>14</v>
      </c>
      <c r="W24" s="668">
        <f>J24</f>
        <v>100</v>
      </c>
      <c r="X24" s="1265"/>
      <c r="Y24" s="3368"/>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368"/>
      <c r="Q25" s="530">
        <f t="shared" si="11"/>
        <v>111</v>
      </c>
      <c r="R25" s="664" t="s">
        <v>14</v>
      </c>
      <c r="S25" s="665">
        <f>F25</f>
        <v>100</v>
      </c>
      <c r="T25" s="664" t="s">
        <v>14</v>
      </c>
      <c r="U25" s="665">
        <f>H25</f>
        <v>100</v>
      </c>
      <c r="V25" s="664" t="s">
        <v>14</v>
      </c>
      <c r="W25" s="665">
        <f>J25</f>
        <v>100</v>
      </c>
      <c r="X25" s="666"/>
      <c r="Y25" s="3368"/>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4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2"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72"/>
      <c r="Q27" s="531" t="str">
        <f t="shared" si="11"/>
        <v>项目停车位配比</v>
      </c>
      <c r="R27" s="669" t="s">
        <v>14</v>
      </c>
      <c r="S27" s="670">
        <f t="shared" si="12"/>
        <v>100</v>
      </c>
      <c r="T27" s="669" t="s">
        <v>14</v>
      </c>
      <c r="U27" s="670">
        <f t="shared" si="13"/>
        <v>100</v>
      </c>
      <c r="V27" s="669" t="s">
        <v>14</v>
      </c>
      <c r="W27" s="670">
        <f t="shared" si="14"/>
        <v>100</v>
      </c>
      <c r="X27" s="671"/>
      <c r="Y27" s="3372"/>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72"/>
      <c r="Q28" s="1263" t="str">
        <f t="shared" si="11"/>
        <v>公共部分装修</v>
      </c>
      <c r="R28" s="667" t="s">
        <v>14</v>
      </c>
      <c r="S28" s="668">
        <f t="shared" si="12"/>
        <v>100</v>
      </c>
      <c r="T28" s="667" t="s">
        <v>14</v>
      </c>
      <c r="U28" s="668">
        <f t="shared" si="13"/>
        <v>100</v>
      </c>
      <c r="V28" s="667" t="s">
        <v>14</v>
      </c>
      <c r="W28" s="668">
        <f t="shared" si="14"/>
        <v>100</v>
      </c>
      <c r="X28" s="1265"/>
      <c r="Y28" s="3372"/>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72"/>
      <c r="Q29" s="1263" t="str">
        <f t="shared" si="11"/>
        <v>成新率</v>
      </c>
      <c r="R29" s="667" t="s">
        <v>14</v>
      </c>
      <c r="S29" s="668" t="e">
        <f t="shared" si="12"/>
        <v>#N/A</v>
      </c>
      <c r="T29" s="667" t="s">
        <v>14</v>
      </c>
      <c r="U29" s="668" t="e">
        <f t="shared" si="13"/>
        <v>#N/A</v>
      </c>
      <c r="V29" s="667" t="s">
        <v>14</v>
      </c>
      <c r="W29" s="668" t="e">
        <f t="shared" si="14"/>
        <v>#N/A</v>
      </c>
      <c r="X29" s="1265"/>
      <c r="Y29" s="3372"/>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72"/>
      <c r="Q30" s="1263" t="str">
        <f t="shared" si="11"/>
        <v>物业等级</v>
      </c>
      <c r="R30" s="667" t="s">
        <v>14</v>
      </c>
      <c r="S30" s="668">
        <f t="shared" si="12"/>
        <v>100</v>
      </c>
      <c r="T30" s="667" t="s">
        <v>14</v>
      </c>
      <c r="U30" s="668">
        <f t="shared" si="13"/>
        <v>100</v>
      </c>
      <c r="V30" s="667" t="s">
        <v>14</v>
      </c>
      <c r="W30" s="668">
        <f t="shared" si="14"/>
        <v>100</v>
      </c>
      <c r="X30" s="1265"/>
      <c r="Y30" s="3372"/>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372"/>
      <c r="Q31" s="530" t="str">
        <f t="shared" si="11"/>
        <v>停车位面积</v>
      </c>
      <c r="R31" s="664" t="s">
        <v>14</v>
      </c>
      <c r="S31" s="665" t="e">
        <f t="shared" si="12"/>
        <v>#N/A</v>
      </c>
      <c r="T31" s="664" t="s">
        <v>14</v>
      </c>
      <c r="U31" s="665" t="e">
        <f t="shared" si="13"/>
        <v>#N/A</v>
      </c>
      <c r="V31" s="664" t="s">
        <v>14</v>
      </c>
      <c r="W31" s="665" t="e">
        <f t="shared" si="14"/>
        <v>#N/A</v>
      </c>
      <c r="X31" s="666"/>
      <c r="Y31" s="337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72" t="s">
        <v>1696</v>
      </c>
      <c r="Q32" s="1263" t="str">
        <f t="shared" si="11"/>
        <v>车位类型</v>
      </c>
      <c r="R32" s="667" t="s">
        <v>14</v>
      </c>
      <c r="S32" s="668">
        <f t="shared" si="12"/>
        <v>100</v>
      </c>
      <c r="T32" s="667" t="s">
        <v>14</v>
      </c>
      <c r="U32" s="668">
        <f t="shared" si="13"/>
        <v>100</v>
      </c>
      <c r="V32" s="667" t="s">
        <v>14</v>
      </c>
      <c r="W32" s="668">
        <f t="shared" si="14"/>
        <v>100</v>
      </c>
      <c r="X32" s="1265"/>
      <c r="Y32" s="3372"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72"/>
      <c r="Q33" s="1263" t="str">
        <f t="shared" si="11"/>
        <v>是否直接入户</v>
      </c>
      <c r="R33" s="667" t="s">
        <v>14</v>
      </c>
      <c r="S33" s="668">
        <f t="shared" si="12"/>
        <v>100</v>
      </c>
      <c r="T33" s="667" t="s">
        <v>14</v>
      </c>
      <c r="U33" s="668">
        <f t="shared" si="13"/>
        <v>100</v>
      </c>
      <c r="V33" s="667" t="s">
        <v>14</v>
      </c>
      <c r="W33" s="668">
        <f t="shared" si="14"/>
        <v>100</v>
      </c>
      <c r="X33" s="1265"/>
      <c r="Y33" s="337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72"/>
      <c r="Q34" s="1263">
        <f t="shared" si="11"/>
        <v>111</v>
      </c>
      <c r="R34" s="667" t="s">
        <v>14</v>
      </c>
      <c r="S34" s="668">
        <f t="shared" si="12"/>
        <v>100</v>
      </c>
      <c r="T34" s="667" t="s">
        <v>14</v>
      </c>
      <c r="U34" s="668">
        <f t="shared" si="13"/>
        <v>100</v>
      </c>
      <c r="V34" s="667" t="s">
        <v>14</v>
      </c>
      <c r="W34" s="668">
        <f t="shared" si="14"/>
        <v>100</v>
      </c>
      <c r="X34" s="1265"/>
      <c r="Y34" s="337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72"/>
      <c r="Q35" s="531">
        <f t="shared" si="11"/>
        <v>111</v>
      </c>
      <c r="R35" s="669" t="s">
        <v>14</v>
      </c>
      <c r="S35" s="670">
        <f t="shared" si="12"/>
        <v>100</v>
      </c>
      <c r="T35" s="669" t="s">
        <v>14</v>
      </c>
      <c r="U35" s="670">
        <f t="shared" si="13"/>
        <v>100</v>
      </c>
      <c r="V35" s="669" t="s">
        <v>14</v>
      </c>
      <c r="W35" s="670">
        <f t="shared" si="14"/>
        <v>100</v>
      </c>
      <c r="X35" s="671"/>
      <c r="Y35" s="3372"/>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72"/>
      <c r="Q36" s="1263">
        <f t="shared" si="11"/>
        <v>111</v>
      </c>
      <c r="R36" s="667" t="s">
        <v>14</v>
      </c>
      <c r="S36" s="668">
        <f t="shared" si="12"/>
        <v>100</v>
      </c>
      <c r="T36" s="667" t="s">
        <v>14</v>
      </c>
      <c r="U36" s="668">
        <f t="shared" si="13"/>
        <v>100</v>
      </c>
      <c r="V36" s="667" t="s">
        <v>14</v>
      </c>
      <c r="W36" s="668">
        <f t="shared" si="14"/>
        <v>100</v>
      </c>
      <c r="X36" s="1265"/>
      <c r="Y36" s="3372"/>
      <c r="Z36" s="1264">
        <f t="shared" si="15"/>
        <v>111</v>
      </c>
      <c r="AA36" s="1264">
        <f t="shared" si="3"/>
        <v>1</v>
      </c>
      <c r="AB36" s="1264">
        <f t="shared" si="4"/>
        <v>1</v>
      </c>
      <c r="AC36" s="1264">
        <f t="shared" si="5"/>
        <v>1</v>
      </c>
    </row>
    <row r="37" spans="1:29" ht="14.4">
      <c r="A37" s="416" t="s">
        <v>1844</v>
      </c>
      <c r="B37" s="1821" t="s">
        <v>3353</v>
      </c>
      <c r="C37" s="1081" t="s">
        <v>0</v>
      </c>
      <c r="D37" s="418"/>
      <c r="E37" s="419"/>
      <c r="F37" s="420"/>
      <c r="G37" s="421"/>
      <c r="H37" s="422"/>
      <c r="I37" s="419"/>
      <c r="J37" s="422"/>
      <c r="K37" s="545"/>
      <c r="L37" s="2492"/>
      <c r="M37" s="2485"/>
      <c r="N37" s="2485"/>
      <c r="O37" s="2485"/>
      <c r="P37" s="3360" t="str">
        <f>A37</f>
        <v>成交单价</v>
      </c>
      <c r="Q37" s="3360"/>
      <c r="R37" s="3361">
        <f>E37</f>
        <v>0</v>
      </c>
      <c r="S37" s="3361"/>
      <c r="T37" s="3361">
        <f>G37</f>
        <v>0</v>
      </c>
      <c r="U37" s="3361"/>
      <c r="V37" s="3361">
        <f>I37</f>
        <v>0</v>
      </c>
      <c r="W37" s="3361"/>
      <c r="X37" s="385"/>
      <c r="Y37" s="673"/>
      <c r="Z37" s="385"/>
      <c r="AA37" s="385"/>
      <c r="AB37" s="385"/>
      <c r="AC37" s="385"/>
    </row>
    <row r="38" spans="1:29" ht="1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2"/>
      <c r="M38" s="2485"/>
      <c r="N38" s="2485"/>
      <c r="O38" s="2485"/>
      <c r="P38" s="3360" t="str">
        <f>A38</f>
        <v>比较价值（元/平方米）</v>
      </c>
      <c r="Q38" s="3360"/>
      <c r="R38" s="3361" t="e">
        <f>IF(F1="售价",ROUND(PRODUCT(R37,AA7:AA36),0),ROUND(PRODUCT(R37,AA7:AA36),1))</f>
        <v>#DIV/0!</v>
      </c>
      <c r="S38" s="3361"/>
      <c r="T38" s="3361" t="e">
        <f>IF(F1="售价",ROUND(PRODUCT(T37,AB7:AB36),0),ROUND(PRODUCT(T37,AB7:AB36),1))</f>
        <v>#DIV/0!</v>
      </c>
      <c r="U38" s="3361"/>
      <c r="V38" s="3361" t="e">
        <f>IF(F1="售价",ROUND(PRODUCT(V37,AC7:AC36),0),ROUND(PRODUCT(V37,AC7:AC36),1))</f>
        <v>#DIV/0!</v>
      </c>
      <c r="W38" s="3361"/>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433" t="str">
        <f>A39</f>
        <v>估价对象XX用房的比较价值（楼面单价，元/平方米）</v>
      </c>
      <c r="Q39" s="3434"/>
      <c r="R39" s="3447" t="e">
        <f>IF(F1="售价",ROUND(IF(D38="简单平均",AVERAGE(R38:W38),R38*F38+T38*H38+V38*J38),0),ROUND(IF(D38="简单平均",AVERAGE(R38:V38),R38*F38+T38*H38+V38*J38),1))</f>
        <v>#DIV/0!</v>
      </c>
      <c r="S39" s="3447"/>
      <c r="T39" s="3447"/>
      <c r="U39" s="3447"/>
      <c r="V39" s="3447"/>
      <c r="W39" s="3447"/>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2025-6</v>
      </c>
      <c r="D48" s="1104">
        <f>EDATE(C48,-1)</f>
        <v>45778</v>
      </c>
      <c r="E48" s="1104">
        <f t="shared" ref="E48:O48" si="16">EDATE(D48,-1)</f>
        <v>45748</v>
      </c>
      <c r="F48" s="1104">
        <f t="shared" si="16"/>
        <v>45717</v>
      </c>
      <c r="G48" s="1104">
        <f t="shared" si="16"/>
        <v>45689</v>
      </c>
      <c r="H48" s="1104">
        <f t="shared" si="16"/>
        <v>45658</v>
      </c>
      <c r="I48" s="1104">
        <f t="shared" si="16"/>
        <v>45627</v>
      </c>
      <c r="J48" s="1104">
        <f t="shared" si="16"/>
        <v>45597</v>
      </c>
      <c r="K48" s="1104">
        <f t="shared" si="16"/>
        <v>45566</v>
      </c>
      <c r="L48" s="1104">
        <f t="shared" si="16"/>
        <v>45536</v>
      </c>
      <c r="M48" s="1104">
        <f t="shared" si="16"/>
        <v>45505</v>
      </c>
      <c r="N48" s="1104">
        <f t="shared" si="16"/>
        <v>45474</v>
      </c>
      <c r="O48" s="1104">
        <f t="shared" si="16"/>
        <v>45444</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受贵公司委托，我公司对北京市房山区怡和北路5号院14号楼2层201房地产抵押价值进行了预评估。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估价对象为北京市房山区怡和北路5号院14号楼2层201房地产，为北京出岫科技有限公司所有。根据《国有土地使用证》[]，估价对象（分摊）出让国有建设用地使用权面积为0平方米，建筑面积为66.63平方米。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怡和北路5号院14号楼2层201房地产,属北京出岫科技有限公司开发建设的办公项目，该项目尚在开发建设中。根据《国有土地使用证》[]，估价对象（分摊）出让国有建设用地使用权面积为0平方米，规划建筑面积为66.63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房山区怡和北路5号院14号楼2层201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2025年6月6日（评估专业人员实地查勘之日）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6月6日，估价对象规划用途为商务办公，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务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77" t="s">
        <v>1770</v>
      </c>
      <c r="D4" s="3378"/>
      <c r="E4" s="3379" t="s">
        <v>1771</v>
      </c>
      <c r="F4" s="3380"/>
      <c r="G4" s="3377" t="s">
        <v>1772</v>
      </c>
      <c r="H4" s="3378"/>
      <c r="I4" s="3377" t="s">
        <v>1773</v>
      </c>
      <c r="J4" s="3378"/>
      <c r="K4" s="537" t="s">
        <v>1774</v>
      </c>
      <c r="L4" s="2484"/>
      <c r="M4" s="2485"/>
      <c r="N4" s="2485"/>
      <c r="O4" s="2485"/>
      <c r="P4" s="3437" t="s">
        <v>1775</v>
      </c>
      <c r="Q4" s="3438"/>
      <c r="R4" s="3441" t="s">
        <v>1771</v>
      </c>
      <c r="S4" s="3442"/>
      <c r="T4" s="3441" t="s">
        <v>1772</v>
      </c>
      <c r="U4" s="3442"/>
      <c r="V4" s="3361" t="s">
        <v>1773</v>
      </c>
      <c r="W4" s="3361"/>
      <c r="X4" s="1265"/>
      <c r="Y4" s="3441" t="s">
        <v>1775</v>
      </c>
      <c r="Z4" s="3442"/>
      <c r="AA4" s="3436" t="s">
        <v>1771</v>
      </c>
      <c r="AB4" s="3405" t="s">
        <v>1772</v>
      </c>
      <c r="AC4" s="3436" t="s">
        <v>1773</v>
      </c>
    </row>
    <row r="5" spans="1:29">
      <c r="A5" s="348"/>
      <c r="B5" s="349"/>
      <c r="C5" s="3443" t="s">
        <v>1673</v>
      </c>
      <c r="D5" s="3397"/>
      <c r="E5" s="3444" t="s">
        <v>1674</v>
      </c>
      <c r="F5" s="3445"/>
      <c r="G5" s="3443" t="s">
        <v>1675</v>
      </c>
      <c r="H5" s="3397"/>
      <c r="I5" s="3443" t="s">
        <v>1676</v>
      </c>
      <c r="J5" s="3397"/>
      <c r="K5" s="537"/>
      <c r="L5" s="2484"/>
      <c r="M5" s="2485"/>
      <c r="N5" s="2485"/>
      <c r="O5" s="2485"/>
      <c r="P5" s="3439"/>
      <c r="Q5" s="3384"/>
      <c r="R5" s="3389"/>
      <c r="S5" s="3390"/>
      <c r="T5" s="3389"/>
      <c r="U5" s="3390"/>
      <c r="V5" s="3361"/>
      <c r="W5" s="3361"/>
      <c r="X5" s="1265"/>
      <c r="Y5" s="3389"/>
      <c r="Z5" s="3390"/>
      <c r="AA5" s="3405"/>
      <c r="AB5" s="3405"/>
      <c r="AC5" s="3405"/>
    </row>
    <row r="6" spans="1:29" ht="15" thickBot="1">
      <c r="A6" s="350"/>
      <c r="B6" s="351"/>
      <c r="C6" s="3394" t="s">
        <v>1677</v>
      </c>
      <c r="D6" s="3395"/>
      <c r="E6" s="3402" t="s">
        <v>1677</v>
      </c>
      <c r="F6" s="3403"/>
      <c r="G6" s="3394" t="s">
        <v>1677</v>
      </c>
      <c r="H6" s="3395"/>
      <c r="I6" s="3394" t="s">
        <v>1677</v>
      </c>
      <c r="J6" s="3395"/>
      <c r="K6" s="537" t="s">
        <v>1678</v>
      </c>
      <c r="L6" s="2484"/>
      <c r="M6" s="2485"/>
      <c r="N6" s="2485"/>
      <c r="O6" s="2485"/>
      <c r="P6" s="3440"/>
      <c r="Q6" s="3386"/>
      <c r="R6" s="3389"/>
      <c r="S6" s="3390"/>
      <c r="T6" s="3391"/>
      <c r="U6" s="3392"/>
      <c r="V6" s="3361"/>
      <c r="W6" s="3361"/>
      <c r="X6" s="1265"/>
      <c r="Y6" s="3391"/>
      <c r="Z6" s="3392"/>
      <c r="AA6" s="3406"/>
      <c r="AB6" s="3406"/>
      <c r="AC6" s="3406"/>
    </row>
    <row r="7" spans="1:29" s="102" customFormat="1" ht="15" thickBot="1">
      <c r="A7" s="352" t="s">
        <v>1679</v>
      </c>
      <c r="B7" s="353"/>
      <c r="C7" s="354">
        <f>'数据-取费表'!B2</f>
        <v>45814</v>
      </c>
      <c r="D7" s="355">
        <v>100</v>
      </c>
      <c r="E7" s="356"/>
      <c r="F7" s="357">
        <f>SUMIF(46:46,YEAR(E7)&amp;"-"&amp;MONTH(E7),47:47)</f>
        <v>0</v>
      </c>
      <c r="G7" s="1822"/>
      <c r="H7" s="355">
        <f>SUMIF(46:46,YEAR(G7)&amp;"-"&amp;MONTH(G7),47:47)</f>
        <v>0</v>
      </c>
      <c r="I7" s="356"/>
      <c r="J7" s="355">
        <f>SUMIF(46:46,YEAR(I7)&amp;"-"&amp;MONTH(I7),47:47)</f>
        <v>0</v>
      </c>
      <c r="K7" s="38"/>
      <c r="L7" s="2486"/>
      <c r="M7" s="2438"/>
      <c r="N7" s="2438"/>
      <c r="O7" s="2438"/>
      <c r="P7" s="3400" t="s">
        <v>1680</v>
      </c>
      <c r="Q7" s="3401"/>
      <c r="R7" s="664" t="s">
        <v>14</v>
      </c>
      <c r="S7" s="665">
        <f t="shared" ref="S7:S14" si="0">F7</f>
        <v>0</v>
      </c>
      <c r="T7" s="664" t="s">
        <v>14</v>
      </c>
      <c r="U7" s="665">
        <f t="shared" ref="U7:U14" si="1">H7</f>
        <v>0</v>
      </c>
      <c r="V7" s="664" t="s">
        <v>14</v>
      </c>
      <c r="W7" s="665">
        <f t="shared" ref="W7:W14" si="2">J7</f>
        <v>0</v>
      </c>
      <c r="X7" s="666"/>
      <c r="Y7" s="3400" t="s">
        <v>1680</v>
      </c>
      <c r="Z7" s="3399"/>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00" t="s">
        <v>1683</v>
      </c>
      <c r="Q8" s="3399"/>
      <c r="R8" s="664" t="s">
        <v>14</v>
      </c>
      <c r="S8" s="665">
        <f t="shared" si="0"/>
        <v>100</v>
      </c>
      <c r="T8" s="664" t="s">
        <v>14</v>
      </c>
      <c r="U8" s="665">
        <f t="shared" si="1"/>
        <v>100</v>
      </c>
      <c r="V8" s="664" t="s">
        <v>14</v>
      </c>
      <c r="W8" s="665">
        <f t="shared" si="2"/>
        <v>100</v>
      </c>
      <c r="X8" s="666"/>
      <c r="Y8" s="3400" t="s">
        <v>1683</v>
      </c>
      <c r="Z8" s="3399"/>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360" t="s">
        <v>1686</v>
      </c>
      <c r="Q9" s="530" t="str">
        <f t="shared" ref="Q9:Q14" si="6">B9</f>
        <v>用途</v>
      </c>
      <c r="R9" s="664" t="s">
        <v>14</v>
      </c>
      <c r="S9" s="665">
        <f t="shared" si="0"/>
        <v>100</v>
      </c>
      <c r="T9" s="664" t="s">
        <v>14</v>
      </c>
      <c r="U9" s="665">
        <f t="shared" si="1"/>
        <v>100</v>
      </c>
      <c r="V9" s="664" t="s">
        <v>14</v>
      </c>
      <c r="W9" s="665">
        <f t="shared" si="2"/>
        <v>100</v>
      </c>
      <c r="X9" s="666"/>
      <c r="Y9" s="3263"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60"/>
      <c r="Q10" s="530" t="str">
        <f t="shared" si="6"/>
        <v>土地使用年限（年）</v>
      </c>
      <c r="R10" s="664" t="s">
        <v>14</v>
      </c>
      <c r="S10" s="665">
        <f t="shared" si="0"/>
        <v>100</v>
      </c>
      <c r="T10" s="664" t="s">
        <v>14</v>
      </c>
      <c r="U10" s="665">
        <f t="shared" si="1"/>
        <v>100</v>
      </c>
      <c r="V10" s="664" t="s">
        <v>14</v>
      </c>
      <c r="W10" s="665">
        <f t="shared" si="2"/>
        <v>100</v>
      </c>
      <c r="X10" s="666"/>
      <c r="Y10" s="326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60"/>
      <c r="Q11" s="530">
        <f t="shared" si="6"/>
        <v>111</v>
      </c>
      <c r="R11" s="664" t="s">
        <v>14</v>
      </c>
      <c r="S11" s="665">
        <f t="shared" si="0"/>
        <v>100</v>
      </c>
      <c r="T11" s="664" t="s">
        <v>14</v>
      </c>
      <c r="U11" s="665">
        <f t="shared" si="1"/>
        <v>100</v>
      </c>
      <c r="V11" s="664" t="s">
        <v>14</v>
      </c>
      <c r="W11" s="665">
        <f t="shared" si="2"/>
        <v>100</v>
      </c>
      <c r="X11" s="666"/>
      <c r="Y11" s="326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360"/>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360"/>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67" t="s">
        <v>1691</v>
      </c>
      <c r="Q14" s="1263" t="str">
        <f t="shared" si="6"/>
        <v>交通便捷度</v>
      </c>
      <c r="R14" s="667" t="s">
        <v>14</v>
      </c>
      <c r="S14" s="668">
        <f t="shared" si="0"/>
        <v>100</v>
      </c>
      <c r="T14" s="667" t="s">
        <v>14</v>
      </c>
      <c r="U14" s="668">
        <f t="shared" si="1"/>
        <v>100</v>
      </c>
      <c r="V14" s="667" t="s">
        <v>14</v>
      </c>
      <c r="W14" s="668">
        <f t="shared" si="2"/>
        <v>100</v>
      </c>
      <c r="X14" s="1265"/>
      <c r="Y14" s="336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368"/>
      <c r="Q15" s="1263"/>
      <c r="R15" s="667"/>
      <c r="S15" s="668"/>
      <c r="T15" s="667"/>
      <c r="U15" s="668"/>
      <c r="V15" s="667"/>
      <c r="W15" s="668"/>
      <c r="X15" s="1265"/>
      <c r="Y15" s="3368"/>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68"/>
      <c r="Q16" s="1263" t="str">
        <f>B16</f>
        <v>公共配套设施</v>
      </c>
      <c r="R16" s="667" t="s">
        <v>14</v>
      </c>
      <c r="S16" s="668">
        <f>F16</f>
        <v>100</v>
      </c>
      <c r="T16" s="667" t="s">
        <v>14</v>
      </c>
      <c r="U16" s="668">
        <f>H16</f>
        <v>100</v>
      </c>
      <c r="V16" s="667" t="s">
        <v>14</v>
      </c>
      <c r="W16" s="668">
        <f>J16</f>
        <v>100</v>
      </c>
      <c r="X16" s="1265"/>
      <c r="Y16" s="3368"/>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368"/>
      <c r="Q17" s="1263"/>
      <c r="R17" s="667"/>
      <c r="S17" s="668"/>
      <c r="T17" s="667"/>
      <c r="U17" s="668"/>
      <c r="V17" s="667"/>
      <c r="W17" s="668"/>
      <c r="X17" s="1265"/>
      <c r="Y17" s="3368"/>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68"/>
      <c r="Q18" s="1263" t="str">
        <f>B18</f>
        <v>基础设施水平</v>
      </c>
      <c r="R18" s="667" t="s">
        <v>14</v>
      </c>
      <c r="S18" s="668">
        <f>F18</f>
        <v>100</v>
      </c>
      <c r="T18" s="667" t="s">
        <v>14</v>
      </c>
      <c r="U18" s="668">
        <f>H18</f>
        <v>100</v>
      </c>
      <c r="V18" s="667" t="s">
        <v>14</v>
      </c>
      <c r="W18" s="668">
        <f>J18</f>
        <v>100</v>
      </c>
      <c r="X18" s="1265"/>
      <c r="Y18" s="3368"/>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368"/>
      <c r="Q19" s="1263"/>
      <c r="R19" s="667"/>
      <c r="S19" s="668"/>
      <c r="T19" s="667"/>
      <c r="U19" s="668"/>
      <c r="V19" s="667"/>
      <c r="W19" s="668"/>
      <c r="X19" s="1265"/>
      <c r="Y19" s="3368"/>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68"/>
      <c r="Q20" s="1263" t="str">
        <f>B20</f>
        <v>自然及人文环境</v>
      </c>
      <c r="R20" s="667" t="s">
        <v>14</v>
      </c>
      <c r="S20" s="668">
        <f>F20</f>
        <v>100</v>
      </c>
      <c r="T20" s="667" t="s">
        <v>14</v>
      </c>
      <c r="U20" s="668">
        <f>H20</f>
        <v>100</v>
      </c>
      <c r="V20" s="667" t="s">
        <v>14</v>
      </c>
      <c r="W20" s="668">
        <f>J20</f>
        <v>100</v>
      </c>
      <c r="X20" s="1265"/>
      <c r="Y20" s="336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368"/>
      <c r="Q21" s="1263"/>
      <c r="R21" s="667"/>
      <c r="S21" s="668"/>
      <c r="T21" s="667"/>
      <c r="U21" s="668"/>
      <c r="V21" s="667"/>
      <c r="W21" s="668"/>
      <c r="X21" s="1265"/>
      <c r="Y21" s="336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68"/>
      <c r="Q22" s="1263" t="str">
        <f>B22</f>
        <v>楼层</v>
      </c>
      <c r="R22" s="667" t="s">
        <v>14</v>
      </c>
      <c r="S22" s="668">
        <f>F22</f>
        <v>100</v>
      </c>
      <c r="T22" s="667" t="s">
        <v>14</v>
      </c>
      <c r="U22" s="668">
        <f>H22</f>
        <v>100</v>
      </c>
      <c r="V22" s="667" t="s">
        <v>14</v>
      </c>
      <c r="W22" s="668">
        <f>J22</f>
        <v>100</v>
      </c>
      <c r="X22" s="1265"/>
      <c r="Y22" s="336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68"/>
      <c r="Q23" s="1263">
        <f>B23</f>
        <v>111</v>
      </c>
      <c r="R23" s="667" t="s">
        <v>14</v>
      </c>
      <c r="S23" s="668">
        <f>F23</f>
        <v>100</v>
      </c>
      <c r="T23" s="667" t="s">
        <v>14</v>
      </c>
      <c r="U23" s="668">
        <f>H23</f>
        <v>100</v>
      </c>
      <c r="V23" s="667" t="s">
        <v>14</v>
      </c>
      <c r="W23" s="668">
        <f>J23</f>
        <v>100</v>
      </c>
      <c r="X23" s="1265"/>
      <c r="Y23" s="336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68"/>
      <c r="Q24" s="1263">
        <f t="shared" ref="Q24:Q34" si="11">B24</f>
        <v>111</v>
      </c>
      <c r="R24" s="667" t="s">
        <v>14</v>
      </c>
      <c r="S24" s="668">
        <f>F24</f>
        <v>100</v>
      </c>
      <c r="T24" s="667" t="s">
        <v>14</v>
      </c>
      <c r="U24" s="668">
        <f>H24</f>
        <v>100</v>
      </c>
      <c r="V24" s="667" t="s">
        <v>14</v>
      </c>
      <c r="W24" s="668">
        <f>J24</f>
        <v>100</v>
      </c>
      <c r="X24" s="1265"/>
      <c r="Y24" s="3368"/>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368"/>
      <c r="Q25" s="530">
        <f t="shared" si="11"/>
        <v>111</v>
      </c>
      <c r="R25" s="664" t="s">
        <v>14</v>
      </c>
      <c r="S25" s="665">
        <f>F25</f>
        <v>100</v>
      </c>
      <c r="T25" s="664" t="s">
        <v>14</v>
      </c>
      <c r="U25" s="665">
        <f>H25</f>
        <v>100</v>
      </c>
      <c r="V25" s="664" t="s">
        <v>14</v>
      </c>
      <c r="W25" s="665">
        <f>J25</f>
        <v>100</v>
      </c>
      <c r="X25" s="666"/>
      <c r="Y25" s="3368"/>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4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2"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72"/>
      <c r="Q27" s="531" t="str">
        <f t="shared" si="11"/>
        <v>成新率</v>
      </c>
      <c r="R27" s="669" t="s">
        <v>14</v>
      </c>
      <c r="S27" s="670" t="e">
        <f t="shared" si="12"/>
        <v>#N/A</v>
      </c>
      <c r="T27" s="669" t="s">
        <v>14</v>
      </c>
      <c r="U27" s="670" t="e">
        <f t="shared" si="13"/>
        <v>#N/A</v>
      </c>
      <c r="V27" s="669" t="s">
        <v>14</v>
      </c>
      <c r="W27" s="670" t="e">
        <f t="shared" si="14"/>
        <v>#N/A</v>
      </c>
      <c r="X27" s="671"/>
      <c r="Y27" s="3372"/>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72"/>
      <c r="Q28" s="1263" t="str">
        <f t="shared" si="11"/>
        <v>物业等级</v>
      </c>
      <c r="R28" s="667" t="s">
        <v>14</v>
      </c>
      <c r="S28" s="668">
        <f t="shared" si="12"/>
        <v>100</v>
      </c>
      <c r="T28" s="667" t="s">
        <v>14</v>
      </c>
      <c r="U28" s="668">
        <f t="shared" si="13"/>
        <v>100</v>
      </c>
      <c r="V28" s="667" t="s">
        <v>14</v>
      </c>
      <c r="W28" s="668">
        <f t="shared" si="14"/>
        <v>100</v>
      </c>
      <c r="X28" s="1265"/>
      <c r="Y28" s="3372"/>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72"/>
      <c r="Q29" s="1263" t="str">
        <f t="shared" si="11"/>
        <v>有无电梯</v>
      </c>
      <c r="R29" s="667" t="s">
        <v>14</v>
      </c>
      <c r="S29" s="668">
        <f t="shared" si="12"/>
        <v>100</v>
      </c>
      <c r="T29" s="667" t="s">
        <v>14</v>
      </c>
      <c r="U29" s="668">
        <f t="shared" si="13"/>
        <v>100</v>
      </c>
      <c r="V29" s="667" t="s">
        <v>14</v>
      </c>
      <c r="W29" s="668">
        <f t="shared" si="14"/>
        <v>100</v>
      </c>
      <c r="X29" s="1265"/>
      <c r="Y29" s="3372"/>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72"/>
      <c r="Q30" s="1263" t="str">
        <f t="shared" si="11"/>
        <v>建筑面积</v>
      </c>
      <c r="R30" s="667" t="s">
        <v>14</v>
      </c>
      <c r="S30" s="668" t="e">
        <f t="shared" si="12"/>
        <v>#N/A</v>
      </c>
      <c r="T30" s="667" t="s">
        <v>14</v>
      </c>
      <c r="U30" s="668" t="e">
        <f t="shared" si="13"/>
        <v>#N/A</v>
      </c>
      <c r="V30" s="667" t="s">
        <v>14</v>
      </c>
      <c r="W30" s="668" t="e">
        <f t="shared" si="14"/>
        <v>#N/A</v>
      </c>
      <c r="X30" s="1265"/>
      <c r="Y30" s="3372"/>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372"/>
      <c r="Q31" s="530" t="str">
        <f t="shared" si="11"/>
        <v>是否封闭</v>
      </c>
      <c r="R31" s="664" t="s">
        <v>14</v>
      </c>
      <c r="S31" s="665">
        <f t="shared" si="12"/>
        <v>100</v>
      </c>
      <c r="T31" s="664" t="s">
        <v>14</v>
      </c>
      <c r="U31" s="665">
        <f t="shared" si="13"/>
        <v>100</v>
      </c>
      <c r="V31" s="664" t="s">
        <v>14</v>
      </c>
      <c r="W31" s="665">
        <f t="shared" si="14"/>
        <v>100</v>
      </c>
      <c r="X31" s="666"/>
      <c r="Y31" s="337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72" t="s">
        <v>1696</v>
      </c>
      <c r="Q32" s="1263">
        <f t="shared" si="11"/>
        <v>111</v>
      </c>
      <c r="R32" s="667" t="s">
        <v>14</v>
      </c>
      <c r="S32" s="668">
        <f t="shared" si="12"/>
        <v>100</v>
      </c>
      <c r="T32" s="667" t="s">
        <v>14</v>
      </c>
      <c r="U32" s="668">
        <f t="shared" si="13"/>
        <v>100</v>
      </c>
      <c r="V32" s="667" t="s">
        <v>14</v>
      </c>
      <c r="W32" s="668">
        <f t="shared" si="14"/>
        <v>100</v>
      </c>
      <c r="X32" s="1265"/>
      <c r="Y32" s="337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72"/>
      <c r="Q33" s="1263">
        <f t="shared" si="11"/>
        <v>111</v>
      </c>
      <c r="R33" s="667" t="s">
        <v>14</v>
      </c>
      <c r="S33" s="668">
        <f t="shared" si="12"/>
        <v>100</v>
      </c>
      <c r="T33" s="667" t="s">
        <v>14</v>
      </c>
      <c r="U33" s="668">
        <f t="shared" si="13"/>
        <v>100</v>
      </c>
      <c r="V33" s="667" t="s">
        <v>14</v>
      </c>
      <c r="W33" s="668">
        <f t="shared" si="14"/>
        <v>100</v>
      </c>
      <c r="X33" s="1265"/>
      <c r="Y33" s="3372"/>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372"/>
      <c r="Q34" s="1263">
        <f t="shared" si="11"/>
        <v>111</v>
      </c>
      <c r="R34" s="667" t="s">
        <v>14</v>
      </c>
      <c r="S34" s="668">
        <f t="shared" si="12"/>
        <v>100</v>
      </c>
      <c r="T34" s="667" t="s">
        <v>14</v>
      </c>
      <c r="U34" s="668">
        <f t="shared" si="13"/>
        <v>100</v>
      </c>
      <c r="V34" s="667" t="s">
        <v>14</v>
      </c>
      <c r="W34" s="668">
        <f t="shared" si="14"/>
        <v>100</v>
      </c>
      <c r="X34" s="1265"/>
      <c r="Y34" s="3372"/>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360" t="str">
        <f>A35</f>
        <v>成交单价（元/平方米）</v>
      </c>
      <c r="Q35" s="3360"/>
      <c r="R35" s="3361">
        <f>E35</f>
        <v>0</v>
      </c>
      <c r="S35" s="3361"/>
      <c r="T35" s="3361">
        <f>G35</f>
        <v>0</v>
      </c>
      <c r="U35" s="3361"/>
      <c r="V35" s="3361">
        <f>I35</f>
        <v>0</v>
      </c>
      <c r="W35" s="3361"/>
      <c r="X35" s="385"/>
      <c r="Y35" s="673"/>
      <c r="Z35" s="385"/>
      <c r="AA35" s="385"/>
      <c r="AB35" s="385"/>
      <c r="AC35" s="385"/>
    </row>
    <row r="36" spans="1:30" ht="15" thickBot="1">
      <c r="A36" s="423" t="s">
        <v>1793</v>
      </c>
      <c r="B36" s="424"/>
      <c r="C36" s="1082" t="e">
        <f>R37</f>
        <v>#DIV/0!</v>
      </c>
      <c r="D36" s="2140" t="s">
        <v>2138</v>
      </c>
      <c r="E36" s="1083" t="e">
        <f>R36</f>
        <v>#DIV/0!</v>
      </c>
      <c r="F36" s="2141"/>
      <c r="G36" s="1082" t="e">
        <f>T36</f>
        <v>#DIV/0!</v>
      </c>
      <c r="H36" s="2141"/>
      <c r="I36" s="1083" t="e">
        <f>V36</f>
        <v>#DIV/0!</v>
      </c>
      <c r="J36" s="2141"/>
      <c r="K36" s="2143">
        <f>F36+H36+J36</f>
        <v>0</v>
      </c>
      <c r="L36" s="2492"/>
      <c r="M36" s="2485"/>
      <c r="N36" s="2485"/>
      <c r="O36" s="2485"/>
      <c r="P36" s="3360" t="str">
        <f>A36</f>
        <v>比较价值（元/平方米）</v>
      </c>
      <c r="Q36" s="3360"/>
      <c r="R36" s="3361" t="e">
        <f>IF(F1="售价",ROUND(PRODUCT(R35,AA7:AA34),0),ROUND(PRODUCT(R35,AA7:AA34),1))</f>
        <v>#DIV/0!</v>
      </c>
      <c r="S36" s="3361"/>
      <c r="T36" s="3361" t="e">
        <f>IF(F1="售价",ROUND(PRODUCT(T35,AB7:AB34),0),ROUND(PRODUCT(T35,AB7:AB34),1))</f>
        <v>#DIV/0!</v>
      </c>
      <c r="U36" s="3361"/>
      <c r="V36" s="3361" t="e">
        <f>IF(F1="售价",ROUND(PRODUCT(V35,AC7:AC34),0),ROUND(PRODUCT(V35,AC7:AC34),1))</f>
        <v>#DIV/0!</v>
      </c>
      <c r="W36" s="3361"/>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433" t="str">
        <f>A37</f>
        <v>估价对象XX用房的比较价值（楼面单价，元/平方米）</v>
      </c>
      <c r="Q37" s="3434"/>
      <c r="R37" s="3447" t="e">
        <f>IF(F1="售价",ROUND(IF(D36="简单平均",AVERAGE(R36:W36),R36*F36+T36*H36+V36*J36),0),ROUND(IF(D36="简单平均",AVERAGE(R36:V36),R36*F36+T36*H36+V36*J36),1))</f>
        <v>#DIV/0!</v>
      </c>
      <c r="S37" s="3447"/>
      <c r="T37" s="3447"/>
      <c r="U37" s="3447"/>
      <c r="V37" s="3447"/>
      <c r="W37" s="3447"/>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2025-6</v>
      </c>
      <c r="D46" s="1104">
        <f>EDATE(C46,-1)</f>
        <v>45778</v>
      </c>
      <c r="E46" s="1104">
        <f t="shared" ref="E46:O46" si="16">EDATE(D46,-1)</f>
        <v>45748</v>
      </c>
      <c r="F46" s="1104">
        <f t="shared" si="16"/>
        <v>45717</v>
      </c>
      <c r="G46" s="1104">
        <f t="shared" si="16"/>
        <v>45689</v>
      </c>
      <c r="H46" s="1104">
        <f t="shared" si="16"/>
        <v>45658</v>
      </c>
      <c r="I46" s="1104">
        <f t="shared" si="16"/>
        <v>45627</v>
      </c>
      <c r="J46" s="1104">
        <f t="shared" si="16"/>
        <v>45597</v>
      </c>
      <c r="K46" s="1104">
        <f t="shared" si="16"/>
        <v>45566</v>
      </c>
      <c r="L46" s="1104">
        <f t="shared" si="16"/>
        <v>45536</v>
      </c>
      <c r="M46" s="1104">
        <f t="shared" si="16"/>
        <v>45505</v>
      </c>
      <c r="N46" s="1104">
        <f t="shared" si="16"/>
        <v>45474</v>
      </c>
      <c r="O46" s="1104">
        <f t="shared" si="16"/>
        <v>45444</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77" t="s">
        <v>1770</v>
      </c>
      <c r="D4" s="3378"/>
      <c r="E4" s="3379" t="s">
        <v>1771</v>
      </c>
      <c r="F4" s="3380"/>
      <c r="G4" s="3377" t="s">
        <v>1772</v>
      </c>
      <c r="H4" s="3378"/>
      <c r="I4" s="3377" t="s">
        <v>1773</v>
      </c>
      <c r="J4" s="3378"/>
      <c r="K4" s="537" t="s">
        <v>1774</v>
      </c>
      <c r="L4" s="2484"/>
      <c r="M4" s="2485"/>
      <c r="N4" s="2485"/>
      <c r="O4" s="2485"/>
      <c r="P4" s="3437" t="s">
        <v>1775</v>
      </c>
      <c r="Q4" s="3438"/>
      <c r="R4" s="3441" t="s">
        <v>1771</v>
      </c>
      <c r="S4" s="3442"/>
      <c r="T4" s="3441" t="s">
        <v>1772</v>
      </c>
      <c r="U4" s="3442"/>
      <c r="V4" s="3361" t="s">
        <v>1773</v>
      </c>
      <c r="W4" s="3361"/>
      <c r="X4" s="1265"/>
      <c r="Y4" s="3441" t="s">
        <v>1775</v>
      </c>
      <c r="Z4" s="3442"/>
      <c r="AA4" s="3436" t="s">
        <v>1771</v>
      </c>
      <c r="AB4" s="3405" t="s">
        <v>1772</v>
      </c>
      <c r="AC4" s="3436" t="s">
        <v>1773</v>
      </c>
    </row>
    <row r="5" spans="1:29">
      <c r="A5" s="348"/>
      <c r="B5" s="349"/>
      <c r="C5" s="3443" t="s">
        <v>1673</v>
      </c>
      <c r="D5" s="3397"/>
      <c r="E5" s="3444" t="s">
        <v>1674</v>
      </c>
      <c r="F5" s="3445"/>
      <c r="G5" s="3443" t="s">
        <v>1675</v>
      </c>
      <c r="H5" s="3397"/>
      <c r="I5" s="3443" t="s">
        <v>1676</v>
      </c>
      <c r="J5" s="3397"/>
      <c r="K5" s="537"/>
      <c r="L5" s="2484"/>
      <c r="M5" s="2485"/>
      <c r="N5" s="2485"/>
      <c r="O5" s="2485"/>
      <c r="P5" s="3439"/>
      <c r="Q5" s="3384"/>
      <c r="R5" s="3389"/>
      <c r="S5" s="3390"/>
      <c r="T5" s="3389"/>
      <c r="U5" s="3390"/>
      <c r="V5" s="3361"/>
      <c r="W5" s="3361"/>
      <c r="X5" s="1265"/>
      <c r="Y5" s="3389"/>
      <c r="Z5" s="3390"/>
      <c r="AA5" s="3405"/>
      <c r="AB5" s="3405"/>
      <c r="AC5" s="3405"/>
    </row>
    <row r="6" spans="1:29" ht="15" thickBot="1">
      <c r="A6" s="350"/>
      <c r="B6" s="351"/>
      <c r="C6" s="3394" t="s">
        <v>1677</v>
      </c>
      <c r="D6" s="3395"/>
      <c r="E6" s="3402" t="s">
        <v>1677</v>
      </c>
      <c r="F6" s="3403"/>
      <c r="G6" s="3394" t="s">
        <v>1677</v>
      </c>
      <c r="H6" s="3395"/>
      <c r="I6" s="3394" t="s">
        <v>1677</v>
      </c>
      <c r="J6" s="3395"/>
      <c r="K6" s="537" t="s">
        <v>1678</v>
      </c>
      <c r="L6" s="2484"/>
      <c r="M6" s="2485"/>
      <c r="N6" s="2485"/>
      <c r="O6" s="2485"/>
      <c r="P6" s="3440"/>
      <c r="Q6" s="3386"/>
      <c r="R6" s="3389"/>
      <c r="S6" s="3390"/>
      <c r="T6" s="3391"/>
      <c r="U6" s="3392"/>
      <c r="V6" s="3361"/>
      <c r="W6" s="3361"/>
      <c r="X6" s="1265"/>
      <c r="Y6" s="3391"/>
      <c r="Z6" s="3392"/>
      <c r="AA6" s="3406"/>
      <c r="AB6" s="3406"/>
      <c r="AC6" s="3406"/>
    </row>
    <row r="7" spans="1:29" s="102" customFormat="1" ht="15" thickBot="1">
      <c r="A7" s="352" t="s">
        <v>1679</v>
      </c>
      <c r="B7" s="353"/>
      <c r="C7" s="354">
        <f>'数据-取费表'!B2</f>
        <v>45814</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00" t="s">
        <v>1680</v>
      </c>
      <c r="Q7" s="3401"/>
      <c r="R7" s="664" t="s">
        <v>14</v>
      </c>
      <c r="S7" s="665">
        <f t="shared" ref="S7:S15" si="0">F7</f>
        <v>0</v>
      </c>
      <c r="T7" s="664" t="s">
        <v>14</v>
      </c>
      <c r="U7" s="665">
        <f t="shared" ref="U7:U15" si="1">H7</f>
        <v>0</v>
      </c>
      <c r="V7" s="664" t="s">
        <v>14</v>
      </c>
      <c r="W7" s="665">
        <f t="shared" ref="W7:W15" si="2">J7</f>
        <v>0</v>
      </c>
      <c r="X7" s="666"/>
      <c r="Y7" s="3400" t="s">
        <v>1680</v>
      </c>
      <c r="Z7" s="3399"/>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00" t="s">
        <v>1683</v>
      </c>
      <c r="Q8" s="3399"/>
      <c r="R8" s="664" t="s">
        <v>14</v>
      </c>
      <c r="S8" s="665">
        <f t="shared" si="0"/>
        <v>0</v>
      </c>
      <c r="T8" s="664" t="s">
        <v>14</v>
      </c>
      <c r="U8" s="665">
        <f t="shared" si="1"/>
        <v>0</v>
      </c>
      <c r="V8" s="664" t="s">
        <v>14</v>
      </c>
      <c r="W8" s="665">
        <f t="shared" si="2"/>
        <v>0</v>
      </c>
      <c r="X8" s="666"/>
      <c r="Y8" s="3400" t="s">
        <v>1683</v>
      </c>
      <c r="Z8" s="3399"/>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360" t="s">
        <v>1686</v>
      </c>
      <c r="Q9" s="530" t="str">
        <f t="shared" ref="Q9:Q15" si="6">B9</f>
        <v>用途</v>
      </c>
      <c r="R9" s="664" t="s">
        <v>14</v>
      </c>
      <c r="S9" s="665">
        <f t="shared" si="0"/>
        <v>100</v>
      </c>
      <c r="T9" s="664" t="s">
        <v>14</v>
      </c>
      <c r="U9" s="665">
        <f t="shared" si="1"/>
        <v>100</v>
      </c>
      <c r="V9" s="664" t="s">
        <v>14</v>
      </c>
      <c r="W9" s="665">
        <f t="shared" si="2"/>
        <v>100</v>
      </c>
      <c r="X9" s="666"/>
      <c r="Y9" s="3263"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111</v>
      </c>
      <c r="G10" s="402"/>
      <c r="H10" s="119">
        <f>ROUND(100/'数据-取费表'!G16,0)</f>
        <v>111</v>
      </c>
      <c r="I10" s="402"/>
      <c r="J10" s="119">
        <f>ROUND(100/'数据-取费表'!G16,0)</f>
        <v>111</v>
      </c>
      <c r="K10" s="592"/>
      <c r="L10" s="2487"/>
      <c r="M10" s="2488"/>
      <c r="N10" s="2488"/>
      <c r="O10" s="2539"/>
      <c r="P10" s="3360"/>
      <c r="Q10" s="530" t="str">
        <f t="shared" si="6"/>
        <v>土地使用年限（年）</v>
      </c>
      <c r="R10" s="664" t="s">
        <v>14</v>
      </c>
      <c r="S10" s="665">
        <f t="shared" si="0"/>
        <v>111</v>
      </c>
      <c r="T10" s="664" t="s">
        <v>14</v>
      </c>
      <c r="U10" s="665">
        <f t="shared" si="1"/>
        <v>111</v>
      </c>
      <c r="V10" s="664" t="s">
        <v>14</v>
      </c>
      <c r="W10" s="665">
        <f t="shared" si="2"/>
        <v>111</v>
      </c>
      <c r="X10" s="666"/>
      <c r="Y10" s="3263"/>
      <c r="Z10" s="50" t="str">
        <f t="shared" si="7"/>
        <v>土地使用年限（年）</v>
      </c>
      <c r="AA10" s="50">
        <f t="shared" si="3"/>
        <v>0.90090090090090091</v>
      </c>
      <c r="AB10" s="50">
        <f t="shared" si="4"/>
        <v>0.90090090090090091</v>
      </c>
      <c r="AC10" s="50">
        <f t="shared" si="5"/>
        <v>0.90090090090090091</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60"/>
      <c r="Q11" s="530" t="str">
        <f t="shared" si="6"/>
        <v>容积率</v>
      </c>
      <c r="R11" s="664" t="s">
        <v>14</v>
      </c>
      <c r="S11" s="665" t="e">
        <f t="shared" si="0"/>
        <v>#N/A</v>
      </c>
      <c r="T11" s="664" t="s">
        <v>14</v>
      </c>
      <c r="U11" s="665" t="e">
        <f t="shared" si="1"/>
        <v>#N/A</v>
      </c>
      <c r="V11" s="664" t="s">
        <v>14</v>
      </c>
      <c r="W11" s="665" t="e">
        <f t="shared" si="2"/>
        <v>#N/A</v>
      </c>
      <c r="X11" s="666"/>
      <c r="Y11" s="326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360"/>
      <c r="Q12" s="530" t="str">
        <f t="shared" si="6"/>
        <v>配建</v>
      </c>
      <c r="R12" s="664" t="s">
        <v>14</v>
      </c>
      <c r="S12" s="665">
        <f t="shared" si="0"/>
        <v>100</v>
      </c>
      <c r="T12" s="664" t="s">
        <v>14</v>
      </c>
      <c r="U12" s="665">
        <f t="shared" si="1"/>
        <v>100</v>
      </c>
      <c r="V12" s="664" t="s">
        <v>14</v>
      </c>
      <c r="W12" s="665">
        <f t="shared" si="2"/>
        <v>100</v>
      </c>
      <c r="X12" s="666"/>
      <c r="Y12" s="326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60"/>
      <c r="Q13" s="530">
        <f t="shared" si="6"/>
        <v>111</v>
      </c>
      <c r="R13" s="664" t="s">
        <v>14</v>
      </c>
      <c r="S13" s="665">
        <f t="shared" si="0"/>
        <v>100</v>
      </c>
      <c r="T13" s="664" t="s">
        <v>14</v>
      </c>
      <c r="U13" s="665">
        <f t="shared" si="1"/>
        <v>100</v>
      </c>
      <c r="V13" s="664" t="s">
        <v>14</v>
      </c>
      <c r="W13" s="665">
        <f t="shared" si="2"/>
        <v>100</v>
      </c>
      <c r="X13" s="666"/>
      <c r="Y13" s="3263"/>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60"/>
      <c r="Q14" s="530">
        <f t="shared" si="6"/>
        <v>111</v>
      </c>
      <c r="R14" s="664" t="s">
        <v>14</v>
      </c>
      <c r="S14" s="665">
        <f t="shared" si="0"/>
        <v>100</v>
      </c>
      <c r="T14" s="664" t="s">
        <v>14</v>
      </c>
      <c r="U14" s="665">
        <f t="shared" si="1"/>
        <v>100</v>
      </c>
      <c r="V14" s="664" t="s">
        <v>14</v>
      </c>
      <c r="W14" s="665">
        <f t="shared" si="2"/>
        <v>100</v>
      </c>
      <c r="X14" s="666"/>
      <c r="Y14" s="3263"/>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67" t="s">
        <v>1691</v>
      </c>
      <c r="Q15" s="1263" t="str">
        <f t="shared" si="6"/>
        <v>居住社区成熟度</v>
      </c>
      <c r="R15" s="667" t="s">
        <v>14</v>
      </c>
      <c r="S15" s="668">
        <f t="shared" si="0"/>
        <v>100</v>
      </c>
      <c r="T15" s="667" t="s">
        <v>14</v>
      </c>
      <c r="U15" s="668">
        <f t="shared" si="1"/>
        <v>100</v>
      </c>
      <c r="V15" s="667" t="s">
        <v>14</v>
      </c>
      <c r="W15" s="668">
        <f t="shared" si="2"/>
        <v>100</v>
      </c>
      <c r="X15" s="1265"/>
      <c r="Y15" s="3367"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368"/>
      <c r="Q16" s="1263"/>
      <c r="R16" s="667"/>
      <c r="S16" s="668"/>
      <c r="T16" s="667"/>
      <c r="U16" s="668"/>
      <c r="V16" s="667"/>
      <c r="W16" s="668"/>
      <c r="X16" s="1265"/>
      <c r="Y16" s="3368"/>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68"/>
      <c r="Q17" s="1263" t="str">
        <f>B17</f>
        <v>商业繁华度</v>
      </c>
      <c r="R17" s="667" t="s">
        <v>14</v>
      </c>
      <c r="S17" s="668">
        <f>F17</f>
        <v>100</v>
      </c>
      <c r="T17" s="667" t="s">
        <v>14</v>
      </c>
      <c r="U17" s="668">
        <f>H17</f>
        <v>100</v>
      </c>
      <c r="V17" s="667" t="s">
        <v>14</v>
      </c>
      <c r="W17" s="668">
        <f>J17</f>
        <v>100</v>
      </c>
      <c r="X17" s="1265"/>
      <c r="Y17" s="3368"/>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368"/>
      <c r="Q18" s="1263"/>
      <c r="R18" s="667"/>
      <c r="S18" s="668"/>
      <c r="T18" s="667"/>
      <c r="U18" s="668"/>
      <c r="V18" s="667"/>
      <c r="W18" s="668"/>
      <c r="X18" s="1265"/>
      <c r="Y18" s="3368"/>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68"/>
      <c r="Q19" s="1263" t="str">
        <f>B19</f>
        <v>办公集聚程度</v>
      </c>
      <c r="R19" s="667" t="s">
        <v>14</v>
      </c>
      <c r="S19" s="668">
        <f>F19</f>
        <v>100</v>
      </c>
      <c r="T19" s="667" t="s">
        <v>14</v>
      </c>
      <c r="U19" s="668">
        <f>H19</f>
        <v>100</v>
      </c>
      <c r="V19" s="667" t="s">
        <v>14</v>
      </c>
      <c r="W19" s="668">
        <f>J19</f>
        <v>100</v>
      </c>
      <c r="X19" s="1265"/>
      <c r="Y19" s="3368"/>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368"/>
      <c r="Q20" s="1263"/>
      <c r="R20" s="667"/>
      <c r="S20" s="668"/>
      <c r="T20" s="667"/>
      <c r="U20" s="668"/>
      <c r="V20" s="667"/>
      <c r="W20" s="668"/>
      <c r="X20" s="1265"/>
      <c r="Y20" s="3368"/>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68"/>
      <c r="Q21" s="1263" t="str">
        <f>B21</f>
        <v>交通便捷度</v>
      </c>
      <c r="R21" s="667" t="s">
        <v>14</v>
      </c>
      <c r="S21" s="668">
        <f>F21</f>
        <v>100</v>
      </c>
      <c r="T21" s="667" t="s">
        <v>14</v>
      </c>
      <c r="U21" s="668">
        <f>H21</f>
        <v>100</v>
      </c>
      <c r="V21" s="667" t="s">
        <v>14</v>
      </c>
      <c r="W21" s="668">
        <f>J21</f>
        <v>100</v>
      </c>
      <c r="X21" s="1265"/>
      <c r="Y21" s="3368"/>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368"/>
      <c r="Q22" s="1263"/>
      <c r="R22" s="667"/>
      <c r="S22" s="668"/>
      <c r="T22" s="667"/>
      <c r="U22" s="668"/>
      <c r="V22" s="667"/>
      <c r="W22" s="668"/>
      <c r="X22" s="1265"/>
      <c r="Y22" s="3368"/>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68"/>
      <c r="Q23" s="1263" t="str">
        <f t="shared" ref="Q23:Q37" si="8">B23</f>
        <v>区域土地利用方向</v>
      </c>
      <c r="R23" s="667" t="s">
        <v>14</v>
      </c>
      <c r="S23" s="668">
        <f>F23</f>
        <v>100</v>
      </c>
      <c r="T23" s="667" t="s">
        <v>14</v>
      </c>
      <c r="U23" s="668">
        <f>H23</f>
        <v>100</v>
      </c>
      <c r="V23" s="667" t="s">
        <v>14</v>
      </c>
      <c r="W23" s="668">
        <f>J23</f>
        <v>100</v>
      </c>
      <c r="X23" s="1265"/>
      <c r="Y23" s="3368"/>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368"/>
      <c r="Q24" s="1263"/>
      <c r="R24" s="667"/>
      <c r="S24" s="668"/>
      <c r="T24" s="667"/>
      <c r="U24" s="668"/>
      <c r="V24" s="667"/>
      <c r="W24" s="668"/>
      <c r="X24" s="1265"/>
      <c r="Y24" s="3368"/>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68"/>
      <c r="Q25" s="1263" t="str">
        <f t="shared" si="8"/>
        <v>自然及人文环境状况</v>
      </c>
      <c r="R25" s="667" t="s">
        <v>14</v>
      </c>
      <c r="S25" s="668">
        <f>F25</f>
        <v>100</v>
      </c>
      <c r="T25" s="667" t="s">
        <v>14</v>
      </c>
      <c r="U25" s="668">
        <f>H25</f>
        <v>100</v>
      </c>
      <c r="V25" s="667" t="s">
        <v>14</v>
      </c>
      <c r="W25" s="668">
        <f>J25</f>
        <v>100</v>
      </c>
      <c r="X25" s="1265"/>
      <c r="Y25" s="3368"/>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368"/>
      <c r="Q26" s="1263"/>
      <c r="R26" s="667"/>
      <c r="S26" s="668"/>
      <c r="T26" s="667"/>
      <c r="U26" s="668"/>
      <c r="V26" s="667"/>
      <c r="W26" s="668"/>
      <c r="X26" s="1265"/>
      <c r="Y26" s="3368"/>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368"/>
      <c r="Q27" s="530" t="str">
        <f t="shared" si="8"/>
        <v>公共配套设施</v>
      </c>
      <c r="R27" s="664" t="s">
        <v>14</v>
      </c>
      <c r="S27" s="665">
        <f>F27</f>
        <v>100</v>
      </c>
      <c r="T27" s="664" t="s">
        <v>14</v>
      </c>
      <c r="U27" s="665">
        <f>H27</f>
        <v>100</v>
      </c>
      <c r="V27" s="664" t="s">
        <v>14</v>
      </c>
      <c r="W27" s="665">
        <f>J27</f>
        <v>100</v>
      </c>
      <c r="X27" s="666"/>
      <c r="Y27" s="3368"/>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368"/>
      <c r="Q28" s="530"/>
      <c r="R28" s="664"/>
      <c r="S28" s="665"/>
      <c r="T28" s="664"/>
      <c r="U28" s="665"/>
      <c r="V28" s="664"/>
      <c r="W28" s="665"/>
      <c r="X28" s="666"/>
      <c r="Y28" s="3368"/>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368"/>
      <c r="Q29" s="530" t="str">
        <f t="shared" ref="Q29" si="9">B29</f>
        <v>基础设施水平</v>
      </c>
      <c r="R29" s="664" t="s">
        <v>14</v>
      </c>
      <c r="S29" s="665">
        <f>F29</f>
        <v>100</v>
      </c>
      <c r="T29" s="664" t="s">
        <v>14</v>
      </c>
      <c r="U29" s="665">
        <f>H29</f>
        <v>100</v>
      </c>
      <c r="V29" s="664" t="s">
        <v>14</v>
      </c>
      <c r="W29" s="665">
        <f>J29</f>
        <v>100</v>
      </c>
      <c r="X29" s="666"/>
      <c r="Y29" s="3368"/>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368"/>
      <c r="Q30" s="530"/>
      <c r="R30" s="664"/>
      <c r="S30" s="665"/>
      <c r="T30" s="664"/>
      <c r="U30" s="665"/>
      <c r="V30" s="664"/>
      <c r="W30" s="665"/>
      <c r="X30" s="666"/>
      <c r="Y30" s="336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6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68"/>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68"/>
      <c r="Q32" s="1263" t="str">
        <f t="shared" si="8"/>
        <v>毗邻道路的类型与等级</v>
      </c>
      <c r="R32" s="667" t="s">
        <v>14</v>
      </c>
      <c r="S32" s="668">
        <f t="shared" si="10"/>
        <v>100</v>
      </c>
      <c r="T32" s="667" t="s">
        <v>14</v>
      </c>
      <c r="U32" s="668">
        <f t="shared" si="11"/>
        <v>100</v>
      </c>
      <c r="V32" s="667" t="s">
        <v>14</v>
      </c>
      <c r="W32" s="668">
        <f t="shared" si="12"/>
        <v>100</v>
      </c>
      <c r="X32" s="1265"/>
      <c r="Y32" s="3368"/>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368"/>
      <c r="Q33" s="1263"/>
      <c r="R33" s="667"/>
      <c r="S33" s="668"/>
      <c r="T33" s="667"/>
      <c r="U33" s="668"/>
      <c r="V33" s="667"/>
      <c r="W33" s="668"/>
      <c r="X33" s="1265"/>
      <c r="Y33" s="336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68"/>
      <c r="Q34" s="1263" t="str">
        <f t="shared" si="8"/>
        <v>土地级别</v>
      </c>
      <c r="R34" s="667" t="s">
        <v>14</v>
      </c>
      <c r="S34" s="668">
        <f t="shared" si="10"/>
        <v>100</v>
      </c>
      <c r="T34" s="667" t="s">
        <v>14</v>
      </c>
      <c r="U34" s="668">
        <f t="shared" si="11"/>
        <v>100</v>
      </c>
      <c r="V34" s="667" t="s">
        <v>14</v>
      </c>
      <c r="W34" s="668">
        <f t="shared" si="12"/>
        <v>100</v>
      </c>
      <c r="X34" s="1265"/>
      <c r="Y34" s="336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68"/>
      <c r="Q35" s="1263">
        <f t="shared" si="8"/>
        <v>111</v>
      </c>
      <c r="R35" s="667" t="s">
        <v>14</v>
      </c>
      <c r="S35" s="668">
        <f t="shared" si="10"/>
        <v>100</v>
      </c>
      <c r="T35" s="667" t="s">
        <v>14</v>
      </c>
      <c r="U35" s="668">
        <f t="shared" si="11"/>
        <v>100</v>
      </c>
      <c r="V35" s="667" t="s">
        <v>14</v>
      </c>
      <c r="W35" s="668">
        <f t="shared" si="12"/>
        <v>100</v>
      </c>
      <c r="X35" s="1265"/>
      <c r="Y35" s="336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46" t="s">
        <v>1696</v>
      </c>
      <c r="Q36" s="1263">
        <f t="shared" si="8"/>
        <v>111</v>
      </c>
      <c r="R36" s="667" t="s">
        <v>14</v>
      </c>
      <c r="S36" s="668">
        <f t="shared" si="10"/>
        <v>100</v>
      </c>
      <c r="T36" s="667" t="s">
        <v>14</v>
      </c>
      <c r="U36" s="668">
        <f t="shared" si="11"/>
        <v>100</v>
      </c>
      <c r="V36" s="667" t="s">
        <v>14</v>
      </c>
      <c r="W36" s="668">
        <f t="shared" si="12"/>
        <v>100</v>
      </c>
      <c r="X36" s="1265"/>
      <c r="Y36" s="3372"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72"/>
      <c r="Q37" s="1263">
        <f t="shared" si="8"/>
        <v>111</v>
      </c>
      <c r="R37" s="669" t="s">
        <v>14</v>
      </c>
      <c r="S37" s="670">
        <f t="shared" si="10"/>
        <v>100</v>
      </c>
      <c r="T37" s="669" t="s">
        <v>14</v>
      </c>
      <c r="U37" s="670">
        <f t="shared" si="11"/>
        <v>100</v>
      </c>
      <c r="V37" s="669" t="s">
        <v>14</v>
      </c>
      <c r="W37" s="670">
        <f t="shared" si="12"/>
        <v>100</v>
      </c>
      <c r="X37" s="671"/>
      <c r="Y37" s="3372"/>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372"/>
      <c r="Q38" s="1263" t="str">
        <f>B38</f>
        <v>宗地面积</v>
      </c>
      <c r="R38" s="667" t="s">
        <v>14</v>
      </c>
      <c r="S38" s="668" t="e">
        <f t="shared" si="10"/>
        <v>#N/A</v>
      </c>
      <c r="T38" s="667" t="s">
        <v>14</v>
      </c>
      <c r="U38" s="668" t="e">
        <f t="shared" si="11"/>
        <v>#N/A</v>
      </c>
      <c r="V38" s="667" t="s">
        <v>14</v>
      </c>
      <c r="W38" s="668" t="e">
        <f t="shared" si="12"/>
        <v>#N/A</v>
      </c>
      <c r="X38" s="1265"/>
      <c r="Y38" s="3372"/>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372"/>
      <c r="Q39" s="1263" t="str">
        <f t="shared" ref="Q39:Q45" si="14">B39</f>
        <v>宗地形状</v>
      </c>
      <c r="R39" s="667" t="s">
        <v>14</v>
      </c>
      <c r="S39" s="668">
        <f t="shared" si="10"/>
        <v>100</v>
      </c>
      <c r="T39" s="667" t="s">
        <v>14</v>
      </c>
      <c r="U39" s="668">
        <f t="shared" si="11"/>
        <v>100</v>
      </c>
      <c r="V39" s="667" t="s">
        <v>14</v>
      </c>
      <c r="W39" s="668">
        <f t="shared" si="12"/>
        <v>100</v>
      </c>
      <c r="X39" s="1265"/>
      <c r="Y39" s="3372"/>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372"/>
      <c r="Q40" s="1263" t="str">
        <f t="shared" si="14"/>
        <v>临街宽度及深度</v>
      </c>
      <c r="R40" s="667" t="s">
        <v>14</v>
      </c>
      <c r="S40" s="668">
        <f t="shared" si="10"/>
        <v>100</v>
      </c>
      <c r="T40" s="667" t="s">
        <v>14</v>
      </c>
      <c r="U40" s="668">
        <f t="shared" si="11"/>
        <v>100</v>
      </c>
      <c r="V40" s="667" t="s">
        <v>14</v>
      </c>
      <c r="W40" s="668">
        <f t="shared" si="12"/>
        <v>100</v>
      </c>
      <c r="X40" s="1265"/>
      <c r="Y40" s="3372"/>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372"/>
      <c r="Q41" s="1263" t="str">
        <f t="shared" si="14"/>
        <v>宗地开发程度</v>
      </c>
      <c r="R41" s="664" t="s">
        <v>14</v>
      </c>
      <c r="S41" s="665">
        <f t="shared" si="10"/>
        <v>100</v>
      </c>
      <c r="T41" s="664" t="s">
        <v>14</v>
      </c>
      <c r="U41" s="665">
        <f t="shared" si="11"/>
        <v>100</v>
      </c>
      <c r="V41" s="664" t="s">
        <v>14</v>
      </c>
      <c r="W41" s="665">
        <f t="shared" si="12"/>
        <v>100</v>
      </c>
      <c r="X41" s="666"/>
      <c r="Y41" s="3372"/>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372" t="s">
        <v>1696</v>
      </c>
      <c r="Q42" s="1263" t="str">
        <f t="shared" si="14"/>
        <v>工程地质条件</v>
      </c>
      <c r="R42" s="667" t="s">
        <v>14</v>
      </c>
      <c r="S42" s="668">
        <f t="shared" si="10"/>
        <v>100</v>
      </c>
      <c r="T42" s="667" t="s">
        <v>14</v>
      </c>
      <c r="U42" s="668">
        <f t="shared" si="11"/>
        <v>100</v>
      </c>
      <c r="V42" s="667" t="s">
        <v>14</v>
      </c>
      <c r="W42" s="668">
        <f t="shared" si="12"/>
        <v>100</v>
      </c>
      <c r="X42" s="1265"/>
      <c r="Y42" s="337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72"/>
      <c r="Q43" s="1263">
        <f t="shared" si="14"/>
        <v>111</v>
      </c>
      <c r="R43" s="667" t="s">
        <v>14</v>
      </c>
      <c r="S43" s="668">
        <f t="shared" si="10"/>
        <v>100</v>
      </c>
      <c r="T43" s="667" t="s">
        <v>14</v>
      </c>
      <c r="U43" s="668">
        <f t="shared" si="11"/>
        <v>100</v>
      </c>
      <c r="V43" s="667" t="s">
        <v>14</v>
      </c>
      <c r="W43" s="668">
        <f t="shared" si="12"/>
        <v>100</v>
      </c>
      <c r="X43" s="1265"/>
      <c r="Y43" s="337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72"/>
      <c r="Q44" s="1263">
        <f t="shared" si="14"/>
        <v>111</v>
      </c>
      <c r="R44" s="667" t="s">
        <v>14</v>
      </c>
      <c r="S44" s="668">
        <f t="shared" si="10"/>
        <v>100</v>
      </c>
      <c r="T44" s="667" t="s">
        <v>14</v>
      </c>
      <c r="U44" s="668">
        <f t="shared" si="11"/>
        <v>100</v>
      </c>
      <c r="V44" s="667" t="s">
        <v>14</v>
      </c>
      <c r="W44" s="668">
        <f t="shared" si="12"/>
        <v>100</v>
      </c>
      <c r="X44" s="1265"/>
      <c r="Y44" s="3372"/>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72"/>
      <c r="Q45" s="1263">
        <f t="shared" si="14"/>
        <v>111</v>
      </c>
      <c r="R45" s="669" t="s">
        <v>14</v>
      </c>
      <c r="S45" s="670">
        <f t="shared" si="10"/>
        <v>100</v>
      </c>
      <c r="T45" s="669" t="s">
        <v>14</v>
      </c>
      <c r="U45" s="670">
        <f t="shared" si="11"/>
        <v>100</v>
      </c>
      <c r="V45" s="669" t="s">
        <v>14</v>
      </c>
      <c r="W45" s="670">
        <f t="shared" si="12"/>
        <v>100</v>
      </c>
      <c r="X45" s="671"/>
      <c r="Y45" s="3372"/>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360" t="str">
        <f>A46</f>
        <v>成交单价</v>
      </c>
      <c r="Q46" s="3360"/>
      <c r="R46" s="3361">
        <f>E46</f>
        <v>0</v>
      </c>
      <c r="S46" s="3361"/>
      <c r="T46" s="3361">
        <f>G46</f>
        <v>0</v>
      </c>
      <c r="U46" s="3361"/>
      <c r="V46" s="3361">
        <f>I46</f>
        <v>0</v>
      </c>
      <c r="W46" s="3361"/>
      <c r="X46" s="385"/>
      <c r="Y46" s="673"/>
      <c r="Z46" s="385"/>
      <c r="AA46" s="385"/>
      <c r="AB46" s="385"/>
      <c r="AC46" s="385"/>
    </row>
    <row r="47" spans="1:29" ht="15" thickBot="1">
      <c r="A47" s="423" t="s">
        <v>1793</v>
      </c>
      <c r="B47" s="603"/>
      <c r="C47" s="426" t="e">
        <f>R48</f>
        <v>#DIV/0!</v>
      </c>
      <c r="D47" s="2140" t="s">
        <v>2138</v>
      </c>
      <c r="E47" s="426" t="e">
        <f>R47</f>
        <v>#DIV/0!</v>
      </c>
      <c r="F47" s="2141"/>
      <c r="G47" s="425" t="e">
        <f>T47</f>
        <v>#DIV/0!</v>
      </c>
      <c r="H47" s="2141"/>
      <c r="I47" s="426" t="e">
        <f>V47</f>
        <v>#DIV/0!</v>
      </c>
      <c r="J47" s="2141"/>
      <c r="K47" s="2143">
        <f>F47+H47+J47</f>
        <v>0</v>
      </c>
      <c r="L47" s="2492"/>
      <c r="M47" s="2485"/>
      <c r="N47" s="2485"/>
      <c r="O47" s="2485"/>
      <c r="P47" s="3360" t="str">
        <f>A47</f>
        <v>比较价值（元/平方米）</v>
      </c>
      <c r="Q47" s="3360"/>
      <c r="R47" s="3448" t="e">
        <f>ROUND(PRODUCT(R46,AA7:AA45),0)</f>
        <v>#DIV/0!</v>
      </c>
      <c r="S47" s="3448"/>
      <c r="T47" s="3448" t="e">
        <f>ROUND(PRODUCT(T46,AB7:AB45),0)</f>
        <v>#DIV/0!</v>
      </c>
      <c r="U47" s="3448"/>
      <c r="V47" s="3448" t="e">
        <f>ROUND(PRODUCT(V46,AC7:AC45),0)</f>
        <v>#DIV/0!</v>
      </c>
      <c r="W47" s="3448"/>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433" t="str">
        <f>A48</f>
        <v>估价对象XX用房的比较价值（楼面单价，元/平方米）</v>
      </c>
      <c r="Q48" s="3434"/>
      <c r="R48" s="3449" t="e">
        <f>ROUND(IF(D47="简单平均",AVERAGE(R47:W47),R47*F47+T47*H47+V47*J47),0)</f>
        <v>#DIV/0!</v>
      </c>
      <c r="S48" s="3449"/>
      <c r="T48" s="3449"/>
      <c r="U48" s="3449"/>
      <c r="V48" s="3449"/>
      <c r="W48" s="3449"/>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377" t="s">
        <v>1887</v>
      </c>
      <c r="H55" s="3450"/>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66.63</v>
      </c>
      <c r="F56" s="833" t="e">
        <f t="shared" ref="F56:F64" si="15">ROUND(B56*E56/10000,0)</f>
        <v>#DIV/0!</v>
      </c>
      <c r="G56" s="3359"/>
      <c r="H56" s="3360"/>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SUMIF(修正!A57:A68,H57,修正!B57:B68)</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SUMIF(修正!A57:A68,H58,修正!C57:C68)</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SUMIF(修正!A57:A68,H59,修正!D57:D68)</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七级</v>
      </c>
      <c r="I60" s="838">
        <f>SUMIF(修正!A57:A68,H60,修正!E57:E68)</f>
        <v>0.25</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七级</v>
      </c>
      <c r="I61" s="838">
        <f>SUMIF(修正!A57:A68,H61,修正!F57:F68)</f>
        <v>0.25</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0.15</v>
      </c>
      <c r="D64" s="891">
        <v>0.25</v>
      </c>
      <c r="E64" s="209">
        <f>'数据-汇总表'!E15</f>
        <v>0</v>
      </c>
      <c r="F64" s="833" t="e">
        <f t="shared" si="15"/>
        <v>#DIV/0!</v>
      </c>
      <c r="G64" s="1836" t="s">
        <v>1896</v>
      </c>
      <c r="H64" s="844" t="str">
        <f>项目基本情况!C37</f>
        <v>七级</v>
      </c>
      <c r="I64" s="840">
        <f>SUMIF(修正!A57:A68,H64,修正!G57:G68)</f>
        <v>0.15</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66.63</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2025-6-1</v>
      </c>
      <c r="D67" s="656">
        <f>EDATE(C67,-3)</f>
        <v>45717</v>
      </c>
      <c r="E67" s="656">
        <f>EDATE(D67,-3)</f>
        <v>45627</v>
      </c>
      <c r="F67" s="656">
        <f t="shared" ref="F67:O67" si="18">EDATE(E67,-3)</f>
        <v>45536</v>
      </c>
      <c r="G67" s="656">
        <f t="shared" si="18"/>
        <v>45444</v>
      </c>
      <c r="H67" s="656">
        <f t="shared" si="18"/>
        <v>45352</v>
      </c>
      <c r="I67" s="656">
        <f t="shared" si="18"/>
        <v>45261</v>
      </c>
      <c r="J67" s="656">
        <f t="shared" si="18"/>
        <v>45170</v>
      </c>
      <c r="K67" s="656">
        <f t="shared" si="18"/>
        <v>45078</v>
      </c>
      <c r="L67" s="656">
        <f t="shared" si="18"/>
        <v>44986</v>
      </c>
      <c r="M67" s="656">
        <f t="shared" si="18"/>
        <v>44896</v>
      </c>
      <c r="N67" s="656">
        <f t="shared" si="18"/>
        <v>44805</v>
      </c>
      <c r="O67" s="656">
        <f t="shared" si="18"/>
        <v>44713</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77" t="s">
        <v>1770</v>
      </c>
      <c r="D4" s="3378"/>
      <c r="E4" s="3379" t="s">
        <v>1771</v>
      </c>
      <c r="F4" s="3380"/>
      <c r="G4" s="3377" t="s">
        <v>1772</v>
      </c>
      <c r="H4" s="3378"/>
      <c r="I4" s="3377" t="s">
        <v>1773</v>
      </c>
      <c r="J4" s="3378"/>
      <c r="K4" s="537" t="s">
        <v>1774</v>
      </c>
      <c r="L4" s="2484"/>
      <c r="M4" s="2485"/>
      <c r="N4" s="2485"/>
      <c r="O4" s="2485"/>
      <c r="P4" s="3437" t="s">
        <v>1775</v>
      </c>
      <c r="Q4" s="3438"/>
      <c r="R4" s="3441" t="s">
        <v>1771</v>
      </c>
      <c r="S4" s="3442"/>
      <c r="T4" s="3441" t="s">
        <v>1772</v>
      </c>
      <c r="U4" s="3442"/>
      <c r="V4" s="3361" t="s">
        <v>1773</v>
      </c>
      <c r="W4" s="3361"/>
      <c r="X4" s="1265"/>
      <c r="Y4" s="3441" t="s">
        <v>1775</v>
      </c>
      <c r="Z4" s="3442"/>
      <c r="AA4" s="3436" t="s">
        <v>1771</v>
      </c>
      <c r="AB4" s="3405" t="s">
        <v>1772</v>
      </c>
      <c r="AC4" s="3436" t="s">
        <v>1773</v>
      </c>
    </row>
    <row r="5" spans="1:29">
      <c r="A5" s="348"/>
      <c r="B5" s="349"/>
      <c r="C5" s="3443" t="s">
        <v>1673</v>
      </c>
      <c r="D5" s="3397"/>
      <c r="E5" s="3444" t="s">
        <v>1674</v>
      </c>
      <c r="F5" s="3445"/>
      <c r="G5" s="3443" t="s">
        <v>1675</v>
      </c>
      <c r="H5" s="3397"/>
      <c r="I5" s="3443" t="s">
        <v>1676</v>
      </c>
      <c r="J5" s="3397"/>
      <c r="K5" s="537"/>
      <c r="L5" s="2484"/>
      <c r="M5" s="2485"/>
      <c r="N5" s="2485"/>
      <c r="O5" s="2485"/>
      <c r="P5" s="3439"/>
      <c r="Q5" s="3384"/>
      <c r="R5" s="3389"/>
      <c r="S5" s="3390"/>
      <c r="T5" s="3389"/>
      <c r="U5" s="3390"/>
      <c r="V5" s="3361"/>
      <c r="W5" s="3361"/>
      <c r="X5" s="1265"/>
      <c r="Y5" s="3389"/>
      <c r="Z5" s="3390"/>
      <c r="AA5" s="3405"/>
      <c r="AB5" s="3405"/>
      <c r="AC5" s="3405"/>
    </row>
    <row r="6" spans="1:29" ht="15" thickBot="1">
      <c r="A6" s="350"/>
      <c r="B6" s="351"/>
      <c r="C6" s="3451" t="s">
        <v>1919</v>
      </c>
      <c r="D6" s="3452"/>
      <c r="E6" s="3453" t="s">
        <v>1919</v>
      </c>
      <c r="F6" s="3454"/>
      <c r="G6" s="3451" t="s">
        <v>1919</v>
      </c>
      <c r="H6" s="3452"/>
      <c r="I6" s="3451" t="s">
        <v>1919</v>
      </c>
      <c r="J6" s="3452"/>
      <c r="K6" s="537" t="s">
        <v>1678</v>
      </c>
      <c r="L6" s="2484"/>
      <c r="M6" s="2485"/>
      <c r="N6" s="2485"/>
      <c r="O6" s="2485"/>
      <c r="P6" s="3440"/>
      <c r="Q6" s="3386"/>
      <c r="R6" s="3389"/>
      <c r="S6" s="3390"/>
      <c r="T6" s="3391"/>
      <c r="U6" s="3392"/>
      <c r="V6" s="3361"/>
      <c r="W6" s="3361"/>
      <c r="X6" s="1265"/>
      <c r="Y6" s="3391"/>
      <c r="Z6" s="3392"/>
      <c r="AA6" s="3406"/>
      <c r="AB6" s="3406"/>
      <c r="AC6" s="3406"/>
    </row>
    <row r="7" spans="1:29" s="102" customFormat="1" ht="15" thickBot="1">
      <c r="A7" s="352" t="s">
        <v>1679</v>
      </c>
      <c r="B7" s="353"/>
      <c r="C7" s="354">
        <f>'数据-取费表'!B2</f>
        <v>45814</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00" t="s">
        <v>1680</v>
      </c>
      <c r="Q7" s="3401"/>
      <c r="R7" s="664" t="s">
        <v>14</v>
      </c>
      <c r="S7" s="665">
        <f t="shared" ref="S7:S15" si="0">F7</f>
        <v>0</v>
      </c>
      <c r="T7" s="664" t="s">
        <v>14</v>
      </c>
      <c r="U7" s="665">
        <f t="shared" ref="U7:U15" si="1">H7</f>
        <v>0</v>
      </c>
      <c r="V7" s="664" t="s">
        <v>14</v>
      </c>
      <c r="W7" s="665">
        <f t="shared" ref="W7:W15" si="2">J7</f>
        <v>0</v>
      </c>
      <c r="X7" s="666"/>
      <c r="Y7" s="3400" t="s">
        <v>1680</v>
      </c>
      <c r="Z7" s="3399"/>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00" t="s">
        <v>1683</v>
      </c>
      <c r="Q8" s="3399"/>
      <c r="R8" s="664" t="s">
        <v>14</v>
      </c>
      <c r="S8" s="665">
        <f t="shared" si="0"/>
        <v>0</v>
      </c>
      <c r="T8" s="664" t="s">
        <v>14</v>
      </c>
      <c r="U8" s="665">
        <f t="shared" si="1"/>
        <v>0</v>
      </c>
      <c r="V8" s="664" t="s">
        <v>14</v>
      </c>
      <c r="W8" s="665">
        <f t="shared" si="2"/>
        <v>0</v>
      </c>
      <c r="X8" s="666"/>
      <c r="Y8" s="3400" t="s">
        <v>1683</v>
      </c>
      <c r="Z8" s="3399"/>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360" t="s">
        <v>1686</v>
      </c>
      <c r="Q9" s="530" t="str">
        <f t="shared" ref="Q9:Q15" si="6">B9</f>
        <v>用途</v>
      </c>
      <c r="R9" s="664" t="s">
        <v>14</v>
      </c>
      <c r="S9" s="665">
        <f t="shared" si="0"/>
        <v>100</v>
      </c>
      <c r="T9" s="664" t="s">
        <v>14</v>
      </c>
      <c r="U9" s="665">
        <f t="shared" si="1"/>
        <v>100</v>
      </c>
      <c r="V9" s="664" t="s">
        <v>14</v>
      </c>
      <c r="W9" s="665">
        <f t="shared" si="2"/>
        <v>100</v>
      </c>
      <c r="X9" s="666"/>
      <c r="Y9" s="3263"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111</v>
      </c>
      <c r="G10" s="371"/>
      <c r="H10" s="119">
        <f>ROUND(100/'数据-取费表'!G16,0)</f>
        <v>111</v>
      </c>
      <c r="I10" s="371"/>
      <c r="J10" s="119">
        <f>ROUND(100/'数据-取费表'!G16,0)</f>
        <v>111</v>
      </c>
      <c r="K10" s="592"/>
      <c r="L10" s="2487"/>
      <c r="M10" s="2488"/>
      <c r="N10" s="2488"/>
      <c r="O10" s="2539"/>
      <c r="P10" s="3360"/>
      <c r="Q10" s="530" t="str">
        <f t="shared" si="6"/>
        <v>土地使用年限（年）</v>
      </c>
      <c r="R10" s="664" t="s">
        <v>14</v>
      </c>
      <c r="S10" s="665">
        <f t="shared" si="0"/>
        <v>111</v>
      </c>
      <c r="T10" s="664" t="s">
        <v>14</v>
      </c>
      <c r="U10" s="665">
        <f t="shared" si="1"/>
        <v>111</v>
      </c>
      <c r="V10" s="664" t="s">
        <v>14</v>
      </c>
      <c r="W10" s="665">
        <f t="shared" si="2"/>
        <v>111</v>
      </c>
      <c r="X10" s="666"/>
      <c r="Y10" s="3263"/>
      <c r="Z10" s="50" t="str">
        <f t="shared" si="7"/>
        <v>土地使用年限（年）</v>
      </c>
      <c r="AA10" s="50">
        <f t="shared" si="3"/>
        <v>0.90090090090090091</v>
      </c>
      <c r="AB10" s="50">
        <f t="shared" si="4"/>
        <v>0.90090090090090091</v>
      </c>
      <c r="AC10" s="50">
        <f t="shared" si="5"/>
        <v>0.90090090090090091</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60"/>
      <c r="Q11" s="530" t="str">
        <f t="shared" si="6"/>
        <v>容积率</v>
      </c>
      <c r="R11" s="664" t="s">
        <v>14</v>
      </c>
      <c r="S11" s="665" t="e">
        <f t="shared" si="0"/>
        <v>#N/A</v>
      </c>
      <c r="T11" s="664" t="s">
        <v>14</v>
      </c>
      <c r="U11" s="665" t="e">
        <f t="shared" si="1"/>
        <v>#N/A</v>
      </c>
      <c r="V11" s="664" t="s">
        <v>14</v>
      </c>
      <c r="W11" s="665" t="e">
        <f t="shared" si="2"/>
        <v>#N/A</v>
      </c>
      <c r="X11" s="666"/>
      <c r="Y11" s="326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360"/>
      <c r="Q12" s="530">
        <f t="shared" si="6"/>
        <v>111</v>
      </c>
      <c r="R12" s="664" t="s">
        <v>14</v>
      </c>
      <c r="S12" s="665">
        <f t="shared" si="0"/>
        <v>100</v>
      </c>
      <c r="T12" s="664" t="s">
        <v>14</v>
      </c>
      <c r="U12" s="665">
        <f t="shared" si="1"/>
        <v>100</v>
      </c>
      <c r="V12" s="664" t="s">
        <v>14</v>
      </c>
      <c r="W12" s="665">
        <f t="shared" si="2"/>
        <v>100</v>
      </c>
      <c r="X12" s="666"/>
      <c r="Y12" s="326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60"/>
      <c r="Q13" s="530">
        <f t="shared" si="6"/>
        <v>111</v>
      </c>
      <c r="R13" s="664" t="s">
        <v>14</v>
      </c>
      <c r="S13" s="665">
        <f t="shared" si="0"/>
        <v>100</v>
      </c>
      <c r="T13" s="664" t="s">
        <v>14</v>
      </c>
      <c r="U13" s="665">
        <f t="shared" si="1"/>
        <v>100</v>
      </c>
      <c r="V13" s="664" t="s">
        <v>14</v>
      </c>
      <c r="W13" s="665">
        <f t="shared" si="2"/>
        <v>100</v>
      </c>
      <c r="X13" s="666"/>
      <c r="Y13" s="3263"/>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60"/>
      <c r="Q14" s="530">
        <f t="shared" si="6"/>
        <v>111</v>
      </c>
      <c r="R14" s="664" t="s">
        <v>14</v>
      </c>
      <c r="S14" s="665">
        <f t="shared" si="0"/>
        <v>100</v>
      </c>
      <c r="T14" s="664" t="s">
        <v>14</v>
      </c>
      <c r="U14" s="665">
        <f t="shared" si="1"/>
        <v>100</v>
      </c>
      <c r="V14" s="664" t="s">
        <v>14</v>
      </c>
      <c r="W14" s="665">
        <f t="shared" si="2"/>
        <v>100</v>
      </c>
      <c r="X14" s="666"/>
      <c r="Y14" s="3263"/>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67" t="s">
        <v>1691</v>
      </c>
      <c r="Q15" s="1263" t="str">
        <f t="shared" si="6"/>
        <v>产业集聚程度</v>
      </c>
      <c r="R15" s="667" t="s">
        <v>14</v>
      </c>
      <c r="S15" s="668">
        <f t="shared" si="0"/>
        <v>100</v>
      </c>
      <c r="T15" s="667" t="s">
        <v>14</v>
      </c>
      <c r="U15" s="668">
        <f t="shared" si="1"/>
        <v>100</v>
      </c>
      <c r="V15" s="667" t="s">
        <v>14</v>
      </c>
      <c r="W15" s="668">
        <f t="shared" si="2"/>
        <v>100</v>
      </c>
      <c r="X15" s="1265"/>
      <c r="Y15" s="3367"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368"/>
      <c r="Q16" s="1263"/>
      <c r="R16" s="667"/>
      <c r="S16" s="668"/>
      <c r="T16" s="667"/>
      <c r="U16" s="668"/>
      <c r="V16" s="667"/>
      <c r="W16" s="668"/>
      <c r="X16" s="1265"/>
      <c r="Y16" s="3368"/>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68"/>
      <c r="Q17" s="1263" t="str">
        <f>B17</f>
        <v>交通便捷度</v>
      </c>
      <c r="R17" s="667" t="s">
        <v>14</v>
      </c>
      <c r="S17" s="668">
        <f>F17</f>
        <v>100</v>
      </c>
      <c r="T17" s="667" t="s">
        <v>14</v>
      </c>
      <c r="U17" s="668">
        <f>H17</f>
        <v>100</v>
      </c>
      <c r="V17" s="667" t="s">
        <v>14</v>
      </c>
      <c r="W17" s="668">
        <f>J17</f>
        <v>100</v>
      </c>
      <c r="X17" s="1265"/>
      <c r="Y17" s="3368"/>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368"/>
      <c r="Q18" s="1263"/>
      <c r="R18" s="667"/>
      <c r="S18" s="668"/>
      <c r="T18" s="667"/>
      <c r="U18" s="668"/>
      <c r="V18" s="667"/>
      <c r="W18" s="668"/>
      <c r="X18" s="1265"/>
      <c r="Y18" s="3368"/>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68"/>
      <c r="Q19" s="1263" t="str">
        <f t="shared" ref="Q19:Q33" si="8">B19</f>
        <v>区域土地利用方向</v>
      </c>
      <c r="R19" s="667" t="s">
        <v>14</v>
      </c>
      <c r="S19" s="668">
        <f>F19</f>
        <v>100</v>
      </c>
      <c r="T19" s="667" t="s">
        <v>14</v>
      </c>
      <c r="U19" s="668">
        <f>H19</f>
        <v>100</v>
      </c>
      <c r="V19" s="667" t="s">
        <v>14</v>
      </c>
      <c r="W19" s="668">
        <f>J19</f>
        <v>100</v>
      </c>
      <c r="X19" s="1265"/>
      <c r="Y19" s="3368"/>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368"/>
      <c r="Q20" s="1263"/>
      <c r="R20" s="667"/>
      <c r="S20" s="668"/>
      <c r="T20" s="667"/>
      <c r="U20" s="668"/>
      <c r="V20" s="667"/>
      <c r="W20" s="668"/>
      <c r="X20" s="1265"/>
      <c r="Y20" s="3368"/>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68"/>
      <c r="Q21" s="1263" t="str">
        <f t="shared" si="8"/>
        <v>环境状况</v>
      </c>
      <c r="R21" s="667" t="s">
        <v>14</v>
      </c>
      <c r="S21" s="668">
        <f>F21</f>
        <v>100</v>
      </c>
      <c r="T21" s="667" t="s">
        <v>14</v>
      </c>
      <c r="U21" s="668">
        <f>H21</f>
        <v>100</v>
      </c>
      <c r="V21" s="667" t="s">
        <v>14</v>
      </c>
      <c r="W21" s="668">
        <f>J21</f>
        <v>100</v>
      </c>
      <c r="X21" s="1265"/>
      <c r="Y21" s="3368"/>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368"/>
      <c r="Q22" s="1263"/>
      <c r="R22" s="667"/>
      <c r="S22" s="668"/>
      <c r="T22" s="667"/>
      <c r="U22" s="668"/>
      <c r="V22" s="667"/>
      <c r="W22" s="668"/>
      <c r="X22" s="1265"/>
      <c r="Y22" s="3368"/>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368"/>
      <c r="Q23" s="530" t="str">
        <f t="shared" si="8"/>
        <v>公共配套设施</v>
      </c>
      <c r="R23" s="664" t="s">
        <v>14</v>
      </c>
      <c r="S23" s="665">
        <f>F23</f>
        <v>100</v>
      </c>
      <c r="T23" s="664" t="s">
        <v>14</v>
      </c>
      <c r="U23" s="665">
        <f>H23</f>
        <v>100</v>
      </c>
      <c r="V23" s="664" t="s">
        <v>14</v>
      </c>
      <c r="W23" s="665">
        <f>J23</f>
        <v>100</v>
      </c>
      <c r="X23" s="666"/>
      <c r="Y23" s="3368"/>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368"/>
      <c r="Q24" s="530"/>
      <c r="R24" s="664"/>
      <c r="S24" s="665"/>
      <c r="T24" s="664"/>
      <c r="U24" s="665"/>
      <c r="V24" s="664"/>
      <c r="W24" s="665"/>
      <c r="X24" s="666"/>
      <c r="Y24" s="3368"/>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368"/>
      <c r="Q25" s="530" t="str">
        <f t="shared" ref="Q25" si="9">B25</f>
        <v>基础设施水平</v>
      </c>
      <c r="R25" s="664" t="s">
        <v>14</v>
      </c>
      <c r="S25" s="665">
        <f>F25</f>
        <v>100</v>
      </c>
      <c r="T25" s="664" t="s">
        <v>14</v>
      </c>
      <c r="U25" s="665">
        <f>H25</f>
        <v>100</v>
      </c>
      <c r="V25" s="664" t="s">
        <v>14</v>
      </c>
      <c r="W25" s="665">
        <f>J25</f>
        <v>100</v>
      </c>
      <c r="X25" s="666"/>
      <c r="Y25" s="3368"/>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368"/>
      <c r="Q26" s="530"/>
      <c r="R26" s="664"/>
      <c r="S26" s="665"/>
      <c r="T26" s="664"/>
      <c r="U26" s="665"/>
      <c r="V26" s="664"/>
      <c r="W26" s="665"/>
      <c r="X26" s="666"/>
      <c r="Y26" s="336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6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68"/>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68"/>
      <c r="Q28" s="1263" t="str">
        <f t="shared" si="8"/>
        <v>毗邻道路的类型与等级</v>
      </c>
      <c r="R28" s="667" t="s">
        <v>14</v>
      </c>
      <c r="S28" s="668">
        <f t="shared" si="10"/>
        <v>100</v>
      </c>
      <c r="T28" s="667" t="s">
        <v>14</v>
      </c>
      <c r="U28" s="668">
        <f t="shared" si="11"/>
        <v>100</v>
      </c>
      <c r="V28" s="667" t="s">
        <v>14</v>
      </c>
      <c r="W28" s="668">
        <f t="shared" si="12"/>
        <v>100</v>
      </c>
      <c r="X28" s="1265"/>
      <c r="Y28" s="3368"/>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368"/>
      <c r="Q29" s="1263"/>
      <c r="R29" s="667"/>
      <c r="S29" s="668"/>
      <c r="T29" s="667"/>
      <c r="U29" s="668"/>
      <c r="V29" s="667"/>
      <c r="W29" s="668"/>
      <c r="X29" s="1265"/>
      <c r="Y29" s="336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68"/>
      <c r="Q30" s="1263" t="str">
        <f t="shared" si="8"/>
        <v>土地级别</v>
      </c>
      <c r="R30" s="667" t="s">
        <v>14</v>
      </c>
      <c r="S30" s="668">
        <f t="shared" si="10"/>
        <v>100</v>
      </c>
      <c r="T30" s="667" t="s">
        <v>14</v>
      </c>
      <c r="U30" s="668">
        <f t="shared" si="11"/>
        <v>100</v>
      </c>
      <c r="V30" s="667" t="s">
        <v>14</v>
      </c>
      <c r="W30" s="668">
        <f t="shared" si="12"/>
        <v>100</v>
      </c>
      <c r="X30" s="1265"/>
      <c r="Y30" s="336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68"/>
      <c r="Q31" s="1263">
        <f t="shared" si="8"/>
        <v>111</v>
      </c>
      <c r="R31" s="667" t="s">
        <v>14</v>
      </c>
      <c r="S31" s="668">
        <f t="shared" si="10"/>
        <v>100</v>
      </c>
      <c r="T31" s="667" t="s">
        <v>14</v>
      </c>
      <c r="U31" s="668">
        <f t="shared" si="11"/>
        <v>100</v>
      </c>
      <c r="V31" s="667" t="s">
        <v>14</v>
      </c>
      <c r="W31" s="668">
        <f t="shared" si="12"/>
        <v>100</v>
      </c>
      <c r="X31" s="1265"/>
      <c r="Y31" s="3368"/>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46" t="s">
        <v>1696</v>
      </c>
      <c r="Q32" s="1263">
        <f t="shared" si="8"/>
        <v>111</v>
      </c>
      <c r="R32" s="667" t="s">
        <v>14</v>
      </c>
      <c r="S32" s="668">
        <f t="shared" si="10"/>
        <v>100</v>
      </c>
      <c r="T32" s="667" t="s">
        <v>14</v>
      </c>
      <c r="U32" s="668">
        <f t="shared" si="11"/>
        <v>100</v>
      </c>
      <c r="V32" s="667" t="s">
        <v>14</v>
      </c>
      <c r="W32" s="668">
        <f t="shared" si="12"/>
        <v>100</v>
      </c>
      <c r="X32" s="1265"/>
      <c r="Y32" s="3372"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72"/>
      <c r="Q33" s="1263">
        <f t="shared" si="8"/>
        <v>111</v>
      </c>
      <c r="R33" s="669" t="s">
        <v>14</v>
      </c>
      <c r="S33" s="670">
        <f t="shared" si="10"/>
        <v>100</v>
      </c>
      <c r="T33" s="669" t="s">
        <v>14</v>
      </c>
      <c r="U33" s="670">
        <f t="shared" si="11"/>
        <v>100</v>
      </c>
      <c r="V33" s="669" t="s">
        <v>14</v>
      </c>
      <c r="W33" s="670">
        <f t="shared" si="12"/>
        <v>100</v>
      </c>
      <c r="X33" s="671"/>
      <c r="Y33" s="3372"/>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72"/>
      <c r="Q34" s="1263" t="str">
        <f>B34</f>
        <v>宗地面积</v>
      </c>
      <c r="R34" s="667" t="s">
        <v>14</v>
      </c>
      <c r="S34" s="668" t="e">
        <f t="shared" si="10"/>
        <v>#N/A</v>
      </c>
      <c r="T34" s="667" t="s">
        <v>14</v>
      </c>
      <c r="U34" s="668" t="e">
        <f t="shared" si="11"/>
        <v>#N/A</v>
      </c>
      <c r="V34" s="667" t="s">
        <v>14</v>
      </c>
      <c r="W34" s="668" t="e">
        <f t="shared" si="12"/>
        <v>#N/A</v>
      </c>
      <c r="X34" s="1265"/>
      <c r="Y34" s="3372"/>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372"/>
      <c r="Q35" s="1263" t="str">
        <f t="shared" ref="Q35:Q40" si="14">B35</f>
        <v>宗地形状</v>
      </c>
      <c r="R35" s="667" t="s">
        <v>14</v>
      </c>
      <c r="S35" s="668">
        <f t="shared" si="10"/>
        <v>100</v>
      </c>
      <c r="T35" s="667" t="s">
        <v>14</v>
      </c>
      <c r="U35" s="668">
        <f t="shared" si="11"/>
        <v>100</v>
      </c>
      <c r="V35" s="667" t="s">
        <v>14</v>
      </c>
      <c r="W35" s="668">
        <f t="shared" si="12"/>
        <v>100</v>
      </c>
      <c r="X35" s="1265"/>
      <c r="Y35" s="3372"/>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372"/>
      <c r="Q36" s="1263" t="str">
        <f t="shared" si="14"/>
        <v>宗地开发程度</v>
      </c>
      <c r="R36" s="664" t="s">
        <v>14</v>
      </c>
      <c r="S36" s="665">
        <f t="shared" si="10"/>
        <v>100</v>
      </c>
      <c r="T36" s="664" t="s">
        <v>14</v>
      </c>
      <c r="U36" s="665">
        <f t="shared" si="11"/>
        <v>100</v>
      </c>
      <c r="V36" s="664" t="s">
        <v>14</v>
      </c>
      <c r="W36" s="665">
        <f t="shared" si="12"/>
        <v>100</v>
      </c>
      <c r="X36" s="666"/>
      <c r="Y36" s="3372"/>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372" t="s">
        <v>1696</v>
      </c>
      <c r="Q37" s="1263" t="str">
        <f t="shared" si="14"/>
        <v>工程地质条件</v>
      </c>
      <c r="R37" s="667" t="s">
        <v>14</v>
      </c>
      <c r="S37" s="668">
        <f t="shared" si="10"/>
        <v>100</v>
      </c>
      <c r="T37" s="667" t="s">
        <v>14</v>
      </c>
      <c r="U37" s="668">
        <f t="shared" si="11"/>
        <v>100</v>
      </c>
      <c r="V37" s="667" t="s">
        <v>14</v>
      </c>
      <c r="W37" s="668">
        <f t="shared" si="12"/>
        <v>100</v>
      </c>
      <c r="X37" s="1265"/>
      <c r="Y37" s="337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72"/>
      <c r="Q38" s="1263">
        <f t="shared" si="14"/>
        <v>111</v>
      </c>
      <c r="R38" s="667" t="s">
        <v>14</v>
      </c>
      <c r="S38" s="668">
        <f t="shared" si="10"/>
        <v>100</v>
      </c>
      <c r="T38" s="667" t="s">
        <v>14</v>
      </c>
      <c r="U38" s="668">
        <f t="shared" si="11"/>
        <v>100</v>
      </c>
      <c r="V38" s="667" t="s">
        <v>14</v>
      </c>
      <c r="W38" s="668">
        <f t="shared" si="12"/>
        <v>100</v>
      </c>
      <c r="X38" s="1265"/>
      <c r="Y38" s="337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72"/>
      <c r="Q39" s="1263">
        <f t="shared" si="14"/>
        <v>111</v>
      </c>
      <c r="R39" s="667" t="s">
        <v>14</v>
      </c>
      <c r="S39" s="668">
        <f t="shared" si="10"/>
        <v>100</v>
      </c>
      <c r="T39" s="667" t="s">
        <v>14</v>
      </c>
      <c r="U39" s="668">
        <f t="shared" si="11"/>
        <v>100</v>
      </c>
      <c r="V39" s="667" t="s">
        <v>14</v>
      </c>
      <c r="W39" s="668">
        <f t="shared" si="12"/>
        <v>100</v>
      </c>
      <c r="X39" s="1265"/>
      <c r="Y39" s="3372"/>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72"/>
      <c r="Q40" s="1263">
        <f t="shared" si="14"/>
        <v>111</v>
      </c>
      <c r="R40" s="669" t="s">
        <v>14</v>
      </c>
      <c r="S40" s="670">
        <f t="shared" si="10"/>
        <v>100</v>
      </c>
      <c r="T40" s="669" t="s">
        <v>14</v>
      </c>
      <c r="U40" s="670">
        <f t="shared" si="11"/>
        <v>100</v>
      </c>
      <c r="V40" s="669" t="s">
        <v>14</v>
      </c>
      <c r="W40" s="670">
        <f t="shared" si="12"/>
        <v>100</v>
      </c>
      <c r="X40" s="671"/>
      <c r="Y40" s="3372"/>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360" t="str">
        <f>A41</f>
        <v>成交单价</v>
      </c>
      <c r="Q41" s="3360"/>
      <c r="R41" s="3361">
        <f>E41</f>
        <v>0</v>
      </c>
      <c r="S41" s="3361"/>
      <c r="T41" s="3361">
        <f>G41</f>
        <v>0</v>
      </c>
      <c r="U41" s="3361"/>
      <c r="V41" s="3361">
        <f>I41</f>
        <v>0</v>
      </c>
      <c r="W41" s="3361"/>
      <c r="X41" s="385"/>
      <c r="Y41" s="673"/>
      <c r="Z41" s="385"/>
      <c r="AA41" s="385"/>
      <c r="AB41" s="385"/>
      <c r="AC41" s="385"/>
    </row>
    <row r="42" spans="1:31" ht="15" thickBot="1">
      <c r="A42" s="423" t="s">
        <v>1793</v>
      </c>
      <c r="B42" s="603"/>
      <c r="C42" s="426" t="e">
        <f>R43</f>
        <v>#DIV/0!</v>
      </c>
      <c r="D42" s="2140" t="s">
        <v>2138</v>
      </c>
      <c r="E42" s="426" t="e">
        <f>R42</f>
        <v>#DIV/0!</v>
      </c>
      <c r="F42" s="2141"/>
      <c r="G42" s="425" t="e">
        <f>T42</f>
        <v>#DIV/0!</v>
      </c>
      <c r="H42" s="2141"/>
      <c r="I42" s="426" t="e">
        <f>V42</f>
        <v>#DIV/0!</v>
      </c>
      <c r="J42" s="2141"/>
      <c r="K42" s="2143">
        <f>F42+H42+J42</f>
        <v>0</v>
      </c>
      <c r="L42" s="2492"/>
      <c r="M42" s="2485"/>
      <c r="N42" s="2485"/>
      <c r="O42" s="2485"/>
      <c r="P42" s="3360" t="str">
        <f>A42</f>
        <v>比较价值（元/平方米）</v>
      </c>
      <c r="Q42" s="3360"/>
      <c r="R42" s="3448" t="e">
        <f>ROUND(PRODUCT(R41,AA7:AA40),0)</f>
        <v>#DIV/0!</v>
      </c>
      <c r="S42" s="3448"/>
      <c r="T42" s="3448" t="e">
        <f>ROUND(PRODUCT(T41,AB7:AB40),0)</f>
        <v>#DIV/0!</v>
      </c>
      <c r="U42" s="3448"/>
      <c r="V42" s="3448" t="e">
        <f>ROUND(PRODUCT(V41,AC7:AC40),0)</f>
        <v>#DIV/0!</v>
      </c>
      <c r="W42" s="3448"/>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433" t="str">
        <f>A43</f>
        <v>估价对象XX用房的比较价值（楼面单价，元/平方米）</v>
      </c>
      <c r="Q43" s="3434"/>
      <c r="R43" s="3449" t="e">
        <f>ROUND(IF(D42="简单平均",AVERAGE(R42:W42),R42*F42+T42*H42+V42*J42),0)</f>
        <v>#DIV/0!</v>
      </c>
      <c r="S43" s="3449"/>
      <c r="T43" s="3449"/>
      <c r="U43" s="3449"/>
      <c r="V43" s="3449"/>
      <c r="W43" s="3449"/>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377" t="s">
        <v>1887</v>
      </c>
      <c r="H50" s="3450"/>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66.63</v>
      </c>
      <c r="F51" s="611" t="e">
        <f t="shared" ref="F51:F60" si="15">ROUND(B51*E51/10000,0)</f>
        <v>#DIV/0!</v>
      </c>
      <c r="G51" s="3359"/>
      <c r="H51" s="3360"/>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SUMIF(修正!A57:A68,H52,修正!B57:B68)</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SUMIF(修正!A57:A68,H53,修正!C57:C68)</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SUMIF(修正!A57:A68,H54,修正!D57:D68)</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七级</v>
      </c>
      <c r="I56" s="727">
        <f>SUMIF(修正!A57:A68,H56,修正!E57:E68)</f>
        <v>0.25</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七级</v>
      </c>
      <c r="I57" s="727">
        <f>SUMIF(修正!A57:A68,H57,修正!F57:F68)</f>
        <v>0.25</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0.15</v>
      </c>
      <c r="D60" s="891">
        <v>0.25</v>
      </c>
      <c r="E60" s="209">
        <f>'数据-汇总表'!E15</f>
        <v>0</v>
      </c>
      <c r="F60" s="611" t="e">
        <f t="shared" si="15"/>
        <v>#DIV/0!</v>
      </c>
      <c r="G60" s="1836" t="s">
        <v>1896</v>
      </c>
      <c r="H60" s="844" t="str">
        <f>项目基本情况!C37</f>
        <v>七级</v>
      </c>
      <c r="I60" s="727">
        <f>SUMIF(修正!A57:A68,H60,修正!G57:G68)</f>
        <v>0.15</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2025-6-1</v>
      </c>
      <c r="D63" s="656">
        <f>EDATE(C63,-3)</f>
        <v>45717</v>
      </c>
      <c r="E63" s="656">
        <f>EDATE(D63,-3)</f>
        <v>45627</v>
      </c>
      <c r="F63" s="656">
        <f t="shared" ref="F63:O63" si="18">EDATE(E63,-3)</f>
        <v>45536</v>
      </c>
      <c r="G63" s="656">
        <f t="shared" si="18"/>
        <v>45444</v>
      </c>
      <c r="H63" s="656">
        <f t="shared" si="18"/>
        <v>45352</v>
      </c>
      <c r="I63" s="656">
        <f t="shared" si="18"/>
        <v>45261</v>
      </c>
      <c r="J63" s="656">
        <f t="shared" si="18"/>
        <v>45170</v>
      </c>
      <c r="K63" s="656">
        <f t="shared" si="18"/>
        <v>45078</v>
      </c>
      <c r="L63" s="656">
        <f t="shared" si="18"/>
        <v>44986</v>
      </c>
      <c r="M63" s="656">
        <f t="shared" si="18"/>
        <v>44896</v>
      </c>
      <c r="N63" s="656">
        <f t="shared" si="18"/>
        <v>44805</v>
      </c>
      <c r="O63" s="656">
        <f t="shared" si="18"/>
        <v>44713</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58" t="s">
        <v>2084</v>
      </c>
      <c r="D1" s="3459"/>
      <c r="E1" s="3459"/>
      <c r="F1" s="3459"/>
      <c r="G1" s="3459"/>
      <c r="H1" s="3459"/>
      <c r="I1" s="3459"/>
      <c r="J1" s="3459"/>
      <c r="K1" s="3459"/>
      <c r="L1" s="3459"/>
      <c r="M1" s="3459"/>
      <c r="N1" s="3459"/>
      <c r="O1" s="3459"/>
      <c r="P1" s="3459"/>
      <c r="Q1" s="3459"/>
      <c r="R1" s="3459"/>
      <c r="S1" s="346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55" t="s">
        <v>27</v>
      </c>
      <c r="D22" s="3456"/>
      <c r="E22" s="3456"/>
      <c r="F22" s="3456"/>
      <c r="G22" s="3456"/>
      <c r="H22" s="3456"/>
      <c r="I22" s="3456"/>
      <c r="J22" s="3456"/>
      <c r="K22" s="3456"/>
      <c r="L22" s="3456"/>
      <c r="M22" s="3456"/>
      <c r="N22" s="3456"/>
      <c r="O22" s="3456"/>
      <c r="P22" s="3456"/>
      <c r="Q22" s="345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f ca="1">SUMIF(B6:B13,"&lt;&gt;#ref!",B6:B13)</f>
        <v>56</v>
      </c>
      <c r="C2" s="1984" t="s">
        <v>2074</v>
      </c>
      <c r="D2" s="1984" t="s">
        <v>2075</v>
      </c>
      <c r="E2" s="2396">
        <f ca="1">SUMIF(E6:E13,"&lt;&gt;#ref!",E6:E13)</f>
        <v>66.63</v>
      </c>
      <c r="F2" s="2542"/>
      <c r="G2" s="2542"/>
      <c r="H2" s="2542"/>
      <c r="I2" s="2542"/>
      <c r="J2" s="2542"/>
      <c r="K2" s="2542"/>
      <c r="L2" s="2542"/>
      <c r="M2" s="2542"/>
      <c r="N2" s="2542"/>
      <c r="O2" s="2542"/>
      <c r="P2" s="2542"/>
    </row>
    <row r="3" spans="1:16" ht="15.6">
      <c r="A3" s="1984" t="s">
        <v>2076</v>
      </c>
      <c r="B3" s="2386">
        <f ca="1">ROUND(B2*10000/E2,0)</f>
        <v>8405</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56</v>
      </c>
      <c r="C6" s="1984" t="s">
        <v>2074</v>
      </c>
      <c r="D6" s="2542"/>
      <c r="E6" s="2396">
        <f ca="1">SUMIF(INDIRECT("'"&amp;A6&amp;"'"&amp;"!C:C"),"建筑面积",INDIRECT("'"&amp;A6&amp;"'"&amp;"!D:D"))</f>
        <v>66.63</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7030A0"/>
  </sheetPr>
  <dimension ref="L1:T8"/>
  <sheetViews>
    <sheetView topLeftCell="A49" workbookViewId="0">
      <selection activeCell="S8" sqref="S8"/>
    </sheetView>
  </sheetViews>
  <sheetFormatPr defaultRowHeight="14.4"/>
  <sheetData>
    <row r="1" spans="12:20">
      <c r="R1" s="3171" t="s">
        <v>3493</v>
      </c>
      <c r="S1" s="3156"/>
    </row>
    <row r="2" spans="12:20">
      <c r="M2" s="1405" t="s">
        <v>3388</v>
      </c>
      <c r="N2" s="1405" t="s">
        <v>3389</v>
      </c>
      <c r="O2" s="1405" t="s">
        <v>3485</v>
      </c>
      <c r="P2" s="1405" t="s">
        <v>3395</v>
      </c>
      <c r="R2" s="3171" t="s">
        <v>3491</v>
      </c>
      <c r="S2" s="3156">
        <v>14500</v>
      </c>
      <c r="T2" s="1405" t="s">
        <v>3492</v>
      </c>
    </row>
    <row r="3" spans="12:20">
      <c r="L3" s="1405" t="s">
        <v>3482</v>
      </c>
      <c r="M3">
        <v>50.09</v>
      </c>
      <c r="N3">
        <v>17968</v>
      </c>
      <c r="O3" s="1405" t="s">
        <v>3486</v>
      </c>
      <c r="P3" s="1405"/>
      <c r="R3" s="3171" t="s">
        <v>3494</v>
      </c>
      <c r="S3" s="3156"/>
    </row>
    <row r="4" spans="12:20">
      <c r="L4" s="1405" t="s">
        <v>3483</v>
      </c>
      <c r="M4">
        <v>62.9</v>
      </c>
      <c r="N4">
        <v>17966</v>
      </c>
      <c r="O4" s="1405" t="s">
        <v>3487</v>
      </c>
      <c r="P4" s="1405"/>
      <c r="R4" s="3156">
        <f>750000/50</f>
        <v>15000</v>
      </c>
      <c r="S4" s="3156"/>
    </row>
    <row r="5" spans="12:20">
      <c r="L5" s="1405" t="s">
        <v>3484</v>
      </c>
      <c r="M5">
        <v>57.93</v>
      </c>
      <c r="N5">
        <v>16054</v>
      </c>
      <c r="O5" s="1405" t="s">
        <v>3487</v>
      </c>
      <c r="P5" s="1405"/>
      <c r="R5" s="3156">
        <f>70/50*10000</f>
        <v>14000</v>
      </c>
      <c r="S5" s="3156"/>
    </row>
    <row r="6" spans="12:20">
      <c r="R6" s="3156" t="s">
        <v>3495</v>
      </c>
    </row>
    <row r="7" spans="12:20">
      <c r="R7" s="1405" t="s">
        <v>654</v>
      </c>
      <c r="S7" s="1405" t="s">
        <v>3510</v>
      </c>
    </row>
    <row r="8" spans="12:20">
      <c r="R8" s="3171" t="s">
        <v>3505</v>
      </c>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7030A0"/>
  </sheetPr>
  <dimension ref="A1"/>
  <sheetViews>
    <sheetView topLeftCell="A22" workbookViewId="0">
      <selection activeCell="A47" sqref="A47"/>
    </sheetView>
  </sheetViews>
  <sheetFormatPr defaultRowHeight="14.4"/>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7030A0"/>
  </sheetPr>
  <dimension ref="A1"/>
  <sheetViews>
    <sheetView topLeftCell="C1" workbookViewId="0">
      <selection activeCell="S34" sqref="S34"/>
    </sheetView>
  </sheetViews>
  <sheetFormatPr defaultRowHeight="14.4"/>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7030A0"/>
  </sheetPr>
  <dimension ref="A1"/>
  <sheetViews>
    <sheetView workbookViewId="0"/>
  </sheetViews>
  <sheetFormatPr defaultRowHeight="14.4"/>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v>201</v>
      </c>
      <c r="C1" s="1717"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108.0637</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16218</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591001</v>
      </c>
      <c r="D5" s="203" t="s">
        <v>1469</v>
      </c>
      <c r="E5" s="204" t="s">
        <v>1470</v>
      </c>
      <c r="F5" s="204" t="s">
        <v>1471</v>
      </c>
      <c r="G5" s="205"/>
    </row>
    <row r="6" spans="1:8" s="206" customFormat="1" ht="13.5" customHeight="1">
      <c r="A6" s="732" t="s">
        <v>1472</v>
      </c>
      <c r="B6" s="207" t="s">
        <v>1473</v>
      </c>
      <c r="C6" s="208">
        <f>ROUND(基准地价修正!C33*基准地价修正!D33,0)</f>
        <v>561224</v>
      </c>
      <c r="D6" s="209"/>
      <c r="E6" s="210"/>
      <c r="F6" s="210"/>
      <c r="G6" s="211"/>
    </row>
    <row r="7" spans="1:8" s="206" customFormat="1" ht="13.5" customHeight="1">
      <c r="A7" s="732" t="s">
        <v>1474</v>
      </c>
      <c r="B7" s="207" t="s">
        <v>1475</v>
      </c>
      <c r="C7" s="212">
        <f>ROUND(C6*F7,0)</f>
        <v>17117</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12660</v>
      </c>
      <c r="D8" s="214"/>
      <c r="E8" s="212"/>
      <c r="F8" s="213"/>
      <c r="G8" s="1714" t="s">
        <v>3431</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150</v>
      </c>
      <c r="F9" s="213"/>
      <c r="G9" s="218"/>
    </row>
    <row r="10" spans="1:8" s="206" customFormat="1" ht="13.5" customHeight="1">
      <c r="A10" s="733" t="s">
        <v>356</v>
      </c>
      <c r="B10" s="216" t="s">
        <v>1480</v>
      </c>
      <c r="C10" s="217">
        <f ca="1">ROUND(D10*E10,0)</f>
        <v>12660</v>
      </c>
      <c r="D10" s="795">
        <f ca="1">IF(B1="",'数据-汇总表'!E6,IF(INDIRECT("'数据-取费表'!c"&amp;$G$1)="住宅",INDIRECT("'数据-取费表'!s"&amp;$G$1),INDIRECT("'数据-取费表'!k"&amp;$G$1)+INDIRECT("'数据-取费表'!s"&amp;$G$1)))</f>
        <v>66.63</v>
      </c>
      <c r="E10" s="217">
        <f>'数据-取费表'!B28</f>
        <v>190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66.63</v>
      </c>
      <c r="E19" s="203">
        <f>'数据-取费表'!B31</f>
        <v>200</v>
      </c>
      <c r="F19" s="223"/>
      <c r="G19" s="1714" t="s">
        <v>3432</v>
      </c>
    </row>
    <row r="20" spans="1:7" s="206" customFormat="1" ht="13.5" customHeight="1">
      <c r="A20" s="247" t="s">
        <v>1574</v>
      </c>
      <c r="B20" s="202" t="s">
        <v>1575</v>
      </c>
      <c r="C20" s="224">
        <f ca="1">ROUND((C5+C19)*F20,0)</f>
        <v>11820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36347</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35992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355</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90423</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90423</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789601</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262855</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233205</v>
      </c>
      <c r="D34" s="209"/>
      <c r="E34" s="212"/>
      <c r="F34" s="249"/>
      <c r="G34" s="211"/>
    </row>
    <row r="35" spans="1:7" ht="13.5" customHeight="1">
      <c r="A35" s="734" t="s">
        <v>351</v>
      </c>
      <c r="B35" s="207" t="s">
        <v>1527</v>
      </c>
      <c r="C35" s="212">
        <f ca="1">ROUND(C34*F35,0)</f>
        <v>11660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13326</v>
      </c>
      <c r="D37" s="209">
        <f ca="1">D19</f>
        <v>66.63</v>
      </c>
      <c r="E37" s="241">
        <f>'数据-取费表'!B35</f>
        <v>200</v>
      </c>
      <c r="F37" s="251"/>
      <c r="G37" s="253"/>
    </row>
    <row r="38" spans="1:7" ht="13.5" customHeight="1">
      <c r="A38" s="734" t="s">
        <v>354</v>
      </c>
      <c r="B38" s="207" t="s">
        <v>1533</v>
      </c>
      <c r="C38" s="212">
        <f ca="1">ROUND(C34*F38,0)</f>
        <v>4664</v>
      </c>
      <c r="D38" s="212"/>
      <c r="E38" s="212"/>
      <c r="F38" s="251">
        <f>'数据-取费表'!B36</f>
        <v>0.02</v>
      </c>
      <c r="G38" s="211" t="s">
        <v>1528</v>
      </c>
    </row>
    <row r="39" spans="1:7" s="206" customFormat="1" ht="13.5" customHeight="1">
      <c r="A39" s="247" t="s">
        <v>1534</v>
      </c>
      <c r="B39" s="202" t="s">
        <v>1535</v>
      </c>
      <c r="C39" s="224">
        <f ca="1">ROUND(C33*F20,0)</f>
        <v>5257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8044</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7886</v>
      </c>
      <c r="D42" s="230"/>
      <c r="E42" s="230"/>
      <c r="F42" s="231"/>
      <c r="G42" s="3356" t="s">
        <v>1591</v>
      </c>
    </row>
    <row r="43" spans="1:7" ht="13.5" customHeight="1">
      <c r="A43" s="734" t="s">
        <v>347</v>
      </c>
      <c r="B43" s="207" t="s">
        <v>1545</v>
      </c>
      <c r="C43" s="230">
        <f ca="1">ROUND(IF('数据-取费表'!B22&lt;=1,C39*F22*'数据-取费表'!B20/2,C39*(POWER((1+F22),'数据-取费表'!B20/2)-1)),0)</f>
        <v>158</v>
      </c>
      <c r="D43" s="230"/>
      <c r="E43" s="230"/>
      <c r="F43" s="231"/>
      <c r="G43" s="3357"/>
    </row>
    <row r="44" spans="1:7" ht="13.5" customHeight="1">
      <c r="A44" s="734" t="s">
        <v>348</v>
      </c>
      <c r="B44" s="207" t="s">
        <v>1546</v>
      </c>
      <c r="C44" s="230">
        <f ca="1">ROUND(IF('数据-取费表'!B22&lt;=1,C40*F22*'数据-取费表'!B20/2,C40*(POWER((1+F22),'数据-取费表'!B20/2)-1)),4)</f>
        <v>5.9999999999999995E-4</v>
      </c>
      <c r="D44" s="230"/>
      <c r="E44" s="230"/>
      <c r="F44" s="231"/>
      <c r="G44" s="3358"/>
    </row>
    <row r="45" spans="1:7" s="206" customFormat="1" ht="13.5" customHeight="1">
      <c r="A45" s="247" t="s">
        <v>1547</v>
      </c>
      <c r="B45" s="236" t="s">
        <v>1513</v>
      </c>
      <c r="C45" s="237">
        <f ca="1">C46</f>
        <v>40217</v>
      </c>
      <c r="D45" s="227">
        <f ca="1">C47</f>
        <v>3.0000000000000001E-3</v>
      </c>
      <c r="E45" s="228" t="s">
        <v>1539</v>
      </c>
      <c r="F45" s="238">
        <f ca="1">F27</f>
        <v>0.15</v>
      </c>
      <c r="G45" s="239" t="s">
        <v>1548</v>
      </c>
    </row>
    <row r="46" spans="1:7" s="206" customFormat="1" ht="13.5" customHeight="1">
      <c r="A46" s="734" t="s">
        <v>346</v>
      </c>
      <c r="B46" s="240" t="s">
        <v>1549</v>
      </c>
      <c r="C46" s="241">
        <f ca="1">ROUND((C33+C39)*F27,0)</f>
        <v>40217</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342395</v>
      </c>
      <c r="D49" s="224"/>
      <c r="E49" s="224"/>
      <c r="F49" s="256"/>
      <c r="G49" s="226" t="s">
        <v>1554</v>
      </c>
    </row>
    <row r="50" spans="1:7" s="250" customFormat="1">
      <c r="A50" s="247" t="s">
        <v>1555</v>
      </c>
      <c r="B50" s="202" t="s">
        <v>1556</v>
      </c>
      <c r="C50" s="224"/>
      <c r="D50" s="224"/>
      <c r="E50" s="224"/>
      <c r="F50" s="256">
        <f>IF('数据-取费表'!B24=0,'数据-取费表'!N16,1)</f>
        <v>0.85</v>
      </c>
      <c r="G50" s="239"/>
    </row>
    <row r="51" spans="1:7" ht="16.5" customHeight="1">
      <c r="A51" s="247" t="s">
        <v>1558</v>
      </c>
      <c r="B51" s="202" t="s">
        <v>1593</v>
      </c>
      <c r="C51" s="224">
        <f ca="1">ROUND(C49*F50,0)</f>
        <v>291036</v>
      </c>
      <c r="D51" s="224"/>
      <c r="E51" s="224"/>
      <c r="F51" s="256"/>
      <c r="G51" s="226" t="s">
        <v>1560</v>
      </c>
    </row>
    <row r="52" spans="1:7" s="200" customFormat="1" ht="16.8" thickBot="1">
      <c r="A52" s="257" t="s">
        <v>1561</v>
      </c>
      <c r="B52" s="258"/>
      <c r="C52" s="259">
        <f ca="1">C31+C51</f>
        <v>1080637</v>
      </c>
      <c r="D52" s="258"/>
      <c r="E52" s="258"/>
      <c r="F52" s="258"/>
      <c r="G52" s="260"/>
    </row>
    <row r="55" spans="1:7" ht="15">
      <c r="B55" s="262" t="s">
        <v>1562</v>
      </c>
      <c r="C55" s="263"/>
    </row>
    <row r="56" spans="1:7">
      <c r="B56" s="265" t="s">
        <v>802</v>
      </c>
      <c r="C56" s="267">
        <f ca="1">1-C57</f>
        <v>0.73099999999999998</v>
      </c>
    </row>
    <row r="57" spans="1:7">
      <c r="B57" s="265" t="s">
        <v>803</v>
      </c>
      <c r="C57" s="266">
        <f ca="1">ROUND(C51/C52,3)</f>
        <v>0.26900000000000002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 type="list" allowBlank="1" showInputMessage="1" showErrorMessage="1" sqref="B1" xr:uid="{00000000-0002-0000-2600-000002000000}">
      <formula1>项目类型</formula1>
    </dataValidation>
    <dataValidation type="list" allowBlank="1" showInputMessage="1" showErrorMessage="1" sqref="G2" xr:uid="{00000000-0002-0000-2600-000003000000}">
      <formula1>估价方法</formula1>
    </dataValidation>
    <dataValidation type="list" allowBlank="1" showInputMessage="1" showErrorMessage="1" sqref="D2" xr:uid="{00000000-0002-0000-2600-000004000000}">
      <formula1>"需扣减承租人权益,——"</formula1>
    </dataValidation>
  </dataValidations>
  <pageMargins left="0.7" right="0.7" top="0.75" bottom="0.75" header="0.3" footer="0.3"/>
  <pageSetup paperSize="9" scale="78"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9"/>
      <c r="C2" s="3179"/>
      <c r="D2" s="3179"/>
      <c r="E2" s="3179"/>
    </row>
    <row r="3" spans="1:5" ht="17.399999999999999">
      <c r="A3" s="3180" t="str">
        <f>IF(项目基本情况!B9="房地产市场价值","估价结果一览表（市场价值不需“结果表-1”）","估价结果一览表")</f>
        <v>估价结果一览表</v>
      </c>
      <c r="B3" s="3180"/>
      <c r="C3" s="3180"/>
      <c r="D3" s="3180"/>
      <c r="E3" s="3180"/>
    </row>
    <row r="4" spans="1:5" ht="18" thickBot="1">
      <c r="A4" s="1391"/>
      <c r="B4" s="3178" t="s">
        <v>917</v>
      </c>
      <c r="C4" s="3178"/>
      <c r="D4" s="3178"/>
      <c r="E4" s="1391"/>
    </row>
    <row r="5" spans="1:5" ht="16.2" thickTop="1">
      <c r="B5" s="3176" t="s">
        <v>909</v>
      </c>
      <c r="C5" s="1392" t="s">
        <v>910</v>
      </c>
      <c r="D5" s="797">
        <f ca="1">结果表!H101</f>
        <v>82</v>
      </c>
    </row>
    <row r="6" spans="1:5" ht="15.6">
      <c r="B6" s="3176"/>
      <c r="C6" s="1392" t="s">
        <v>911</v>
      </c>
      <c r="D6" s="797" t="str">
        <f ca="1">NUMBERSTRING(INT(D5*10000),2)&amp;"元整"</f>
        <v>捌拾贰万元整</v>
      </c>
    </row>
    <row r="7" spans="1:5" ht="15.6">
      <c r="B7" s="3181"/>
      <c r="C7" s="1393" t="s">
        <v>912</v>
      </c>
      <c r="D7" s="798">
        <f ca="1">结果表!H102</f>
        <v>12344</v>
      </c>
    </row>
    <row r="8" spans="1:5" ht="15.6">
      <c r="B8" s="3182" t="str">
        <f>结果表!E103</f>
        <v>2.估价师知悉的法定优先受偿款</v>
      </c>
      <c r="C8" s="1394" t="s">
        <v>913</v>
      </c>
      <c r="D8" s="798">
        <f>结果表!H103</f>
        <v>0</v>
      </c>
    </row>
    <row r="9" spans="1:5" ht="15.6">
      <c r="B9" s="3184"/>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5" t="str">
        <f>结果表!E107</f>
        <v>3.房地产抵押价值</v>
      </c>
      <c r="C13" s="1397" t="s">
        <v>910</v>
      </c>
      <c r="D13" s="800">
        <f ca="1">结果表!H107</f>
        <v>82</v>
      </c>
    </row>
    <row r="14" spans="1:5" ht="15.6">
      <c r="B14" s="3176"/>
      <c r="C14" s="1392" t="s">
        <v>911</v>
      </c>
      <c r="D14" s="797" t="str">
        <f ca="1">NUMBERSTRING(INT(D13*10000),2)&amp;"元整"</f>
        <v>捌拾贰万元整</v>
      </c>
    </row>
    <row r="15" spans="1:5" ht="15.6">
      <c r="B15" s="3181"/>
      <c r="C15" s="1393" t="s">
        <v>921</v>
      </c>
      <c r="D15" s="806">
        <f ca="1">结果表!H108</f>
        <v>12344</v>
      </c>
    </row>
    <row r="16" spans="1:5" ht="15.6">
      <c r="B16" s="3182" t="str">
        <f>结果表!E109</f>
        <v>——</v>
      </c>
      <c r="C16" s="1397" t="s">
        <v>922</v>
      </c>
      <c r="D16" s="1398" t="str">
        <f>结果表!H109</f>
        <v>——</v>
      </c>
    </row>
    <row r="17" spans="1:5" ht="15.6">
      <c r="B17" s="3183"/>
      <c r="C17" s="1392" t="s">
        <v>923</v>
      </c>
      <c r="D17" s="797" t="e">
        <f>NUMBERSTRING(INT(D16*10000),2)&amp;"元整"</f>
        <v>#VALUE!</v>
      </c>
    </row>
    <row r="18" spans="1:5" ht="15.6">
      <c r="B18" s="3184"/>
      <c r="C18" s="1393" t="s">
        <v>912</v>
      </c>
      <c r="D18" s="806" t="str">
        <f>结果表!H110</f>
        <v>——</v>
      </c>
    </row>
    <row r="19" spans="1:5" ht="15.6">
      <c r="B19" s="3175" t="str">
        <f>结果表!E111</f>
        <v>——</v>
      </c>
      <c r="C19" s="1397" t="s">
        <v>910</v>
      </c>
      <c r="D19" s="798" t="str">
        <f>结果表!H111</f>
        <v>——</v>
      </c>
    </row>
    <row r="20" spans="1:5" ht="15.6">
      <c r="B20" s="3176"/>
      <c r="C20" s="1392" t="s">
        <v>923</v>
      </c>
      <c r="D20" s="797" t="e">
        <f>NUMBERSTRING(INT(D19*10000),2)&amp;"元整"</f>
        <v>#VALUE!</v>
      </c>
    </row>
    <row r="21" spans="1:5" ht="16.2" thickBot="1">
      <c r="B21" s="3177"/>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topLeftCell="A61" zoomScaleNormal="80" zoomScaleSheetLayoutView="100" workbookViewId="0">
      <selection activeCell="E66" sqref="E66"/>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66.63</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56</v>
      </c>
      <c r="C2" s="1846" t="s">
        <v>1935</v>
      </c>
      <c r="D2" s="162" t="s">
        <v>1936</v>
      </c>
      <c r="E2" s="3118" t="s">
        <v>21</v>
      </c>
      <c r="F2" s="162" t="s">
        <v>1937</v>
      </c>
      <c r="G2" s="163" t="str">
        <f>IF(E2="商业",项目基本情况!B37,IF(E2="办公",项目基本情况!C37,IF(E2="住宅",项目基本情况!D37,IF(E2="工业",项目基本情况!E37,项目基本情况!F37))))</f>
        <v>七级</v>
      </c>
      <c r="H2" s="162" t="s">
        <v>1938</v>
      </c>
      <c r="I2" s="163" t="str">
        <f>IF(E2="商业",项目基本情况!B38,IF(E2="办公",项目基本情况!C38,IF(E2="住宅",项目基本情况!D38,IF(E2="工业",项目基本情况!E38,项目基本情况!F38))))</f>
        <v>Ⅶ-房2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f t="shared" ref="T2:T16" si="0">ROUND($C$5*$C$22*$C$23*$C$24*S2*$C$28,0)</f>
        <v>12651</v>
      </c>
      <c r="U2" s="1130"/>
      <c r="V2" s="3061">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8405</v>
      </c>
      <c r="C3" s="1846" t="s">
        <v>1941</v>
      </c>
      <c r="D3" s="162" t="s">
        <v>1942</v>
      </c>
      <c r="E3" s="3116" t="s">
        <v>3435</v>
      </c>
      <c r="F3" s="1848" t="s">
        <v>3437</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f t="shared" si="0"/>
        <v>9971</v>
      </c>
      <c r="U3" s="1130"/>
      <c r="V3" s="3061">
        <f t="shared" ref="V3:V16" si="1">ROUND(T3*U3/10000,0)</f>
        <v>0</v>
      </c>
      <c r="W3" s="1133"/>
      <c r="X3" s="1133"/>
      <c r="Y3" s="1133"/>
      <c r="Z3" s="1133"/>
      <c r="AA3" s="1133"/>
      <c r="AB3" s="1133"/>
      <c r="AC3" s="1134"/>
      <c r="AD3" s="1135"/>
      <c r="AE3" s="1135"/>
      <c r="AF3" s="1135"/>
      <c r="AG3" s="1135"/>
      <c r="AH3" s="1135"/>
      <c r="AI3" s="1135"/>
      <c r="AJ3" s="1136"/>
    </row>
    <row r="4" spans="1:36" ht="15.6">
      <c r="A4" s="3468"/>
      <c r="B4" s="3469"/>
      <c r="C4" s="3469"/>
      <c r="D4" s="3470"/>
      <c r="E4" s="3470"/>
      <c r="F4" s="3470"/>
      <c r="G4" s="3470"/>
      <c r="H4" s="3470"/>
      <c r="I4" s="3470"/>
      <c r="J4" s="347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1.0004999999999999</v>
      </c>
      <c r="T4" s="3061">
        <f t="shared" si="0"/>
        <v>8427</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8644</v>
      </c>
      <c r="D5" s="1252">
        <f>ROUND(C6*C17+C20,0)</f>
        <v>8474</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0.88239999999999996</v>
      </c>
      <c r="T5" s="3061">
        <f t="shared" si="0"/>
        <v>7433</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8490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0.84799999999999998</v>
      </c>
      <c r="T6" s="3061">
        <f t="shared" si="0"/>
        <v>7143</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8490</v>
      </c>
      <c r="N7" s="813">
        <f>SUMPRODUCT((因素修正幅度!B190:B233=I2)*(因素修正幅度!C3:G3=E2)*(因素修正幅度!C190:G233))</f>
        <v>0.13</v>
      </c>
      <c r="O7" s="1056"/>
      <c r="P7" s="1056"/>
      <c r="Q7" s="1056"/>
      <c r="R7" s="1129">
        <v>6</v>
      </c>
      <c r="S7" s="3115"/>
      <c r="T7" s="3061">
        <f t="shared" si="0"/>
        <v>0</v>
      </c>
      <c r="U7" s="1130"/>
      <c r="V7" s="3061">
        <f t="shared" si="1"/>
        <v>0</v>
      </c>
      <c r="W7" s="1267" t="s">
        <v>1955</v>
      </c>
      <c r="X7" s="1131" t="str">
        <f>G2</f>
        <v>七级</v>
      </c>
      <c r="Y7" s="1131" t="s">
        <v>1956</v>
      </c>
      <c r="Z7" s="1132">
        <f>G3</f>
        <v>2.5</v>
      </c>
      <c r="AA7" s="1133"/>
      <c r="AB7" s="1133"/>
      <c r="AC7" s="1134"/>
      <c r="AD7" s="1135"/>
      <c r="AE7" s="1135"/>
      <c r="AF7" s="1135"/>
      <c r="AG7" s="1135"/>
      <c r="AH7" s="1135"/>
      <c r="AI7" s="1135"/>
      <c r="AJ7" s="1136"/>
    </row>
    <row r="8" spans="1:36" ht="1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65" t="s">
        <v>1960</v>
      </c>
      <c r="X8" s="346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67"/>
      <c r="X9" s="3062" t="s">
        <v>3267</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67"/>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3238</v>
      </c>
      <c r="B12" s="3011" t="s">
        <v>3239</v>
      </c>
      <c r="C12" s="3012">
        <v>1.02</v>
      </c>
      <c r="D12" s="3013" t="s">
        <v>3240</v>
      </c>
      <c r="E12" s="3014" t="s">
        <v>3241</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3242</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3243</v>
      </c>
      <c r="G14" s="3018" t="s">
        <v>3243</v>
      </c>
      <c r="H14" s="3018" t="s">
        <v>3243</v>
      </c>
      <c r="I14" s="3018" t="s">
        <v>3243</v>
      </c>
      <c r="J14" s="3018" t="s">
        <v>3243</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3244</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3248</v>
      </c>
      <c r="E18" s="2355"/>
      <c r="F18" s="3028" t="s">
        <v>3251</v>
      </c>
      <c r="G18" s="3032">
        <f>ROUND(1-(1/(POWER(1+G24,E18))),4)</f>
        <v>0</v>
      </c>
      <c r="H18" s="3028" t="s">
        <v>3253</v>
      </c>
      <c r="I18" s="3032">
        <f>ROUND(1-(1/(POWER(1+G24,J24))),4)</f>
        <v>0.93120000000000003</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3249</v>
      </c>
      <c r="E19" s="3041"/>
      <c r="F19" s="3042" t="s">
        <v>3252</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472" t="s">
        <v>3254</v>
      </c>
      <c r="B20" s="159" t="s">
        <v>1994</v>
      </c>
      <c r="C20" s="3029">
        <f>ROUND(IF(F21="与级别开发程度一致",0,(G21-E21)/C21),0)</f>
        <v>-16</v>
      </c>
      <c r="D20" s="3044" t="s">
        <v>1998</v>
      </c>
      <c r="E20" s="3045"/>
      <c r="F20" s="3478" t="s">
        <v>1995</v>
      </c>
      <c r="G20" s="3479"/>
      <c r="H20" s="3030" t="s">
        <v>3497</v>
      </c>
      <c r="I20" s="3030" t="s">
        <v>3498</v>
      </c>
      <c r="J20" s="3031" t="s">
        <v>3499</v>
      </c>
      <c r="K20" s="1889" t="s">
        <v>3500</v>
      </c>
      <c r="L20" s="1889" t="s">
        <v>3501</v>
      </c>
      <c r="M20" s="1889" t="s">
        <v>3502</v>
      </c>
      <c r="N20" s="1889" t="s">
        <v>3503</v>
      </c>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473"/>
      <c r="B21" s="2001" t="s">
        <v>1997</v>
      </c>
      <c r="C21" s="2002">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3172" t="s">
        <v>3496</v>
      </c>
      <c r="G21" s="1994">
        <f>SUM(H21:O21)</f>
        <v>275</v>
      </c>
      <c r="H21" s="2002">
        <f>SUMPRODUCT((七通一平=H20)*(修正!B1:M1=G2)*(修正!B8:M16))</f>
        <v>70</v>
      </c>
      <c r="I21" s="2002">
        <f>SUMPRODUCT((七通一平=I20)*(修正!B1:M1=G2)*(修正!B8:M16))</f>
        <v>60</v>
      </c>
      <c r="J21" s="2003">
        <f>SUMPRODUCT((七通一平=J20)*(修正!B1:M1=G2)*(修正!B8:M16))</f>
        <v>15</v>
      </c>
      <c r="K21" s="2002">
        <f>SUMPRODUCT((七通一平=K20)*(修正!B1:M1=G2)*(修正!B8:M16))</f>
        <v>25</v>
      </c>
      <c r="L21" s="2002">
        <f>SUMPRODUCT((七通一平=L20)*(修正!B1:M1=G2)*(修正!B8:M16))</f>
        <v>40</v>
      </c>
      <c r="M21" s="2002">
        <f>SUMPRODUCT((七通一平=M20)*(修正!B1:M1=G2)*(修正!B8:M16))</f>
        <v>50</v>
      </c>
      <c r="N21" s="2002">
        <f>SUMPRODUCT((七通一平=N20)*(修正!B1:M1=G2)*(修正!B8:M16))</f>
        <v>15</v>
      </c>
      <c r="O21" s="2004">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5" t="s">
        <v>363</v>
      </c>
      <c r="B22" s="1996" t="s">
        <v>2000</v>
      </c>
      <c r="C22" s="1997">
        <f>SUMIF(修正!C20:C51,E3,修正!E20:E51)</f>
        <v>1</v>
      </c>
      <c r="D22" s="1998"/>
      <c r="E22" s="1999"/>
      <c r="F22" s="1999"/>
      <c r="G22" s="1999"/>
      <c r="H22" s="1999"/>
      <c r="I22" s="1999"/>
      <c r="J22" s="2000"/>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1.0072000000000001</v>
      </c>
      <c r="D23" s="1896" t="s">
        <v>2002</v>
      </c>
      <c r="E23" s="717">
        <v>44197</v>
      </c>
      <c r="F23" s="1896" t="s">
        <v>2003</v>
      </c>
      <c r="G23" s="718">
        <f>'数据-取费表'!B2</f>
        <v>45814</v>
      </c>
      <c r="H23" s="3046" t="s">
        <v>3255</v>
      </c>
      <c r="I23" s="3047" t="str">
        <f>IF(H23="季度增幅（自定义）",SUMIF(N25:N28,E2,O25:O28),"")</f>
        <v/>
      </c>
      <c r="J23" s="3139" t="s">
        <v>3438</v>
      </c>
      <c r="K23" s="1061"/>
      <c r="L23" s="1897" t="s">
        <v>2004</v>
      </c>
      <c r="M23" s="1241">
        <f>ROUND(SUMIF(地价!B2:G2,E2,地价!B16:G16),0)</f>
        <v>350</v>
      </c>
      <c r="N23" s="1898" t="s">
        <v>2005</v>
      </c>
      <c r="O23" s="719">
        <f>ROUNDDOWN(DATEDIF(E23,G23,"M")/3,0)</f>
        <v>17</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0.90920000000000001</v>
      </c>
      <c r="D24" s="1902" t="s">
        <v>2007</v>
      </c>
      <c r="E24" s="1248">
        <f>存贷款利率!E28/100</f>
        <v>4.3499999999999997E-2</v>
      </c>
      <c r="F24" s="1902" t="s">
        <v>1999</v>
      </c>
      <c r="G24" s="724">
        <f>SUMIF(M30:Q30,E2,M33:Q33)</f>
        <v>5.5E-2</v>
      </c>
      <c r="H24" s="1902" t="s">
        <v>2008</v>
      </c>
      <c r="I24" s="725">
        <f>SUMIF('数据-取费表'!C6:C15,E2,'数据-取费表'!F6:F15)/COUNTIF('数据-取费表'!C6:C15,E2)</f>
        <v>35.020000000000003</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3334</v>
      </c>
      <c r="C25" s="461">
        <f>IF(B25="容积率修正",IF(G3&lt;10,D26,J26),C27)</f>
        <v>1</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3256</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3257</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1.0641</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4">
        <f>IF(B25="容积率修正",E33+SUM(E37:E42),SUM(V2:V16)+SUM(E37:E42))</f>
        <v>56</v>
      </c>
      <c r="D30" s="1925"/>
      <c r="E30" s="1842"/>
      <c r="F30" s="1926"/>
      <c r="G30" s="1842"/>
      <c r="H30" s="1842"/>
      <c r="I30" s="1842"/>
      <c r="J30" s="1927"/>
      <c r="K30" s="1056"/>
      <c r="L30" s="3053" t="s">
        <v>1936</v>
      </c>
      <c r="M30" s="3054" t="s">
        <v>1990</v>
      </c>
      <c r="N30" s="3054" t="s">
        <v>1991</v>
      </c>
      <c r="O30" s="3054" t="s">
        <v>1992</v>
      </c>
      <c r="P30" s="3054" t="s">
        <v>1993</v>
      </c>
      <c r="Q30" s="3057"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8423</v>
      </c>
      <c r="D33" s="1940">
        <f>'数据-汇总表'!E19</f>
        <v>66.63</v>
      </c>
      <c r="E33" s="727">
        <f>ROUND(C33*D33/10000,0)</f>
        <v>56</v>
      </c>
      <c r="F33" s="3048" t="s">
        <v>3259</v>
      </c>
      <c r="G33" s="1941"/>
      <c r="H33" s="1941"/>
      <c r="I33" s="1941"/>
      <c r="J33" s="1942"/>
      <c r="K33" s="1056"/>
      <c r="L33" s="3051" t="s">
        <v>3262</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2106</v>
      </c>
      <c r="D34" s="1945"/>
      <c r="E34" s="727">
        <f>ROUND(IF(B25="楼层修正",SUM(V2:V16)*M40,C34*D34/10000),0)</f>
        <v>0</v>
      </c>
      <c r="F34" s="1946" t="s">
        <v>2032</v>
      </c>
      <c r="G34" s="1947"/>
      <c r="H34" s="1947"/>
      <c r="I34" s="1947"/>
      <c r="J34" s="1948"/>
      <c r="K34" s="1056"/>
      <c r="L34" s="3051" t="s">
        <v>3263</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3264</v>
      </c>
      <c r="L36" s="3140">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76"/>
      <c r="B37" s="1955" t="s">
        <v>2036</v>
      </c>
      <c r="C37" s="167">
        <f>ROUND(D5*C22*C23*C24*C28*F37,0)</f>
        <v>4954</v>
      </c>
      <c r="D37" s="1940"/>
      <c r="E37" s="163">
        <f>ROUND(C37*D37/10000,0)</f>
        <v>0</v>
      </c>
      <c r="F37" s="163">
        <f>SUMIF(修正!A57:A68,G2,修正!B57:B68)</f>
        <v>0.6</v>
      </c>
      <c r="G37" s="163">
        <f>ROUND(IF(E2="工业",C37*$M$42,C37*$M$41),0)</f>
        <v>1239</v>
      </c>
      <c r="H37" s="163">
        <f>D37</f>
        <v>0</v>
      </c>
      <c r="I37" s="163">
        <f>ROUND(G37*H37/10000,0)</f>
        <v>0</v>
      </c>
      <c r="J37" s="2752"/>
      <c r="K37" s="3059" t="s">
        <v>3265</v>
      </c>
      <c r="L37" s="1964">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77"/>
      <c r="B38" s="1884" t="s">
        <v>2037</v>
      </c>
      <c r="C38" s="167">
        <f>ROUND(D5*C22*C23*C24*C28*F38,0)</f>
        <v>2477</v>
      </c>
      <c r="D38" s="1940"/>
      <c r="E38" s="163">
        <f t="shared" ref="E38:E42" si="4">ROUND(C38*D38/10000,0)</f>
        <v>0</v>
      </c>
      <c r="F38" s="163">
        <f>SUMIF(修正!A57:A68,G2,修正!C57:C68)</f>
        <v>0.3</v>
      </c>
      <c r="G38" s="163">
        <f>ROUND(IF(E2="工业",C38*$M$42,C38*$M$41),0)</f>
        <v>619</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77"/>
      <c r="B39" s="1884" t="s">
        <v>3258</v>
      </c>
      <c r="C39" s="167">
        <f>ROUND(D5*C22*C23*C24*C28*F39,0)</f>
        <v>2064</v>
      </c>
      <c r="D39" s="1940"/>
      <c r="E39" s="163">
        <f t="shared" si="4"/>
        <v>0</v>
      </c>
      <c r="F39" s="163">
        <f>SUMIF(修正!A57:A68,G2,修正!D57:D68)</f>
        <v>0.25</v>
      </c>
      <c r="G39" s="163">
        <f>ROUND(IF(E2="工业",C39*$M$42,C39*$M$41),0)</f>
        <v>516</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2064</v>
      </c>
      <c r="D40" s="1940"/>
      <c r="E40" s="163">
        <f t="shared" si="4"/>
        <v>0</v>
      </c>
      <c r="F40" s="167">
        <f>SUMIF(修正!A57:A68,G2,修正!E57:E68)</f>
        <v>0.25</v>
      </c>
      <c r="G40" s="163">
        <f>ROUND(IF(E2="工业",C40*$M$42,C40*$M$41),0)</f>
        <v>516</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0" t="s">
        <v>3266</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8" t="s">
        <v>3268</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1.0641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t="s">
        <v>3439</v>
      </c>
      <c r="D61" s="1002">
        <f t="shared" ref="D61:D69" si="12">SUMIF($J$60:$N$60,C61,J61:N61)</f>
        <v>1.6199999999999999E-2</v>
      </c>
      <c r="E61" s="702">
        <f>ROUND(SUM(D61:D69),4)</f>
        <v>6.4100000000000004E-2</v>
      </c>
      <c r="F61" s="1675">
        <f>IF(E2="办公",SUMIF(L1:L12,G2,N1:N12),"——")</f>
        <v>0.13</v>
      </c>
      <c r="G61" s="1000">
        <v>1.6199999999999999E-2</v>
      </c>
      <c r="H61" s="1003">
        <f t="shared" ref="H61:H69" si="13">IFERROR(ROUNDDOWN($F$61*I61/2,4),"——")</f>
        <v>1.6199999999999999E-2</v>
      </c>
      <c r="I61" s="3066">
        <v>0.25</v>
      </c>
      <c r="J61" s="1001">
        <f t="shared" ref="J61:J69" si="14">K61+$G61</f>
        <v>3.2399999999999998E-2</v>
      </c>
      <c r="K61" s="1001">
        <f t="shared" ref="K61:K69" si="15">$L61+$G61</f>
        <v>1.6199999999999999E-2</v>
      </c>
      <c r="L61" s="1001">
        <v>0</v>
      </c>
      <c r="M61" s="1001">
        <f t="shared" ref="M61:N69" si="16">L61-$G61</f>
        <v>-1.6199999999999999E-2</v>
      </c>
      <c r="N61" s="1001">
        <f t="shared" si="16"/>
        <v>-3.2399999999999998E-2</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t="s">
        <v>3439</v>
      </c>
      <c r="D62" s="1002">
        <f t="shared" si="12"/>
        <v>1.6899999999999998E-2</v>
      </c>
      <c r="E62" s="703"/>
      <c r="F62" s="1675"/>
      <c r="G62" s="1000">
        <v>1.6899999999999998E-2</v>
      </c>
      <c r="H62" s="1003">
        <f t="shared" si="13"/>
        <v>1.6899999999999998E-2</v>
      </c>
      <c r="I62" s="3066">
        <v>0.26</v>
      </c>
      <c r="J62" s="1001">
        <f t="shared" si="14"/>
        <v>3.3799999999999997E-2</v>
      </c>
      <c r="K62" s="1001">
        <f t="shared" si="15"/>
        <v>1.6899999999999998E-2</v>
      </c>
      <c r="L62" s="1001">
        <v>0</v>
      </c>
      <c r="M62" s="1001">
        <f t="shared" si="16"/>
        <v>-1.6899999999999998E-2</v>
      </c>
      <c r="N62" s="1001">
        <f t="shared" si="16"/>
        <v>-3.3799999999999997E-2</v>
      </c>
      <c r="AA62" s="1057"/>
      <c r="AB62" s="1057"/>
      <c r="AC62" s="1057"/>
      <c r="AD62" s="1057"/>
      <c r="AE62" s="1057"/>
      <c r="AF62" s="1057"/>
      <c r="AG62" s="1057"/>
      <c r="AH62" s="1057"/>
      <c r="AI62" s="1057"/>
      <c r="AJ62" s="1057"/>
      <c r="AK62" s="1057"/>
    </row>
    <row r="63" spans="1:37" s="1056" customFormat="1" ht="48">
      <c r="A63" s="3068" t="s">
        <v>3268</v>
      </c>
      <c r="B63" s="1262">
        <f>估价对象房地状况!C19</f>
        <v>0</v>
      </c>
      <c r="C63" s="1887" t="s">
        <v>3439</v>
      </c>
      <c r="D63" s="1002">
        <f t="shared" si="12"/>
        <v>7.1000000000000004E-3</v>
      </c>
      <c r="E63" s="703"/>
      <c r="F63" s="1675"/>
      <c r="G63" s="1000">
        <v>7.1000000000000004E-3</v>
      </c>
      <c r="H63" s="1003">
        <f t="shared" si="13"/>
        <v>7.1000000000000004E-3</v>
      </c>
      <c r="I63" s="3066">
        <v>0.11</v>
      </c>
      <c r="J63" s="1001">
        <f t="shared" si="14"/>
        <v>1.4200000000000001E-2</v>
      </c>
      <c r="K63" s="1001">
        <f t="shared" si="15"/>
        <v>7.1000000000000004E-3</v>
      </c>
      <c r="L63" s="1001">
        <v>0</v>
      </c>
      <c r="M63" s="1001">
        <f t="shared" si="16"/>
        <v>-7.1000000000000004E-3</v>
      </c>
      <c r="N63" s="1001">
        <f t="shared" si="16"/>
        <v>-1.4200000000000001E-2</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3439</v>
      </c>
      <c r="D64" s="1002">
        <f t="shared" si="12"/>
        <v>3.2000000000000002E-3</v>
      </c>
      <c r="E64" s="703"/>
      <c r="F64" s="1675"/>
      <c r="G64" s="1000">
        <v>3.2000000000000002E-3</v>
      </c>
      <c r="H64" s="1003">
        <f t="shared" si="13"/>
        <v>3.2000000000000002E-3</v>
      </c>
      <c r="I64" s="3066">
        <v>0.05</v>
      </c>
      <c r="J64" s="1001">
        <f t="shared" si="14"/>
        <v>6.4000000000000003E-3</v>
      </c>
      <c r="K64" s="1001">
        <f t="shared" si="15"/>
        <v>3.2000000000000002E-3</v>
      </c>
      <c r="L64" s="1001">
        <v>0</v>
      </c>
      <c r="M64" s="1001">
        <f t="shared" si="16"/>
        <v>-3.2000000000000002E-3</v>
      </c>
      <c r="N64" s="1001">
        <f t="shared" si="16"/>
        <v>-6.4000000000000003E-3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3504</v>
      </c>
      <c r="D65" s="1002">
        <f t="shared" si="12"/>
        <v>-3.2000000000000002E-3</v>
      </c>
      <c r="E65" s="703"/>
      <c r="F65" s="1675"/>
      <c r="G65" s="1000">
        <v>3.2000000000000002E-3</v>
      </c>
      <c r="H65" s="1003">
        <f t="shared" si="13"/>
        <v>3.2000000000000002E-3</v>
      </c>
      <c r="I65" s="3066">
        <v>0.05</v>
      </c>
      <c r="J65" s="1001">
        <f t="shared" si="14"/>
        <v>6.4000000000000003E-3</v>
      </c>
      <c r="K65" s="1001">
        <f t="shared" si="15"/>
        <v>3.2000000000000002E-3</v>
      </c>
      <c r="L65" s="1001">
        <v>0</v>
      </c>
      <c r="M65" s="1001">
        <f t="shared" si="16"/>
        <v>-3.2000000000000002E-3</v>
      </c>
      <c r="N65" s="1001">
        <f t="shared" si="16"/>
        <v>-6.4000000000000003E-3</v>
      </c>
      <c r="AA65" s="1057"/>
      <c r="AB65" s="1057"/>
      <c r="AC65" s="1057"/>
      <c r="AD65" s="1057"/>
      <c r="AE65" s="1057"/>
      <c r="AF65" s="1057"/>
      <c r="AG65" s="1057"/>
      <c r="AH65" s="1057"/>
      <c r="AI65" s="1057"/>
      <c r="AJ65" s="1057"/>
      <c r="AK65" s="1057"/>
    </row>
    <row r="66" spans="1:37" s="1056" customFormat="1" ht="36">
      <c r="A66" s="1970" t="s">
        <v>2057</v>
      </c>
      <c r="B66" s="1975" t="s">
        <v>2058</v>
      </c>
      <c r="C66" s="1887" t="s">
        <v>3439</v>
      </c>
      <c r="D66" s="1002">
        <f t="shared" si="12"/>
        <v>3.8999999999999998E-3</v>
      </c>
      <c r="E66" s="703"/>
      <c r="F66" s="1675"/>
      <c r="G66" s="1000">
        <v>3.8999999999999998E-3</v>
      </c>
      <c r="H66" s="1003">
        <f t="shared" si="13"/>
        <v>3.8999999999999998E-3</v>
      </c>
      <c r="I66" s="3066">
        <v>0.06</v>
      </c>
      <c r="J66" s="1001">
        <f t="shared" si="14"/>
        <v>7.7999999999999996E-3</v>
      </c>
      <c r="K66" s="1001">
        <f t="shared" si="15"/>
        <v>3.8999999999999998E-3</v>
      </c>
      <c r="L66" s="1001">
        <v>0</v>
      </c>
      <c r="M66" s="1001">
        <f t="shared" si="16"/>
        <v>-3.8999999999999998E-3</v>
      </c>
      <c r="N66" s="1001">
        <f t="shared" si="16"/>
        <v>-7.7999999999999996E-3</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t="s">
        <v>3439</v>
      </c>
      <c r="D67" s="1002">
        <f t="shared" si="12"/>
        <v>3.8999999999999998E-3</v>
      </c>
      <c r="E67" s="703"/>
      <c r="F67" s="1675"/>
      <c r="G67" s="1000">
        <v>3.8999999999999998E-3</v>
      </c>
      <c r="H67" s="1003">
        <f t="shared" si="13"/>
        <v>3.8999999999999998E-3</v>
      </c>
      <c r="I67" s="3066">
        <v>0.06</v>
      </c>
      <c r="J67" s="1001">
        <f t="shared" si="14"/>
        <v>7.7999999999999996E-3</v>
      </c>
      <c r="K67" s="1001">
        <f t="shared" si="15"/>
        <v>3.8999999999999998E-3</v>
      </c>
      <c r="L67" s="1001">
        <v>0</v>
      </c>
      <c r="M67" s="1001">
        <f t="shared" si="16"/>
        <v>-3.8999999999999998E-3</v>
      </c>
      <c r="N67" s="1001">
        <f t="shared" si="16"/>
        <v>-7.7999999999999996E-3</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t="s">
        <v>3440</v>
      </c>
      <c r="D68" s="1002">
        <f t="shared" si="12"/>
        <v>1.1599999999999999E-2</v>
      </c>
      <c r="E68" s="703"/>
      <c r="F68" s="1675"/>
      <c r="G68" s="1000">
        <v>5.7999999999999996E-3</v>
      </c>
      <c r="H68" s="1003">
        <f t="shared" si="13"/>
        <v>5.7999999999999996E-3</v>
      </c>
      <c r="I68" s="3066">
        <v>0.09</v>
      </c>
      <c r="J68" s="1001">
        <f t="shared" si="14"/>
        <v>1.1599999999999999E-2</v>
      </c>
      <c r="K68" s="1001">
        <f t="shared" si="15"/>
        <v>5.7999999999999996E-3</v>
      </c>
      <c r="L68" s="1001">
        <v>0</v>
      </c>
      <c r="M68" s="1001">
        <f t="shared" si="16"/>
        <v>-5.7999999999999996E-3</v>
      </c>
      <c r="N68" s="1001">
        <f t="shared" si="16"/>
        <v>-1.1599999999999999E-2</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t="s">
        <v>3439</v>
      </c>
      <c r="D69" s="1002">
        <f t="shared" si="12"/>
        <v>4.4999999999999997E-3</v>
      </c>
      <c r="E69" s="704"/>
      <c r="F69" s="1675"/>
      <c r="G69" s="1000">
        <v>4.4999999999999997E-3</v>
      </c>
      <c r="H69" s="1003">
        <f t="shared" si="13"/>
        <v>4.4999999999999997E-3</v>
      </c>
      <c r="I69" s="3067">
        <v>7.0000000000000007E-2</v>
      </c>
      <c r="J69" s="1001">
        <f t="shared" si="14"/>
        <v>8.9999999999999993E-3</v>
      </c>
      <c r="K69" s="1001">
        <f t="shared" si="15"/>
        <v>4.4999999999999997E-3</v>
      </c>
      <c r="L69" s="1001">
        <v>0</v>
      </c>
      <c r="M69" s="1001">
        <f t="shared" si="16"/>
        <v>-4.4999999999999997E-3</v>
      </c>
      <c r="N69" s="1001">
        <f t="shared" si="16"/>
        <v>-8.9999999999999993E-3</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3268</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c r="A85" s="3068" t="s">
        <v>3269</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2612</v>
      </c>
      <c r="B91" s="3077">
        <f>1+E93</f>
        <v>1</v>
      </c>
      <c r="C91" s="3070"/>
      <c r="D91" s="3071"/>
      <c r="E91" s="1675"/>
      <c r="F91" s="1675"/>
      <c r="G91" s="3072"/>
      <c r="H91" s="3073"/>
      <c r="I91" s="3074"/>
      <c r="J91" s="3075"/>
      <c r="K91" s="3075"/>
      <c r="L91" s="3075"/>
      <c r="M91" s="3075"/>
      <c r="N91" s="3075"/>
    </row>
    <row r="92" spans="1:37" ht="25.2">
      <c r="A92" s="3078" t="s">
        <v>3270</v>
      </c>
      <c r="B92" s="2308"/>
      <c r="C92" s="2308" t="s">
        <v>3279</v>
      </c>
      <c r="D92" s="2308" t="s">
        <v>3280</v>
      </c>
      <c r="E92" s="3050" t="s">
        <v>3281</v>
      </c>
      <c r="F92" s="3080" t="s">
        <v>3282</v>
      </c>
      <c r="G92" s="2308" t="s">
        <v>3283</v>
      </c>
      <c r="H92" s="3087" t="s">
        <v>3286</v>
      </c>
      <c r="I92" s="2308" t="s">
        <v>3287</v>
      </c>
      <c r="J92" s="2149" t="s">
        <v>3288</v>
      </c>
      <c r="K92" s="2149" t="s">
        <v>3289</v>
      </c>
      <c r="L92" s="2149" t="s">
        <v>3290</v>
      </c>
      <c r="M92" s="2149" t="s">
        <v>3291</v>
      </c>
      <c r="N92" s="2149" t="s">
        <v>3292</v>
      </c>
    </row>
    <row r="93" spans="1:37" ht="24">
      <c r="A93" s="3068" t="s">
        <v>3271</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c r="A94" s="3078" t="s">
        <v>3272</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3268</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3273</v>
      </c>
      <c r="B96" s="3084" t="s">
        <v>3284</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3274</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3275</v>
      </c>
      <c r="B98" s="3085" t="s">
        <v>3285</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6.4">
      <c r="A99" s="3078" t="s">
        <v>3276</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c r="A100" s="3078" t="s">
        <v>3277</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40.200000000000003" thickBot="1">
      <c r="A101" s="3079" t="s">
        <v>3278</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74" t="s">
        <v>3293</v>
      </c>
      <c r="B103" s="3474"/>
      <c r="C103" s="3474"/>
      <c r="D103" s="3474"/>
      <c r="E103" s="3474"/>
      <c r="F103" s="3474"/>
      <c r="G103" s="3474"/>
      <c r="H103" s="3474"/>
      <c r="I103" s="3474"/>
      <c r="J103" s="3474"/>
      <c r="K103" s="1667"/>
      <c r="L103" s="1667"/>
      <c r="M103" s="1667"/>
      <c r="N103" s="1667"/>
    </row>
    <row r="104" spans="1:14">
      <c r="A104" s="3475" t="s">
        <v>3294</v>
      </c>
      <c r="B104" s="3475" t="s">
        <v>3295</v>
      </c>
      <c r="C104" s="3088" t="s">
        <v>3296</v>
      </c>
      <c r="D104" s="3089"/>
      <c r="E104" s="3089"/>
      <c r="F104" s="3089"/>
      <c r="G104" s="3089"/>
      <c r="H104" s="3089"/>
      <c r="I104" s="3089"/>
      <c r="J104" s="3090"/>
      <c r="K104" s="3091"/>
      <c r="L104" s="3091"/>
      <c r="M104" s="3091"/>
      <c r="N104" s="3091"/>
    </row>
    <row r="105" spans="1:14">
      <c r="A105" s="3475"/>
      <c r="B105" s="3475"/>
      <c r="C105" s="3092" t="s">
        <v>3297</v>
      </c>
      <c r="D105" s="3092" t="s">
        <v>3298</v>
      </c>
      <c r="E105" s="3092" t="s">
        <v>3299</v>
      </c>
      <c r="F105" s="3092" t="s">
        <v>3300</v>
      </c>
      <c r="G105" s="3092" t="s">
        <v>3301</v>
      </c>
      <c r="H105" s="3092" t="s">
        <v>3302</v>
      </c>
      <c r="I105" s="3092" t="s">
        <v>3303</v>
      </c>
      <c r="J105" s="3092" t="s">
        <v>3304</v>
      </c>
      <c r="K105" s="3092" t="s">
        <v>3305</v>
      </c>
      <c r="L105" s="3092" t="s">
        <v>3306</v>
      </c>
      <c r="M105" s="3092" t="s">
        <v>3307</v>
      </c>
      <c r="N105" s="3092" t="s">
        <v>3308</v>
      </c>
    </row>
    <row r="106" spans="1:14">
      <c r="A106" s="3461" t="s">
        <v>3309</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62"/>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62"/>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62"/>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62"/>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62"/>
      <c r="B111" s="3092" t="s">
        <v>3267</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63"/>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64" t="s">
        <v>3310</v>
      </c>
      <c r="B113" s="3464"/>
      <c r="C113" s="3464"/>
      <c r="D113" s="3464"/>
      <c r="E113" s="3464"/>
      <c r="F113" s="3464"/>
      <c r="G113" s="3464"/>
      <c r="H113" s="3464"/>
      <c r="I113" s="3464"/>
      <c r="J113" s="3464"/>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3311</v>
      </c>
      <c r="B116" s="3112">
        <f>G3</f>
        <v>2.5</v>
      </c>
      <c r="C116" s="3097" t="s">
        <v>3312</v>
      </c>
      <c r="D116" s="3098">
        <f>SUMPRODUCT((A118:A122=F116)*(B117:M117=H116)*B118:M122)</f>
        <v>0.90600000000000003</v>
      </c>
      <c r="E116" s="162" t="s">
        <v>3313</v>
      </c>
      <c r="F116" s="3099" t="str">
        <f>E2</f>
        <v>办公</v>
      </c>
      <c r="G116" s="162" t="s">
        <v>3314</v>
      </c>
      <c r="H116" s="3099" t="str">
        <f>G2</f>
        <v>七级</v>
      </c>
      <c r="I116" s="162"/>
      <c r="J116" s="3100"/>
      <c r="K116" s="3100"/>
      <c r="L116" s="3100"/>
      <c r="M116" s="3100"/>
      <c r="N116" s="3095"/>
    </row>
    <row r="117" spans="1:14">
      <c r="A117" s="3101"/>
      <c r="B117" s="3102" t="s">
        <v>3315</v>
      </c>
      <c r="C117" s="3102" t="s">
        <v>3316</v>
      </c>
      <c r="D117" s="3102" t="s">
        <v>3317</v>
      </c>
      <c r="E117" s="3103" t="s">
        <v>3318</v>
      </c>
      <c r="F117" s="3103" t="s">
        <v>3319</v>
      </c>
      <c r="G117" s="3103" t="s">
        <v>3320</v>
      </c>
      <c r="H117" s="3104" t="s">
        <v>3321</v>
      </c>
      <c r="I117" s="3104" t="s">
        <v>3322</v>
      </c>
      <c r="J117" s="3105" t="s">
        <v>3323</v>
      </c>
      <c r="K117" s="3105" t="s">
        <v>3324</v>
      </c>
      <c r="L117" s="3105" t="s">
        <v>3325</v>
      </c>
      <c r="M117" s="3106" t="s">
        <v>3326</v>
      </c>
      <c r="N117" s="3095"/>
    </row>
    <row r="118" spans="1:14">
      <c r="A118" s="3055" t="s">
        <v>3327</v>
      </c>
      <c r="B118" s="3087">
        <f>ROUND(0.9968-0.011*B116,4)</f>
        <v>0.96930000000000005</v>
      </c>
      <c r="C118" s="3087">
        <f>B118</f>
        <v>0.96930000000000005</v>
      </c>
      <c r="D118" s="3087">
        <f>ROUND(0.949-0.014*B116,4)</f>
        <v>0.91400000000000003</v>
      </c>
      <c r="E118" s="3087">
        <f>D118</f>
        <v>0.91400000000000003</v>
      </c>
      <c r="F118" s="3087">
        <f>E118</f>
        <v>0.91400000000000003</v>
      </c>
      <c r="G118" s="3087">
        <f>F118</f>
        <v>0.91400000000000003</v>
      </c>
      <c r="H118" s="3087">
        <f>G118</f>
        <v>0.91400000000000003</v>
      </c>
      <c r="I118" s="3087">
        <f>ROUND(0.8486-0.018*B116,4)</f>
        <v>0.80359999999999998</v>
      </c>
      <c r="J118" s="3087">
        <f t="shared" ref="J118:M122" si="35">I118</f>
        <v>0.80359999999999998</v>
      </c>
      <c r="K118" s="3087">
        <f t="shared" si="35"/>
        <v>0.80359999999999998</v>
      </c>
      <c r="L118" s="3087">
        <f t="shared" si="35"/>
        <v>0.80359999999999998</v>
      </c>
      <c r="M118" s="3107">
        <f t="shared" si="35"/>
        <v>0.80359999999999998</v>
      </c>
      <c r="N118" s="3095"/>
    </row>
    <row r="119" spans="1:14">
      <c r="A119" s="3055" t="s">
        <v>3328</v>
      </c>
      <c r="B119" s="3087">
        <f>ROUND(0.993-0.0112*B116,4)</f>
        <v>0.96499999999999997</v>
      </c>
      <c r="C119" s="3087">
        <f>B119</f>
        <v>0.96499999999999997</v>
      </c>
      <c r="D119" s="3087">
        <f>ROUND(0.9415-0.0142*B116,4)</f>
        <v>0.90600000000000003</v>
      </c>
      <c r="E119" s="3087">
        <f t="shared" ref="E119:H120" si="36">D119</f>
        <v>0.90600000000000003</v>
      </c>
      <c r="F119" s="3087">
        <f t="shared" si="36"/>
        <v>0.90600000000000003</v>
      </c>
      <c r="G119" s="3087">
        <f t="shared" si="36"/>
        <v>0.90600000000000003</v>
      </c>
      <c r="H119" s="3087">
        <f t="shared" si="36"/>
        <v>0.90600000000000003</v>
      </c>
      <c r="I119" s="3087">
        <f>ROUND(0.838-0.0182*B116,4)</f>
        <v>0.79249999999999998</v>
      </c>
      <c r="J119" s="3087">
        <f t="shared" si="35"/>
        <v>0.79249999999999998</v>
      </c>
      <c r="K119" s="3087">
        <f t="shared" si="35"/>
        <v>0.79249999999999998</v>
      </c>
      <c r="L119" s="3087">
        <f t="shared" si="35"/>
        <v>0.79249999999999998</v>
      </c>
      <c r="M119" s="3107">
        <f t="shared" si="35"/>
        <v>0.79249999999999998</v>
      </c>
      <c r="N119" s="3095"/>
    </row>
    <row r="120" spans="1:14">
      <c r="A120" s="3055" t="s">
        <v>3329</v>
      </c>
      <c r="B120" s="3087">
        <f>ROUND(0.9448-0.0115*B116,4)</f>
        <v>0.91610000000000003</v>
      </c>
      <c r="C120" s="3087">
        <f>B120</f>
        <v>0.91610000000000003</v>
      </c>
      <c r="D120" s="3087">
        <f>ROUND(0.937-0.0145*B116,4)</f>
        <v>0.90080000000000005</v>
      </c>
      <c r="E120" s="3087">
        <f t="shared" si="36"/>
        <v>0.90080000000000005</v>
      </c>
      <c r="F120" s="3087">
        <f t="shared" si="36"/>
        <v>0.90080000000000005</v>
      </c>
      <c r="G120" s="3087">
        <f t="shared" si="36"/>
        <v>0.90080000000000005</v>
      </c>
      <c r="H120" s="3087">
        <f t="shared" si="36"/>
        <v>0.90080000000000005</v>
      </c>
      <c r="I120" s="3087">
        <f>ROUND(0.7965-0.0185*B116,4)</f>
        <v>0.75029999999999997</v>
      </c>
      <c r="J120" s="3087">
        <f t="shared" si="35"/>
        <v>0.75029999999999997</v>
      </c>
      <c r="K120" s="3087">
        <f t="shared" si="35"/>
        <v>0.75029999999999997</v>
      </c>
      <c r="L120" s="3087">
        <f t="shared" si="35"/>
        <v>0.75029999999999997</v>
      </c>
      <c r="M120" s="3107">
        <f t="shared" si="35"/>
        <v>0.75029999999999997</v>
      </c>
      <c r="N120" s="3095"/>
    </row>
    <row r="121" spans="1:14" ht="13.8" thickBot="1">
      <c r="A121" s="3108" t="s">
        <v>3330</v>
      </c>
      <c r="B121" s="3109">
        <f>ROUND(0.7836-0.012*B116,4)</f>
        <v>0.75360000000000005</v>
      </c>
      <c r="C121" s="3109">
        <f>B121</f>
        <v>0.75360000000000005</v>
      </c>
      <c r="D121" s="3109">
        <f>ROUND(0.753-0.015*B116,4)</f>
        <v>0.71550000000000002</v>
      </c>
      <c r="E121" s="3109">
        <f>D121</f>
        <v>0.71550000000000002</v>
      </c>
      <c r="F121" s="3109">
        <f>E121</f>
        <v>0.71550000000000002</v>
      </c>
      <c r="G121" s="3109">
        <f>ROUND(0.6612-0.018*B116,4)</f>
        <v>0.61619999999999997</v>
      </c>
      <c r="H121" s="3109">
        <f>G121</f>
        <v>0.61619999999999997</v>
      </c>
      <c r="I121" s="3109">
        <f>ROUND(0.5905-0.019*B116,4)</f>
        <v>0.54300000000000004</v>
      </c>
      <c r="J121" s="3109">
        <f t="shared" si="35"/>
        <v>0.54300000000000004</v>
      </c>
      <c r="K121" s="3109">
        <f t="shared" si="35"/>
        <v>0.54300000000000004</v>
      </c>
      <c r="L121" s="3109">
        <f t="shared" si="35"/>
        <v>0.54300000000000004</v>
      </c>
      <c r="M121" s="3110">
        <f t="shared" si="35"/>
        <v>0.54300000000000004</v>
      </c>
      <c r="N121" s="3095"/>
    </row>
    <row r="122" spans="1:14">
      <c r="A122" s="3111" t="s">
        <v>2612</v>
      </c>
      <c r="B122" s="3087">
        <f>ROUND(0.9404-0.0106*B116,4)</f>
        <v>0.91390000000000005</v>
      </c>
      <c r="C122" s="3087">
        <f>B122</f>
        <v>0.91390000000000005</v>
      </c>
      <c r="D122" s="3087">
        <f>ROUND(0.8955-0.0135*B116,4)</f>
        <v>0.86180000000000001</v>
      </c>
      <c r="E122" s="3087">
        <f t="shared" ref="E122:H122" si="37">D122</f>
        <v>0.86180000000000001</v>
      </c>
      <c r="F122" s="3087">
        <f t="shared" si="37"/>
        <v>0.86180000000000001</v>
      </c>
      <c r="G122" s="3087">
        <f t="shared" si="37"/>
        <v>0.86180000000000001</v>
      </c>
      <c r="H122" s="3087">
        <f t="shared" si="37"/>
        <v>0.86180000000000001</v>
      </c>
      <c r="I122" s="3087">
        <f>ROUND(0.7632-0.0166*B116,4)</f>
        <v>0.72170000000000001</v>
      </c>
      <c r="J122" s="3087">
        <f t="shared" si="35"/>
        <v>0.72170000000000001</v>
      </c>
      <c r="K122" s="3087">
        <f t="shared" si="35"/>
        <v>0.72170000000000001</v>
      </c>
      <c r="L122" s="3087">
        <f t="shared" si="35"/>
        <v>0.72170000000000001</v>
      </c>
      <c r="M122" s="3107">
        <f t="shared" si="35"/>
        <v>0.72170000000000001</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700-000000000000}">
      <formula1>"500米范围内,500-1000米,1000米以外"</formula1>
    </dataValidation>
    <dataValidation type="list" allowBlank="1" showInputMessage="1" showErrorMessage="1" sqref="C15:D15" xr:uid="{00000000-0002-0000-2700-000001000000}">
      <formula1>"有,无"</formula1>
    </dataValidation>
    <dataValidation type="list" allowBlank="1" showInputMessage="1" showErrorMessage="1" sqref="B25" xr:uid="{00000000-0002-0000-2700-000002000000}">
      <formula1>"容积率修正,楼层修正"</formula1>
    </dataValidation>
    <dataValidation type="list" allowBlank="1" showInputMessage="1" showErrorMessage="1" sqref="F21" xr:uid="{00000000-0002-0000-2700-000003000000}">
      <formula1>"与级别开发程度一致,与级别开发程度不一致"</formula1>
    </dataValidation>
    <dataValidation type="list" allowBlank="1" showInputMessage="1" showErrorMessage="1" sqref="E2" xr:uid="{00000000-0002-0000-2700-000004000000}">
      <formula1>"商业,办公,住宅,工业,公共服务"</formula1>
    </dataValidation>
    <dataValidation type="list" allowBlank="1" showInputMessage="1" showErrorMessage="1" sqref="F3" xr:uid="{00000000-0002-0000-2700-000005000000}">
      <formula1>"宗地容积率,估价对象容积率,自定义容积率"</formula1>
    </dataValidation>
    <dataValidation type="list" allowBlank="1" showInputMessage="1" showErrorMessage="1" sqref="C8" xr:uid="{00000000-0002-0000-2700-000006000000}">
      <formula1>商业街名称</formula1>
    </dataValidation>
    <dataValidation type="list" allowBlank="1" showInputMessage="1" showErrorMessage="1" sqref="E3" xr:uid="{00000000-0002-0000-2700-000007000000}">
      <formula1>二级分类</formula1>
    </dataValidation>
    <dataValidation type="list" allowBlank="1" showInputMessage="1" showErrorMessage="1" sqref="C61:C69 C72:C80 C50:C58 C83:C91 C93:C101" xr:uid="{00000000-0002-0000-2700-000008000000}">
      <formula1>五等判定</formula1>
    </dataValidation>
    <dataValidation type="list" allowBlank="1" showInputMessage="1" showErrorMessage="1" sqref="H23" xr:uid="{00000000-0002-0000-2700-000009000000}">
      <formula1>"地价指数,季度增幅（自定义）,按公示增长率计算"</formula1>
    </dataValidation>
    <dataValidation type="list" allowBlank="1" showInputMessage="1" showErrorMessage="1" sqref="H20:O20" xr:uid="{00000000-0002-0000-2700-00000A000000}">
      <formula1>七通一平</formula1>
    </dataValidation>
    <dataValidation type="list" allowBlank="1" showInputMessage="1" showErrorMessage="1" sqref="J23" xr:uid="{00000000-0002-0000-27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38"/>
  <sheetViews>
    <sheetView zoomScale="70" zoomScaleNormal="70" workbookViewId="0">
      <selection sqref="A1:XFD1048576"/>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489" t="s">
        <v>2607</v>
      </c>
      <c r="B20" s="3484" t="s">
        <v>2628</v>
      </c>
      <c r="C20" s="2840" t="s">
        <v>2439</v>
      </c>
      <c r="D20" s="2841"/>
      <c r="E20" s="2842">
        <v>1</v>
      </c>
      <c r="F20" s="2843" t="s">
        <v>2440</v>
      </c>
      <c r="G20" s="2843"/>
    </row>
    <row r="21" spans="1:13" ht="19.5" customHeight="1">
      <c r="A21" s="3490"/>
      <c r="B21" s="3483"/>
      <c r="C21" s="2844" t="s">
        <v>2441</v>
      </c>
      <c r="D21" s="2845"/>
      <c r="E21" s="2846">
        <v>1</v>
      </c>
      <c r="F21" s="2843" t="s">
        <v>2442</v>
      </c>
      <c r="G21" s="2843"/>
    </row>
    <row r="22" spans="1:13" ht="19.5" customHeight="1">
      <c r="A22" s="3490"/>
      <c r="B22" s="3483"/>
      <c r="C22" s="2844" t="s">
        <v>2443</v>
      </c>
      <c r="D22" s="2845"/>
      <c r="E22" s="2846">
        <v>0.9</v>
      </c>
      <c r="F22" s="2843" t="s">
        <v>2444</v>
      </c>
      <c r="G22" s="2843"/>
    </row>
    <row r="23" spans="1:13" ht="19.5" customHeight="1">
      <c r="A23" s="3490"/>
      <c r="B23" s="3483"/>
      <c r="C23" s="2844" t="s">
        <v>2445</v>
      </c>
      <c r="D23" s="2845"/>
      <c r="E23" s="2846">
        <v>0.9</v>
      </c>
      <c r="F23" s="2843" t="s">
        <v>2446</v>
      </c>
      <c r="G23" s="2843"/>
    </row>
    <row r="24" spans="1:13" ht="19.5" customHeight="1">
      <c r="A24" s="3490"/>
      <c r="B24" s="3483"/>
      <c r="C24" s="2844" t="s">
        <v>2447</v>
      </c>
      <c r="D24" s="2845"/>
      <c r="E24" s="2846">
        <v>0.8</v>
      </c>
      <c r="F24" s="2843" t="s">
        <v>2448</v>
      </c>
      <c r="G24" s="2843"/>
    </row>
    <row r="25" spans="1:13" ht="19.5" customHeight="1" thickBot="1">
      <c r="A25" s="3491"/>
      <c r="B25" s="3485"/>
      <c r="C25" s="2847" t="s">
        <v>2449</v>
      </c>
      <c r="D25" s="2848"/>
      <c r="E25" s="2849">
        <v>0.8</v>
      </c>
      <c r="F25" s="2843" t="s">
        <v>2450</v>
      </c>
      <c r="G25" s="2843"/>
    </row>
    <row r="26" spans="1:13" ht="19.5" customHeight="1" thickBot="1">
      <c r="A26" s="2850" t="s">
        <v>2629</v>
      </c>
      <c r="B26" s="2851" t="s">
        <v>2628</v>
      </c>
      <c r="C26" s="2852" t="s">
        <v>2630</v>
      </c>
      <c r="D26" s="2853"/>
      <c r="E26" s="2854">
        <v>1</v>
      </c>
      <c r="F26" s="2843" t="s">
        <v>2451</v>
      </c>
      <c r="G26" s="2843"/>
    </row>
    <row r="27" spans="1:13" ht="19.5" customHeight="1">
      <c r="A27" s="3486" t="s">
        <v>2631</v>
      </c>
      <c r="B27" s="3484" t="s">
        <v>2612</v>
      </c>
      <c r="C27" s="2840" t="s">
        <v>2452</v>
      </c>
      <c r="D27" s="2841"/>
      <c r="E27" s="2842">
        <v>1</v>
      </c>
      <c r="F27" s="2843" t="s">
        <v>2453</v>
      </c>
      <c r="G27" s="2843"/>
    </row>
    <row r="28" spans="1:13" ht="19.5" customHeight="1">
      <c r="A28" s="3487"/>
      <c r="B28" s="3483"/>
      <c r="C28" s="2844" t="s">
        <v>2454</v>
      </c>
      <c r="D28" s="2845"/>
      <c r="E28" s="2846">
        <v>1</v>
      </c>
      <c r="F28" s="2843" t="s">
        <v>2455</v>
      </c>
      <c r="G28" s="2843"/>
    </row>
    <row r="29" spans="1:13" ht="19.5" customHeight="1">
      <c r="A29" s="3487"/>
      <c r="B29" s="3483"/>
      <c r="C29" s="2844" t="s">
        <v>2456</v>
      </c>
      <c r="D29" s="2845"/>
      <c r="E29" s="2846">
        <v>0.8</v>
      </c>
      <c r="F29" s="2843" t="s">
        <v>2457</v>
      </c>
      <c r="G29" s="2843"/>
    </row>
    <row r="30" spans="1:13" ht="19.5" customHeight="1">
      <c r="A30" s="3487"/>
      <c r="B30" s="3483"/>
      <c r="C30" s="2844" t="s">
        <v>2458</v>
      </c>
      <c r="D30" s="2845"/>
      <c r="E30" s="2846">
        <v>0.8</v>
      </c>
      <c r="F30" s="2843" t="s">
        <v>2459</v>
      </c>
      <c r="G30" s="2843"/>
    </row>
    <row r="31" spans="1:13" ht="19.5" customHeight="1">
      <c r="A31" s="3487"/>
      <c r="B31" s="3483"/>
      <c r="C31" s="2844" t="s">
        <v>2460</v>
      </c>
      <c r="D31" s="2845"/>
      <c r="E31" s="2846">
        <v>0.8</v>
      </c>
      <c r="F31" s="2843" t="s">
        <v>2461</v>
      </c>
      <c r="G31" s="2843"/>
    </row>
    <row r="32" spans="1:13" ht="19.5" customHeight="1">
      <c r="A32" s="3487"/>
      <c r="B32" s="3483"/>
      <c r="C32" s="2844" t="s">
        <v>2462</v>
      </c>
      <c r="D32" s="2845"/>
      <c r="E32" s="2846">
        <v>0.7</v>
      </c>
      <c r="F32" s="2843" t="s">
        <v>2463</v>
      </c>
      <c r="G32" s="2843"/>
    </row>
    <row r="33" spans="1:7" ht="19.5" customHeight="1">
      <c r="A33" s="3487"/>
      <c r="B33" s="3483"/>
      <c r="C33" s="2844" t="s">
        <v>2464</v>
      </c>
      <c r="D33" s="2845"/>
      <c r="E33" s="2846">
        <v>0.8</v>
      </c>
      <c r="F33" s="2843" t="s">
        <v>2465</v>
      </c>
      <c r="G33" s="2843"/>
    </row>
    <row r="34" spans="1:7" ht="19.5" customHeight="1">
      <c r="A34" s="3487"/>
      <c r="B34" s="3483"/>
      <c r="C34" s="2844" t="s">
        <v>2466</v>
      </c>
      <c r="D34" s="2845"/>
      <c r="E34" s="2846">
        <v>0.6</v>
      </c>
      <c r="F34" s="2843" t="s">
        <v>2467</v>
      </c>
      <c r="G34" s="2843"/>
    </row>
    <row r="35" spans="1:7" ht="19.5" customHeight="1">
      <c r="A35" s="3487"/>
      <c r="B35" s="3483"/>
      <c r="C35" s="2844" t="s">
        <v>2468</v>
      </c>
      <c r="D35" s="2845"/>
      <c r="E35" s="2846">
        <v>0.2</v>
      </c>
      <c r="F35" s="2843" t="s">
        <v>2469</v>
      </c>
      <c r="G35" s="2843"/>
    </row>
    <row r="36" spans="1:7" ht="19.5" customHeight="1">
      <c r="A36" s="3487"/>
      <c r="B36" s="3483"/>
      <c r="C36" s="2844" t="s">
        <v>2470</v>
      </c>
      <c r="D36" s="2845"/>
      <c r="E36" s="2846">
        <v>0.2</v>
      </c>
      <c r="F36" s="2843" t="s">
        <v>2471</v>
      </c>
      <c r="G36" s="2843"/>
    </row>
    <row r="37" spans="1:7" ht="19.5" customHeight="1">
      <c r="A37" s="3487"/>
      <c r="B37" s="3481" t="s">
        <v>2632</v>
      </c>
      <c r="C37" s="2844" t="s">
        <v>2472</v>
      </c>
      <c r="D37" s="2845"/>
      <c r="E37" s="2846">
        <v>0.6</v>
      </c>
      <c r="F37" s="2843" t="s">
        <v>2473</v>
      </c>
      <c r="G37" s="2843"/>
    </row>
    <row r="38" spans="1:7" ht="19.5" customHeight="1">
      <c r="A38" s="3487"/>
      <c r="B38" s="3483"/>
      <c r="C38" s="2844" t="s">
        <v>2474</v>
      </c>
      <c r="D38" s="2845"/>
      <c r="E38" s="2846">
        <v>0.6</v>
      </c>
      <c r="F38" s="2843" t="s">
        <v>2475</v>
      </c>
      <c r="G38" s="2843"/>
    </row>
    <row r="39" spans="1:7" ht="19.5" customHeight="1" thickBot="1">
      <c r="A39" s="3488"/>
      <c r="B39" s="3485"/>
      <c r="C39" s="2847" t="s">
        <v>2476</v>
      </c>
      <c r="D39" s="2848"/>
      <c r="E39" s="2849">
        <v>0.6</v>
      </c>
      <c r="F39" s="2843" t="s">
        <v>2477</v>
      </c>
      <c r="G39" s="2843"/>
    </row>
    <row r="40" spans="1:7" ht="19.5" customHeight="1" thickBot="1">
      <c r="A40" s="2850" t="s">
        <v>2609</v>
      </c>
      <c r="B40" s="2851" t="s">
        <v>2609</v>
      </c>
      <c r="C40" s="2852" t="s">
        <v>2633</v>
      </c>
      <c r="D40" s="2853"/>
      <c r="E40" s="2854">
        <v>1</v>
      </c>
      <c r="F40" s="2843" t="s">
        <v>2478</v>
      </c>
      <c r="G40" s="2843"/>
    </row>
    <row r="41" spans="1:7" ht="19.5" customHeight="1">
      <c r="A41" s="3489" t="s">
        <v>2610</v>
      </c>
      <c r="B41" s="3484" t="s">
        <v>2634</v>
      </c>
      <c r="C41" s="2840" t="s">
        <v>2479</v>
      </c>
      <c r="D41" s="2841"/>
      <c r="E41" s="2842">
        <v>1</v>
      </c>
      <c r="F41" s="2843" t="s">
        <v>2480</v>
      </c>
      <c r="G41" s="2843"/>
    </row>
    <row r="42" spans="1:7" ht="19.5" customHeight="1">
      <c r="A42" s="3490"/>
      <c r="B42" s="3483"/>
      <c r="C42" s="2844" t="s">
        <v>2481</v>
      </c>
      <c r="D42" s="2845"/>
      <c r="E42" s="2846">
        <v>1</v>
      </c>
      <c r="F42" s="2843" t="s">
        <v>2482</v>
      </c>
      <c r="G42" s="2843"/>
    </row>
    <row r="43" spans="1:7" ht="19.5" customHeight="1">
      <c r="A43" s="3490"/>
      <c r="B43" s="3482"/>
      <c r="C43" s="2844" t="s">
        <v>2483</v>
      </c>
      <c r="D43" s="2845"/>
      <c r="E43" s="2846">
        <v>1.5</v>
      </c>
      <c r="F43" s="2843" t="s">
        <v>2484</v>
      </c>
      <c r="G43" s="2843"/>
    </row>
    <row r="44" spans="1:7" ht="19.5" customHeight="1">
      <c r="A44" s="3490"/>
      <c r="B44" s="2855" t="s">
        <v>2635</v>
      </c>
      <c r="C44" s="2844" t="s">
        <v>2636</v>
      </c>
      <c r="D44" s="2845"/>
      <c r="E44" s="2846">
        <v>2</v>
      </c>
      <c r="F44" s="2843" t="s">
        <v>2485</v>
      </c>
      <c r="G44" s="2843"/>
    </row>
    <row r="45" spans="1:7" ht="19.5" customHeight="1">
      <c r="A45" s="3490"/>
      <c r="B45" s="3481" t="s">
        <v>2637</v>
      </c>
      <c r="C45" s="2844" t="s">
        <v>2486</v>
      </c>
      <c r="D45" s="2845"/>
      <c r="E45" s="2846">
        <v>1</v>
      </c>
      <c r="F45" s="2843" t="s">
        <v>2487</v>
      </c>
      <c r="G45" s="2843"/>
    </row>
    <row r="46" spans="1:7" ht="19.5" customHeight="1">
      <c r="A46" s="3490"/>
      <c r="B46" s="3483"/>
      <c r="C46" s="2844" t="s">
        <v>2488</v>
      </c>
      <c r="D46" s="2845"/>
      <c r="E46" s="2846">
        <v>1</v>
      </c>
      <c r="F46" s="2843" t="s">
        <v>2489</v>
      </c>
      <c r="G46" s="2843"/>
    </row>
    <row r="47" spans="1:7" ht="19.5" customHeight="1">
      <c r="A47" s="3490"/>
      <c r="B47" s="3483"/>
      <c r="C47" s="2844" t="s">
        <v>2490</v>
      </c>
      <c r="D47" s="2845"/>
      <c r="E47" s="2846">
        <v>1</v>
      </c>
      <c r="F47" s="2843" t="s">
        <v>2491</v>
      </c>
      <c r="G47" s="2843"/>
    </row>
    <row r="48" spans="1:7" ht="19.5" customHeight="1">
      <c r="A48" s="3490"/>
      <c r="B48" s="3483"/>
      <c r="C48" s="2844" t="s">
        <v>2492</v>
      </c>
      <c r="D48" s="2845"/>
      <c r="E48" s="2846">
        <v>1</v>
      </c>
      <c r="F48" s="2843" t="s">
        <v>2493</v>
      </c>
      <c r="G48" s="2843"/>
    </row>
    <row r="49" spans="1:7" ht="19.5" customHeight="1">
      <c r="A49" s="3490"/>
      <c r="B49" s="3483"/>
      <c r="C49" s="2844" t="s">
        <v>2494</v>
      </c>
      <c r="D49" s="2845"/>
      <c r="E49" s="2846">
        <v>1</v>
      </c>
      <c r="F49" s="2843" t="s">
        <v>2495</v>
      </c>
      <c r="G49" s="2843"/>
    </row>
    <row r="50" spans="1:7" ht="19.5" customHeight="1">
      <c r="A50" s="3490"/>
      <c r="B50" s="3483"/>
      <c r="C50" s="2844" t="s">
        <v>2496</v>
      </c>
      <c r="D50" s="2845"/>
      <c r="E50" s="2846">
        <v>1</v>
      </c>
      <c r="F50" s="2843" t="s">
        <v>2497</v>
      </c>
      <c r="G50" s="2843"/>
    </row>
    <row r="51" spans="1:7" ht="19.5" customHeight="1" thickBot="1">
      <c r="A51" s="3491"/>
      <c r="B51" s="3485"/>
      <c r="C51" s="2847" t="s">
        <v>2498</v>
      </c>
      <c r="D51" s="2848"/>
      <c r="E51" s="2849">
        <v>1</v>
      </c>
      <c r="F51" s="2843" t="s">
        <v>2499</v>
      </c>
      <c r="G51" s="2843"/>
    </row>
    <row r="52" spans="1:7" ht="19.5" customHeight="1">
      <c r="A52" s="2856"/>
      <c r="B52" s="2856"/>
      <c r="C52" s="2856"/>
      <c r="D52" s="2856"/>
      <c r="E52" s="2856"/>
      <c r="F52" s="2856"/>
      <c r="G52" s="2856"/>
    </row>
    <row r="54" spans="1:7" ht="19.5" customHeight="1">
      <c r="A54" s="2857"/>
      <c r="B54" s="2829" t="s">
        <v>2638</v>
      </c>
      <c r="C54" s="2829" t="s">
        <v>2638</v>
      </c>
      <c r="D54" s="2829" t="s">
        <v>2638</v>
      </c>
      <c r="E54" s="2832" t="s">
        <v>2638</v>
      </c>
      <c r="F54" s="2832" t="s">
        <v>2639</v>
      </c>
      <c r="G54" s="2832" t="s">
        <v>2640</v>
      </c>
    </row>
    <row r="55" spans="1:7" ht="19.5" customHeight="1">
      <c r="A55" s="2858"/>
      <c r="B55" s="2832" t="s">
        <v>2607</v>
      </c>
      <c r="C55" s="2832" t="s">
        <v>2607</v>
      </c>
      <c r="D55" s="2832" t="s">
        <v>2607</v>
      </c>
      <c r="E55" s="2829" t="s">
        <v>2608</v>
      </c>
      <c r="F55" s="2829" t="s">
        <v>2610</v>
      </c>
      <c r="G55" s="2829" t="s">
        <v>2641</v>
      </c>
    </row>
    <row r="56" spans="1:7" ht="19.5" customHeight="1">
      <c r="A56" s="2859"/>
      <c r="B56" s="2829">
        <v>1</v>
      </c>
      <c r="C56" s="2829">
        <v>2</v>
      </c>
      <c r="D56" s="2829">
        <v>3</v>
      </c>
      <c r="E56" s="2860" t="s">
        <v>2642</v>
      </c>
      <c r="F56" s="2860" t="s">
        <v>2642</v>
      </c>
      <c r="G56" s="2860" t="s">
        <v>2642</v>
      </c>
    </row>
    <row r="57" spans="1:7" ht="19.5" customHeight="1">
      <c r="A57" s="2861" t="s">
        <v>2595</v>
      </c>
      <c r="B57" s="2829">
        <v>0.7</v>
      </c>
      <c r="C57" s="2829">
        <v>0.4</v>
      </c>
      <c r="D57" s="2829">
        <v>0.3</v>
      </c>
      <c r="E57" s="2860">
        <v>0.3</v>
      </c>
      <c r="F57" s="2829">
        <v>0.3</v>
      </c>
      <c r="G57" s="2829">
        <v>0.2</v>
      </c>
    </row>
    <row r="58" spans="1:7" ht="19.5" customHeight="1">
      <c r="A58" s="2861" t="s">
        <v>2596</v>
      </c>
      <c r="B58" s="2829">
        <v>0.7</v>
      </c>
      <c r="C58" s="2829">
        <v>0.4</v>
      </c>
      <c r="D58" s="2829">
        <v>0.3</v>
      </c>
      <c r="E58" s="2829">
        <v>0.3</v>
      </c>
      <c r="F58" s="2829">
        <v>0.3</v>
      </c>
      <c r="G58" s="2829">
        <v>0.2</v>
      </c>
    </row>
    <row r="59" spans="1:7" ht="19.5" customHeight="1">
      <c r="A59" s="2861" t="s">
        <v>2597</v>
      </c>
      <c r="B59" s="2829">
        <v>0.6</v>
      </c>
      <c r="C59" s="2829">
        <v>0.3</v>
      </c>
      <c r="D59" s="2829">
        <v>0.25</v>
      </c>
      <c r="E59" s="2829">
        <v>0.25</v>
      </c>
      <c r="F59" s="2829">
        <v>0.25</v>
      </c>
      <c r="G59" s="2829">
        <v>0.15</v>
      </c>
    </row>
    <row r="60" spans="1:7" ht="19.5" customHeight="1">
      <c r="A60" s="2861" t="s">
        <v>2598</v>
      </c>
      <c r="B60" s="2829">
        <v>0.6</v>
      </c>
      <c r="C60" s="2829">
        <v>0.3</v>
      </c>
      <c r="D60" s="2829">
        <v>0.25</v>
      </c>
      <c r="E60" s="2829">
        <v>0.25</v>
      </c>
      <c r="F60" s="2829">
        <v>0.25</v>
      </c>
      <c r="G60" s="2829">
        <v>0.15</v>
      </c>
    </row>
    <row r="61" spans="1:7" ht="19.5" customHeight="1">
      <c r="A61" s="2861" t="s">
        <v>2599</v>
      </c>
      <c r="B61" s="2829">
        <v>0.6</v>
      </c>
      <c r="C61" s="2829">
        <v>0.3</v>
      </c>
      <c r="D61" s="2829">
        <v>0.25</v>
      </c>
      <c r="E61" s="2829">
        <v>0.25</v>
      </c>
      <c r="F61" s="2829">
        <v>0.25</v>
      </c>
      <c r="G61" s="2829">
        <v>0.15</v>
      </c>
    </row>
    <row r="62" spans="1:7" ht="19.5" customHeight="1">
      <c r="A62" s="2861" t="s">
        <v>2600</v>
      </c>
      <c r="B62" s="2829">
        <v>0.6</v>
      </c>
      <c r="C62" s="2829">
        <v>0.3</v>
      </c>
      <c r="D62" s="2829">
        <v>0.25</v>
      </c>
      <c r="E62" s="2829">
        <v>0.25</v>
      </c>
      <c r="F62" s="2829">
        <v>0.25</v>
      </c>
      <c r="G62" s="2829">
        <v>0.15</v>
      </c>
    </row>
    <row r="63" spans="1:7" ht="19.5" customHeight="1">
      <c r="A63" s="2861" t="s">
        <v>2601</v>
      </c>
      <c r="B63" s="2829">
        <v>0.6</v>
      </c>
      <c r="C63" s="2829">
        <v>0.3</v>
      </c>
      <c r="D63" s="2829">
        <v>0.25</v>
      </c>
      <c r="E63" s="2829">
        <v>0.25</v>
      </c>
      <c r="F63" s="2829">
        <v>0.25</v>
      </c>
      <c r="G63" s="2829">
        <v>0.15</v>
      </c>
    </row>
    <row r="64" spans="1:7" ht="19.5" customHeight="1">
      <c r="A64" s="2861" t="s">
        <v>2602</v>
      </c>
      <c r="B64" s="2829">
        <v>0.5</v>
      </c>
      <c r="C64" s="2829">
        <v>0.2</v>
      </c>
      <c r="D64" s="2829">
        <v>0.2</v>
      </c>
      <c r="E64" s="2829">
        <v>0.2</v>
      </c>
      <c r="F64" s="2829">
        <v>0.2</v>
      </c>
      <c r="G64" s="2829">
        <v>0.1</v>
      </c>
    </row>
    <row r="65" spans="1:7" ht="19.5" customHeight="1">
      <c r="A65" s="2861" t="s">
        <v>2603</v>
      </c>
      <c r="B65" s="2829">
        <v>0.5</v>
      </c>
      <c r="C65" s="2829">
        <v>0.2</v>
      </c>
      <c r="D65" s="2829">
        <v>0.2</v>
      </c>
      <c r="E65" s="2829">
        <v>0.2</v>
      </c>
      <c r="F65" s="2829">
        <v>0.2</v>
      </c>
      <c r="G65" s="2829">
        <v>0.1</v>
      </c>
    </row>
    <row r="66" spans="1:7" ht="19.5" customHeight="1">
      <c r="A66" s="2861" t="s">
        <v>2604</v>
      </c>
      <c r="B66" s="2829">
        <v>0.5</v>
      </c>
      <c r="C66" s="2829">
        <v>0.2</v>
      </c>
      <c r="D66" s="2829">
        <v>0.2</v>
      </c>
      <c r="E66" s="2829">
        <v>0.2</v>
      </c>
      <c r="F66" s="2829">
        <v>0.2</v>
      </c>
      <c r="G66" s="2829">
        <v>0.1</v>
      </c>
    </row>
    <row r="67" spans="1:7" ht="19.5" customHeight="1">
      <c r="A67" s="2861" t="s">
        <v>2605</v>
      </c>
      <c r="B67" s="2829">
        <v>0.5</v>
      </c>
      <c r="C67" s="2829">
        <v>0.2</v>
      </c>
      <c r="D67" s="2829">
        <v>0.2</v>
      </c>
      <c r="E67" s="2829">
        <v>0.2</v>
      </c>
      <c r="F67" s="2829">
        <v>0.2</v>
      </c>
      <c r="G67" s="2829">
        <v>0.1</v>
      </c>
    </row>
    <row r="68" spans="1:7" ht="19.5" customHeight="1">
      <c r="A68" s="2861" t="s">
        <v>2606</v>
      </c>
      <c r="B68" s="2829">
        <v>0.5</v>
      </c>
      <c r="C68" s="2829">
        <v>0.2</v>
      </c>
      <c r="D68" s="2829">
        <v>0.2</v>
      </c>
      <c r="E68" s="2829">
        <v>0.2</v>
      </c>
      <c r="F68" s="2829">
        <v>0.2</v>
      </c>
      <c r="G68" s="2829">
        <v>0.1</v>
      </c>
    </row>
    <row r="70" spans="1:7" ht="19.5" customHeight="1">
      <c r="A70" s="2843"/>
      <c r="B70" s="2862"/>
      <c r="C70" s="2862"/>
      <c r="D70" s="2862" t="s">
        <v>2643</v>
      </c>
      <c r="E70" s="2862"/>
      <c r="F70" s="2862"/>
    </row>
    <row r="71" spans="1:7" ht="19.5" customHeight="1">
      <c r="A71" s="2855" t="s">
        <v>2644</v>
      </c>
      <c r="B71" s="2855" t="s">
        <v>2645</v>
      </c>
      <c r="C71" s="2855" t="s">
        <v>2646</v>
      </c>
      <c r="D71" s="2855" t="s">
        <v>2647</v>
      </c>
      <c r="E71" s="2855" t="s">
        <v>2648</v>
      </c>
      <c r="F71" s="2855" t="s">
        <v>2649</v>
      </c>
    </row>
    <row r="72" spans="1:7" ht="14.4">
      <c r="A72" s="2855"/>
      <c r="B72" s="2855"/>
      <c r="C72" s="2855" t="s">
        <v>2650</v>
      </c>
      <c r="D72" s="2855"/>
      <c r="E72" s="2855" t="s">
        <v>2621</v>
      </c>
      <c r="F72" s="2855" t="s">
        <v>2621</v>
      </c>
    </row>
    <row r="73" spans="1:7" ht="14.4">
      <c r="A73" s="2855">
        <v>1</v>
      </c>
      <c r="B73" s="3481" t="s">
        <v>2651</v>
      </c>
      <c r="C73" s="2829" t="s">
        <v>2652</v>
      </c>
      <c r="D73" s="2829" t="s">
        <v>2653</v>
      </c>
      <c r="E73" s="2855">
        <v>0.2</v>
      </c>
      <c r="F73" s="2855">
        <v>25</v>
      </c>
    </row>
    <row r="74" spans="1:7" ht="24">
      <c r="A74" s="2855">
        <v>2</v>
      </c>
      <c r="B74" s="3483"/>
      <c r="C74" s="2829" t="s">
        <v>2654</v>
      </c>
      <c r="D74" s="2829" t="s">
        <v>2655</v>
      </c>
      <c r="E74" s="2855">
        <v>0.2</v>
      </c>
      <c r="F74" s="2855">
        <v>25</v>
      </c>
    </row>
    <row r="75" spans="1:7" ht="24">
      <c r="A75" s="2855">
        <v>3</v>
      </c>
      <c r="B75" s="3483"/>
      <c r="C75" s="2829" t="s">
        <v>2656</v>
      </c>
      <c r="D75" s="2829" t="s">
        <v>2657</v>
      </c>
      <c r="E75" s="2855">
        <v>0.2</v>
      </c>
      <c r="F75" s="2855">
        <v>25</v>
      </c>
    </row>
    <row r="76" spans="1:7" ht="14.4">
      <c r="A76" s="2855">
        <v>4</v>
      </c>
      <c r="B76" s="3483"/>
      <c r="C76" s="2829" t="s">
        <v>2658</v>
      </c>
      <c r="D76" s="2829" t="s">
        <v>2659</v>
      </c>
      <c r="E76" s="2855">
        <v>0.15</v>
      </c>
      <c r="F76" s="2855">
        <v>20</v>
      </c>
    </row>
    <row r="77" spans="1:7" ht="24">
      <c r="A77" s="2855">
        <v>5</v>
      </c>
      <c r="B77" s="3483"/>
      <c r="C77" s="2829" t="s">
        <v>2660</v>
      </c>
      <c r="D77" s="2829" t="s">
        <v>2661</v>
      </c>
      <c r="E77" s="2855">
        <v>0.15</v>
      </c>
      <c r="F77" s="2855">
        <v>20</v>
      </c>
    </row>
    <row r="78" spans="1:7" ht="24">
      <c r="A78" s="2855">
        <v>6</v>
      </c>
      <c r="B78" s="3483"/>
      <c r="C78" s="2829" t="s">
        <v>2662</v>
      </c>
      <c r="D78" s="2829" t="s">
        <v>2663</v>
      </c>
      <c r="E78" s="2855">
        <v>0.15</v>
      </c>
      <c r="F78" s="2855">
        <v>20</v>
      </c>
    </row>
    <row r="79" spans="1:7" ht="24">
      <c r="A79" s="2855">
        <v>7</v>
      </c>
      <c r="B79" s="3483"/>
      <c r="C79" s="2829" t="s">
        <v>2664</v>
      </c>
      <c r="D79" s="2829" t="s">
        <v>2665</v>
      </c>
      <c r="E79" s="2855">
        <v>0.15</v>
      </c>
      <c r="F79" s="2855">
        <v>20</v>
      </c>
    </row>
    <row r="80" spans="1:7" ht="24">
      <c r="A80" s="2855">
        <v>8</v>
      </c>
      <c r="B80" s="3483"/>
      <c r="C80" s="2829" t="s">
        <v>2666</v>
      </c>
      <c r="D80" s="2829" t="s">
        <v>2667</v>
      </c>
      <c r="E80" s="2855">
        <v>0.1</v>
      </c>
      <c r="F80" s="2855">
        <v>15</v>
      </c>
    </row>
    <row r="81" spans="1:6" ht="24">
      <c r="A81" s="2855">
        <v>9</v>
      </c>
      <c r="B81" s="3483"/>
      <c r="C81" s="2829" t="s">
        <v>2668</v>
      </c>
      <c r="D81" s="2829" t="s">
        <v>2669</v>
      </c>
      <c r="E81" s="2855">
        <v>0.1</v>
      </c>
      <c r="F81" s="2855">
        <v>15</v>
      </c>
    </row>
    <row r="82" spans="1:6" ht="24">
      <c r="A82" s="2855">
        <v>10</v>
      </c>
      <c r="B82" s="3483"/>
      <c r="C82" s="2829" t="s">
        <v>2670</v>
      </c>
      <c r="D82" s="2829" t="s">
        <v>2671</v>
      </c>
      <c r="E82" s="2855">
        <v>0.1</v>
      </c>
      <c r="F82" s="2855">
        <v>15</v>
      </c>
    </row>
    <row r="83" spans="1:6" ht="24">
      <c r="A83" s="2855">
        <v>11</v>
      </c>
      <c r="B83" s="3483"/>
      <c r="C83" s="2829" t="s">
        <v>2672</v>
      </c>
      <c r="D83" s="2829" t="s">
        <v>2673</v>
      </c>
      <c r="E83" s="2855">
        <v>0.1</v>
      </c>
      <c r="F83" s="2855">
        <v>15</v>
      </c>
    </row>
    <row r="84" spans="1:6" ht="24">
      <c r="A84" s="2855">
        <v>12</v>
      </c>
      <c r="B84" s="3483"/>
      <c r="C84" s="2829" t="s">
        <v>2674</v>
      </c>
      <c r="D84" s="2829" t="s">
        <v>2675</v>
      </c>
      <c r="E84" s="2855">
        <v>0.1</v>
      </c>
      <c r="F84" s="2855">
        <v>15</v>
      </c>
    </row>
    <row r="85" spans="1:6" ht="24">
      <c r="A85" s="2855">
        <v>13</v>
      </c>
      <c r="B85" s="3483"/>
      <c r="C85" s="2829" t="s">
        <v>2676</v>
      </c>
      <c r="D85" s="2829" t="s">
        <v>2677</v>
      </c>
      <c r="E85" s="2855">
        <v>0.1</v>
      </c>
      <c r="F85" s="2855">
        <v>15</v>
      </c>
    </row>
    <row r="86" spans="1:6" ht="24">
      <c r="A86" s="2855">
        <v>14</v>
      </c>
      <c r="B86" s="3483"/>
      <c r="C86" s="2829" t="s">
        <v>2678</v>
      </c>
      <c r="D86" s="2829" t="s">
        <v>2679</v>
      </c>
      <c r="E86" s="2855">
        <v>0.1</v>
      </c>
      <c r="F86" s="2855">
        <v>15</v>
      </c>
    </row>
    <row r="87" spans="1:6" ht="24">
      <c r="A87" s="2855">
        <v>15</v>
      </c>
      <c r="B87" s="3483"/>
      <c r="C87" s="2829" t="s">
        <v>2680</v>
      </c>
      <c r="D87" s="2829" t="s">
        <v>2681</v>
      </c>
      <c r="E87" s="2855">
        <v>0.1</v>
      </c>
      <c r="F87" s="2855">
        <v>15</v>
      </c>
    </row>
    <row r="88" spans="1:6" ht="24">
      <c r="A88" s="2855">
        <v>16</v>
      </c>
      <c r="B88" s="3483"/>
      <c r="C88" s="2829" t="s">
        <v>2682</v>
      </c>
      <c r="D88" s="2829" t="s">
        <v>2683</v>
      </c>
      <c r="E88" s="2855">
        <v>0.1</v>
      </c>
      <c r="F88" s="2855">
        <v>15</v>
      </c>
    </row>
    <row r="89" spans="1:6" ht="24">
      <c r="A89" s="2855">
        <v>17</v>
      </c>
      <c r="B89" s="3482"/>
      <c r="C89" s="2829" t="s">
        <v>2684</v>
      </c>
      <c r="D89" s="2829" t="s">
        <v>2685</v>
      </c>
      <c r="E89" s="2855">
        <v>0.1</v>
      </c>
      <c r="F89" s="2855">
        <v>15</v>
      </c>
    </row>
    <row r="90" spans="1:6" ht="14.4">
      <c r="A90" s="2855">
        <v>18</v>
      </c>
      <c r="B90" s="3481" t="s">
        <v>2686</v>
      </c>
      <c r="C90" s="2829" t="s">
        <v>2687</v>
      </c>
      <c r="D90" s="2829" t="s">
        <v>2688</v>
      </c>
      <c r="E90" s="2855">
        <v>0.2</v>
      </c>
      <c r="F90" s="2855">
        <v>25</v>
      </c>
    </row>
    <row r="91" spans="1:6" ht="24">
      <c r="A91" s="2855">
        <v>19</v>
      </c>
      <c r="B91" s="3483"/>
      <c r="C91" s="2829" t="s">
        <v>2689</v>
      </c>
      <c r="D91" s="2829" t="s">
        <v>2690</v>
      </c>
      <c r="E91" s="2855">
        <v>0.2</v>
      </c>
      <c r="F91" s="2855">
        <v>25</v>
      </c>
    </row>
    <row r="92" spans="1:6" ht="14.4">
      <c r="A92" s="2855">
        <v>20</v>
      </c>
      <c r="B92" s="3483"/>
      <c r="C92" s="2829" t="s">
        <v>2691</v>
      </c>
      <c r="D92" s="2829" t="s">
        <v>2692</v>
      </c>
      <c r="E92" s="2855">
        <v>0.15</v>
      </c>
      <c r="F92" s="2855">
        <v>20</v>
      </c>
    </row>
    <row r="93" spans="1:6" ht="24">
      <c r="A93" s="2855">
        <v>21</v>
      </c>
      <c r="B93" s="3483"/>
      <c r="C93" s="2829" t="s">
        <v>2693</v>
      </c>
      <c r="D93" s="2829" t="s">
        <v>2694</v>
      </c>
      <c r="E93" s="2855">
        <v>0.15</v>
      </c>
      <c r="F93" s="2855">
        <v>20</v>
      </c>
    </row>
    <row r="94" spans="1:6" ht="24">
      <c r="A94" s="2855">
        <v>22</v>
      </c>
      <c r="B94" s="3483"/>
      <c r="C94" s="2829" t="s">
        <v>2695</v>
      </c>
      <c r="D94" s="2829" t="s">
        <v>2696</v>
      </c>
      <c r="E94" s="2855">
        <v>0.15</v>
      </c>
      <c r="F94" s="2855">
        <v>20</v>
      </c>
    </row>
    <row r="95" spans="1:6" ht="36">
      <c r="A95" s="2855">
        <v>23</v>
      </c>
      <c r="B95" s="3483"/>
      <c r="C95" s="2829" t="s">
        <v>2697</v>
      </c>
      <c r="D95" s="2829" t="s">
        <v>2698</v>
      </c>
      <c r="E95" s="2855">
        <v>0.15</v>
      </c>
      <c r="F95" s="2855">
        <v>20</v>
      </c>
    </row>
    <row r="96" spans="1:6" ht="24">
      <c r="A96" s="2855">
        <v>24</v>
      </c>
      <c r="B96" s="3483"/>
      <c r="C96" s="2829" t="s">
        <v>2699</v>
      </c>
      <c r="D96" s="2829" t="s">
        <v>2700</v>
      </c>
      <c r="E96" s="2855">
        <v>0.1</v>
      </c>
      <c r="F96" s="2855">
        <v>15</v>
      </c>
    </row>
    <row r="97" spans="1:6" ht="24">
      <c r="A97" s="2855">
        <v>25</v>
      </c>
      <c r="B97" s="3483"/>
      <c r="C97" s="2829" t="s">
        <v>2701</v>
      </c>
      <c r="D97" s="2829" t="s">
        <v>2702</v>
      </c>
      <c r="E97" s="2855">
        <v>0.1</v>
      </c>
      <c r="F97" s="2855">
        <v>15</v>
      </c>
    </row>
    <row r="98" spans="1:6" ht="24">
      <c r="A98" s="2855">
        <v>26</v>
      </c>
      <c r="B98" s="3483"/>
      <c r="C98" s="2829" t="s">
        <v>2703</v>
      </c>
      <c r="D98" s="2829" t="s">
        <v>2704</v>
      </c>
      <c r="E98" s="2855">
        <v>0.1</v>
      </c>
      <c r="F98" s="2855">
        <v>15</v>
      </c>
    </row>
    <row r="99" spans="1:6" ht="24">
      <c r="A99" s="2855">
        <v>27</v>
      </c>
      <c r="B99" s="3483"/>
      <c r="C99" s="2829" t="s">
        <v>2705</v>
      </c>
      <c r="D99" s="2829" t="s">
        <v>2706</v>
      </c>
      <c r="E99" s="2855">
        <v>0.1</v>
      </c>
      <c r="F99" s="2855">
        <v>15</v>
      </c>
    </row>
    <row r="100" spans="1:6" ht="24">
      <c r="A100" s="2855">
        <v>28</v>
      </c>
      <c r="B100" s="3483"/>
      <c r="C100" s="2829" t="s">
        <v>2707</v>
      </c>
      <c r="D100" s="2829" t="s">
        <v>2708</v>
      </c>
      <c r="E100" s="2855">
        <v>0.1</v>
      </c>
      <c r="F100" s="2855">
        <v>15</v>
      </c>
    </row>
    <row r="101" spans="1:6" ht="24">
      <c r="A101" s="2855">
        <v>29</v>
      </c>
      <c r="B101" s="3483"/>
      <c r="C101" s="2829" t="s">
        <v>2709</v>
      </c>
      <c r="D101" s="2829" t="s">
        <v>2710</v>
      </c>
      <c r="E101" s="2855">
        <v>0.1</v>
      </c>
      <c r="F101" s="2855">
        <v>15</v>
      </c>
    </row>
    <row r="102" spans="1:6" ht="24">
      <c r="A102" s="2855">
        <v>30</v>
      </c>
      <c r="B102" s="3483"/>
      <c r="C102" s="2829" t="s">
        <v>2711</v>
      </c>
      <c r="D102" s="2829" t="s">
        <v>2712</v>
      </c>
      <c r="E102" s="2855">
        <v>0.1</v>
      </c>
      <c r="F102" s="2855">
        <v>15</v>
      </c>
    </row>
    <row r="103" spans="1:6" ht="24">
      <c r="A103" s="2855">
        <v>31</v>
      </c>
      <c r="B103" s="3483"/>
      <c r="C103" s="2829" t="s">
        <v>2713</v>
      </c>
      <c r="D103" s="2829" t="s">
        <v>2714</v>
      </c>
      <c r="E103" s="2855">
        <v>0.1</v>
      </c>
      <c r="F103" s="2855">
        <v>15</v>
      </c>
    </row>
    <row r="104" spans="1:6" ht="24">
      <c r="A104" s="2855">
        <v>32</v>
      </c>
      <c r="B104" s="3483"/>
      <c r="C104" s="2829" t="s">
        <v>2715</v>
      </c>
      <c r="D104" s="2829" t="s">
        <v>2716</v>
      </c>
      <c r="E104" s="2855">
        <v>0.1</v>
      </c>
      <c r="F104" s="2855">
        <v>15</v>
      </c>
    </row>
    <row r="105" spans="1:6" ht="24">
      <c r="A105" s="2855">
        <v>33</v>
      </c>
      <c r="B105" s="3483"/>
      <c r="C105" s="2829" t="s">
        <v>2717</v>
      </c>
      <c r="D105" s="2829" t="s">
        <v>2718</v>
      </c>
      <c r="E105" s="2855">
        <v>0.1</v>
      </c>
      <c r="F105" s="2855">
        <v>15</v>
      </c>
    </row>
    <row r="106" spans="1:6" ht="24">
      <c r="A106" s="2855">
        <v>34</v>
      </c>
      <c r="B106" s="3482"/>
      <c r="C106" s="2829" t="s">
        <v>2719</v>
      </c>
      <c r="D106" s="2829" t="s">
        <v>2720</v>
      </c>
      <c r="E106" s="2855">
        <v>0.1</v>
      </c>
      <c r="F106" s="2855">
        <v>15</v>
      </c>
    </row>
    <row r="107" spans="1:6" ht="36">
      <c r="A107" s="2855">
        <v>35</v>
      </c>
      <c r="B107" s="3481" t="s">
        <v>2721</v>
      </c>
      <c r="C107" s="2855" t="s">
        <v>2722</v>
      </c>
      <c r="D107" s="2829" t="s">
        <v>2723</v>
      </c>
      <c r="E107" s="2855">
        <v>0.15</v>
      </c>
      <c r="F107" s="2855">
        <v>20</v>
      </c>
    </row>
    <row r="108" spans="1:6" ht="24">
      <c r="A108" s="2855">
        <v>36</v>
      </c>
      <c r="B108" s="3483"/>
      <c r="C108" s="2855" t="s">
        <v>2724</v>
      </c>
      <c r="D108" s="2829" t="s">
        <v>2725</v>
      </c>
      <c r="E108" s="2855">
        <v>0.15</v>
      </c>
      <c r="F108" s="2855">
        <v>20</v>
      </c>
    </row>
    <row r="109" spans="1:6" ht="24">
      <c r="A109" s="2855">
        <v>37</v>
      </c>
      <c r="B109" s="3483"/>
      <c r="C109" s="2855" t="s">
        <v>2726</v>
      </c>
      <c r="D109" s="2829" t="s">
        <v>2727</v>
      </c>
      <c r="E109" s="2855">
        <v>0.15</v>
      </c>
      <c r="F109" s="2855">
        <v>20</v>
      </c>
    </row>
    <row r="110" spans="1:6" ht="24">
      <c r="A110" s="2855">
        <v>38</v>
      </c>
      <c r="B110" s="3483"/>
      <c r="C110" s="2855" t="s">
        <v>2728</v>
      </c>
      <c r="D110" s="2829" t="s">
        <v>2729</v>
      </c>
      <c r="E110" s="2855">
        <v>0.1</v>
      </c>
      <c r="F110" s="2855">
        <v>15</v>
      </c>
    </row>
    <row r="111" spans="1:6" ht="24">
      <c r="A111" s="2855">
        <v>39</v>
      </c>
      <c r="B111" s="3483"/>
      <c r="C111" s="2855" t="s">
        <v>2730</v>
      </c>
      <c r="D111" s="2829" t="s">
        <v>2731</v>
      </c>
      <c r="E111" s="2855">
        <v>0.1</v>
      </c>
      <c r="F111" s="2855">
        <v>15</v>
      </c>
    </row>
    <row r="112" spans="1:6" ht="24">
      <c r="A112" s="2855">
        <v>40</v>
      </c>
      <c r="B112" s="3482"/>
      <c r="C112" s="2855" t="s">
        <v>2732</v>
      </c>
      <c r="D112" s="2829" t="s">
        <v>2733</v>
      </c>
      <c r="E112" s="2855">
        <v>0.1</v>
      </c>
      <c r="F112" s="2855">
        <v>15</v>
      </c>
    </row>
    <row r="113" spans="1:6" ht="24">
      <c r="A113" s="2855">
        <v>41</v>
      </c>
      <c r="B113" s="3480" t="s">
        <v>2734</v>
      </c>
      <c r="C113" s="2855" t="s">
        <v>2735</v>
      </c>
      <c r="D113" s="2829" t="s">
        <v>2736</v>
      </c>
      <c r="E113" s="2855">
        <v>0.1</v>
      </c>
      <c r="F113" s="2855">
        <v>15</v>
      </c>
    </row>
    <row r="114" spans="1:6" ht="24">
      <c r="A114" s="2855">
        <v>42</v>
      </c>
      <c r="B114" s="3480"/>
      <c r="C114" s="2855" t="s">
        <v>2737</v>
      </c>
      <c r="D114" s="2829" t="s">
        <v>2738</v>
      </c>
      <c r="E114" s="2855">
        <v>0.1</v>
      </c>
      <c r="F114" s="2855">
        <v>15</v>
      </c>
    </row>
    <row r="115" spans="1:6" ht="24">
      <c r="A115" s="2855">
        <v>43</v>
      </c>
      <c r="B115" s="3480"/>
      <c r="C115" s="2855" t="s">
        <v>2739</v>
      </c>
      <c r="D115" s="2829" t="s">
        <v>2740</v>
      </c>
      <c r="E115" s="2855">
        <v>0.1</v>
      </c>
      <c r="F115" s="2855">
        <v>15</v>
      </c>
    </row>
    <row r="116" spans="1:6" ht="24">
      <c r="A116" s="2855">
        <v>44</v>
      </c>
      <c r="B116" s="3481" t="s">
        <v>2741</v>
      </c>
      <c r="C116" s="2855" t="s">
        <v>2742</v>
      </c>
      <c r="D116" s="2829" t="s">
        <v>2743</v>
      </c>
      <c r="E116" s="2855">
        <v>0.1</v>
      </c>
      <c r="F116" s="2855">
        <v>15</v>
      </c>
    </row>
    <row r="117" spans="1:6" ht="24">
      <c r="A117" s="2855">
        <v>45</v>
      </c>
      <c r="B117" s="3482"/>
      <c r="C117" s="2829" t="s">
        <v>2744</v>
      </c>
      <c r="D117" s="2829" t="s">
        <v>2745</v>
      </c>
      <c r="E117" s="2855">
        <v>0.1</v>
      </c>
      <c r="F117" s="2855">
        <v>15</v>
      </c>
    </row>
    <row r="118" spans="1:6" ht="24">
      <c r="A118" s="2855">
        <v>46</v>
      </c>
      <c r="B118" s="3481" t="s">
        <v>2746</v>
      </c>
      <c r="C118" s="2855" t="s">
        <v>2747</v>
      </c>
      <c r="D118" s="2829" t="s">
        <v>2748</v>
      </c>
      <c r="E118" s="2855">
        <v>0.1</v>
      </c>
      <c r="F118" s="2855">
        <v>15</v>
      </c>
    </row>
    <row r="119" spans="1:6" ht="24">
      <c r="A119" s="2855">
        <v>47</v>
      </c>
      <c r="B119" s="3482"/>
      <c r="C119" s="2855" t="s">
        <v>2749</v>
      </c>
      <c r="D119" s="2829" t="s">
        <v>2750</v>
      </c>
      <c r="E119" s="2855">
        <v>0.1</v>
      </c>
      <c r="F119" s="2855">
        <v>15</v>
      </c>
    </row>
    <row r="120" spans="1:6" ht="24">
      <c r="A120" s="2855">
        <v>48</v>
      </c>
      <c r="B120" s="3481" t="s">
        <v>2751</v>
      </c>
      <c r="C120" s="2855" t="s">
        <v>2752</v>
      </c>
      <c r="D120" s="2829" t="s">
        <v>2753</v>
      </c>
      <c r="E120" s="2855">
        <v>0.1</v>
      </c>
      <c r="F120" s="2855">
        <v>15</v>
      </c>
    </row>
    <row r="121" spans="1:6" ht="24">
      <c r="A121" s="2855">
        <v>49</v>
      </c>
      <c r="B121" s="3482"/>
      <c r="C121" s="2855" t="s">
        <v>2754</v>
      </c>
      <c r="D121" s="2829" t="s">
        <v>2755</v>
      </c>
      <c r="E121" s="2855">
        <v>0.1</v>
      </c>
      <c r="F121" s="2855">
        <v>15</v>
      </c>
    </row>
    <row r="122" spans="1:6" ht="24">
      <c r="A122" s="2855">
        <v>50</v>
      </c>
      <c r="B122" s="3480" t="s">
        <v>2756</v>
      </c>
      <c r="C122" s="2855" t="s">
        <v>2757</v>
      </c>
      <c r="D122" s="2829" t="s">
        <v>2758</v>
      </c>
      <c r="E122" s="2855">
        <v>0.1</v>
      </c>
      <c r="F122" s="2855">
        <v>15</v>
      </c>
    </row>
    <row r="123" spans="1:6" ht="24">
      <c r="A123" s="2855">
        <v>51</v>
      </c>
      <c r="B123" s="3480"/>
      <c r="C123" s="2855" t="s">
        <v>2759</v>
      </c>
      <c r="D123" s="2829" t="s">
        <v>2760</v>
      </c>
      <c r="E123" s="2855">
        <v>0.1</v>
      </c>
      <c r="F123" s="2855">
        <v>15</v>
      </c>
    </row>
    <row r="124" spans="1:6" ht="24">
      <c r="A124" s="2855">
        <v>52</v>
      </c>
      <c r="B124" s="3480" t="s">
        <v>2761</v>
      </c>
      <c r="C124" s="2855" t="s">
        <v>2762</v>
      </c>
      <c r="D124" s="2829" t="s">
        <v>2763</v>
      </c>
      <c r="E124" s="2855">
        <v>0.1</v>
      </c>
      <c r="F124" s="2855">
        <v>15</v>
      </c>
    </row>
    <row r="125" spans="1:6" ht="24">
      <c r="A125" s="2855">
        <v>53</v>
      </c>
      <c r="B125" s="3480"/>
      <c r="C125" s="2855" t="s">
        <v>2764</v>
      </c>
      <c r="D125" s="2829" t="s">
        <v>2765</v>
      </c>
      <c r="E125" s="2855">
        <v>0.1</v>
      </c>
      <c r="F125" s="2855">
        <v>15</v>
      </c>
    </row>
    <row r="126" spans="1:6" ht="24">
      <c r="A126" s="2855">
        <v>54</v>
      </c>
      <c r="B126" s="2855" t="s">
        <v>2766</v>
      </c>
      <c r="C126" s="2855" t="s">
        <v>2767</v>
      </c>
      <c r="D126" s="2829" t="s">
        <v>2768</v>
      </c>
      <c r="E126" s="2855">
        <v>0.1</v>
      </c>
      <c r="F126" s="2855">
        <v>15</v>
      </c>
    </row>
    <row r="127" spans="1:6" ht="24">
      <c r="A127" s="2855">
        <v>55</v>
      </c>
      <c r="B127" s="3480" t="s">
        <v>2769</v>
      </c>
      <c r="C127" s="2855" t="s">
        <v>2770</v>
      </c>
      <c r="D127" s="2829" t="s">
        <v>2771</v>
      </c>
      <c r="E127" s="2855">
        <v>0.1</v>
      </c>
      <c r="F127" s="2855">
        <v>15</v>
      </c>
    </row>
    <row r="128" spans="1:6" ht="24">
      <c r="A128" s="2855">
        <v>56</v>
      </c>
      <c r="B128" s="3480"/>
      <c r="C128" s="2855" t="s">
        <v>2772</v>
      </c>
      <c r="D128" s="2829" t="s">
        <v>2773</v>
      </c>
      <c r="E128" s="2855">
        <v>0.1</v>
      </c>
      <c r="F128" s="2855">
        <v>15</v>
      </c>
    </row>
    <row r="129" spans="1:6" ht="24">
      <c r="A129" s="2855">
        <v>57</v>
      </c>
      <c r="B129" s="3480"/>
      <c r="C129" s="2855" t="s">
        <v>2774</v>
      </c>
      <c r="D129" s="2829" t="s">
        <v>2775</v>
      </c>
      <c r="E129" s="2855">
        <v>0.1</v>
      </c>
      <c r="F129" s="2855">
        <v>15</v>
      </c>
    </row>
    <row r="130" spans="1:6" ht="24">
      <c r="A130" s="2855">
        <v>58</v>
      </c>
      <c r="B130" s="3480" t="s">
        <v>2776</v>
      </c>
      <c r="C130" s="2855" t="s">
        <v>2777</v>
      </c>
      <c r="D130" s="2829" t="s">
        <v>2778</v>
      </c>
      <c r="E130" s="2855">
        <v>0.1</v>
      </c>
      <c r="F130" s="2855">
        <v>15</v>
      </c>
    </row>
    <row r="131" spans="1:6" ht="24">
      <c r="A131" s="2855">
        <v>59</v>
      </c>
      <c r="B131" s="3480"/>
      <c r="C131" s="2855" t="s">
        <v>2779</v>
      </c>
      <c r="D131" s="2829" t="s">
        <v>2780</v>
      </c>
      <c r="E131" s="2855">
        <v>0.1</v>
      </c>
      <c r="F131" s="2855">
        <v>15</v>
      </c>
    </row>
    <row r="132" spans="1:6" ht="24">
      <c r="A132" s="2855">
        <v>60</v>
      </c>
      <c r="B132" s="3481" t="s">
        <v>2781</v>
      </c>
      <c r="C132" s="2855" t="s">
        <v>2782</v>
      </c>
      <c r="D132" s="2829" t="s">
        <v>2783</v>
      </c>
      <c r="E132" s="2855">
        <v>0.1</v>
      </c>
      <c r="F132" s="2855">
        <v>15</v>
      </c>
    </row>
    <row r="133" spans="1:6" ht="24">
      <c r="A133" s="2855">
        <v>61</v>
      </c>
      <c r="B133" s="3482"/>
      <c r="C133" s="2855" t="s">
        <v>2784</v>
      </c>
      <c r="D133" s="2829" t="s">
        <v>2785</v>
      </c>
      <c r="E133" s="2855">
        <v>0.1</v>
      </c>
      <c r="F133" s="2855">
        <v>15</v>
      </c>
    </row>
    <row r="134" spans="1:6" ht="24">
      <c r="A134" s="2855">
        <v>62</v>
      </c>
      <c r="B134" s="2855" t="s">
        <v>2786</v>
      </c>
      <c r="C134" s="2855" t="s">
        <v>2787</v>
      </c>
      <c r="D134" s="2829" t="s">
        <v>2788</v>
      </c>
      <c r="E134" s="2855">
        <v>0.1</v>
      </c>
      <c r="F134" s="2855">
        <v>15</v>
      </c>
    </row>
    <row r="135" spans="1:6" ht="24">
      <c r="A135" s="2855">
        <v>63</v>
      </c>
      <c r="B135" s="3480" t="s">
        <v>2789</v>
      </c>
      <c r="C135" s="2855" t="s">
        <v>2790</v>
      </c>
      <c r="D135" s="2829" t="s">
        <v>2791</v>
      </c>
      <c r="E135" s="2855">
        <v>0.1</v>
      </c>
      <c r="F135" s="2855">
        <v>15</v>
      </c>
    </row>
    <row r="136" spans="1:6" ht="24">
      <c r="A136" s="2855">
        <v>64</v>
      </c>
      <c r="B136" s="3480"/>
      <c r="C136" s="2855" t="s">
        <v>2792</v>
      </c>
      <c r="D136" s="2829" t="s">
        <v>2793</v>
      </c>
      <c r="E136" s="2855">
        <v>0.1</v>
      </c>
      <c r="F136" s="2855">
        <v>15</v>
      </c>
    </row>
    <row r="137" spans="1:6" ht="24">
      <c r="A137" s="2855">
        <v>65</v>
      </c>
      <c r="B137" s="2855" t="s">
        <v>2794</v>
      </c>
      <c r="C137" s="2855" t="s">
        <v>2795</v>
      </c>
      <c r="D137" s="2829" t="s">
        <v>2796</v>
      </c>
      <c r="E137" s="2855">
        <v>0.1</v>
      </c>
      <c r="F137" s="2855">
        <v>15</v>
      </c>
    </row>
    <row r="138" spans="1:6" ht="14.4">
      <c r="A138" s="2855"/>
      <c r="B138" s="2855"/>
      <c r="C138" s="2855"/>
      <c r="D138" s="2855"/>
      <c r="E138" s="2855" t="s">
        <v>2797</v>
      </c>
      <c r="F138" s="2855"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2798</v>
      </c>
      <c r="B1" s="2863"/>
      <c r="C1" s="2863"/>
      <c r="D1" s="2863"/>
      <c r="E1" s="2863"/>
      <c r="F1" s="2863"/>
      <c r="G1" s="2863"/>
      <c r="H1" s="2863"/>
      <c r="I1" s="2863"/>
      <c r="J1" s="2863"/>
      <c r="K1" s="2863"/>
      <c r="L1" s="2863"/>
      <c r="M1" s="2863"/>
      <c r="N1" s="707"/>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1</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0.95120000000000005</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27564</v>
      </c>
      <c r="C2" s="2" t="s">
        <v>106</v>
      </c>
      <c r="D2" s="191"/>
      <c r="E2" s="191"/>
      <c r="F2" s="191"/>
      <c r="G2" s="191"/>
    </row>
    <row r="3" spans="1:7" s="192" customFormat="1" ht="18" customHeight="1" thickBot="1">
      <c r="A3" s="195" t="s">
        <v>58</v>
      </c>
      <c r="B3" s="196">
        <f ca="1">ROUND(B2*10000/'数据-汇总表'!E3,0)</f>
        <v>4136875</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150</v>
      </c>
      <c r="F9" s="213"/>
      <c r="G9" s="218"/>
    </row>
    <row r="10" spans="1:7" s="206" customFormat="1" ht="13.5" customHeight="1">
      <c r="A10" s="733" t="s">
        <v>356</v>
      </c>
      <c r="B10" s="216" t="s">
        <v>67</v>
      </c>
      <c r="C10" s="217">
        <f>ROUND(D10*E10/10000,0)</f>
        <v>1</v>
      </c>
      <c r="D10" s="795">
        <f>'数据-汇总表'!E6</f>
        <v>66.63</v>
      </c>
      <c r="E10" s="217">
        <f>'数据-取费表'!B28</f>
        <v>190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66.63</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1267</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3153</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3153</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27535</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25</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23</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66.63</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56" t="s">
        <v>94</v>
      </c>
    </row>
    <row r="43" spans="1:7" ht="13.5" customHeight="1">
      <c r="A43" s="734" t="s">
        <v>347</v>
      </c>
      <c r="B43" s="207" t="s">
        <v>426</v>
      </c>
      <c r="C43" s="230">
        <f ca="1">ROUND(IF('数据-取费表'!B22&lt;=1,C39*F22*'数据-取费表'!B21/2,C39*(POWER((1+F22),'数据-取费表'!B21/2)-1)),0)</f>
        <v>0</v>
      </c>
      <c r="D43" s="230"/>
      <c r="E43" s="230"/>
      <c r="F43" s="231"/>
      <c r="G43" s="3357"/>
    </row>
    <row r="44" spans="1:7" ht="13.5" customHeight="1">
      <c r="A44" s="734" t="s">
        <v>348</v>
      </c>
      <c r="B44" s="207" t="s">
        <v>428</v>
      </c>
      <c r="C44" s="230">
        <f ca="1">ROUND(IF('数据-取费表'!B22&lt;=1,C40*F22*'数据-取费表'!B21/2,C40*(POWER((1+F22),'数据-取费表'!B21/2)-1)),4)</f>
        <v>5.9999999999999995E-4</v>
      </c>
      <c r="D44" s="230"/>
      <c r="E44" s="230"/>
      <c r="F44" s="231"/>
      <c r="G44" s="3358"/>
    </row>
    <row r="45" spans="1:7" s="206" customFormat="1" ht="13.5" customHeight="1">
      <c r="A45" s="731" t="s">
        <v>341</v>
      </c>
      <c r="B45" s="236" t="s">
        <v>85</v>
      </c>
      <c r="C45" s="237">
        <f>C46</f>
        <v>4</v>
      </c>
      <c r="D45" s="227">
        <f>C47</f>
        <v>3.0000000000000001E-3</v>
      </c>
      <c r="E45" s="228" t="s">
        <v>102</v>
      </c>
      <c r="F45" s="238"/>
      <c r="G45" s="239" t="s">
        <v>434</v>
      </c>
    </row>
    <row r="46" spans="1:7" s="206" customFormat="1" ht="13.5" customHeight="1">
      <c r="A46" s="734" t="s">
        <v>349</v>
      </c>
      <c r="B46" s="240" t="s">
        <v>427</v>
      </c>
      <c r="C46" s="241">
        <f>ROUND((C33+C39)*F27,0)</f>
        <v>4</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34</v>
      </c>
      <c r="D49" s="224"/>
      <c r="E49" s="224"/>
      <c r="F49" s="256"/>
      <c r="G49" s="226" t="s">
        <v>435</v>
      </c>
    </row>
    <row r="50" spans="1:7" s="250" customFormat="1" ht="24">
      <c r="A50" s="731" t="s">
        <v>344</v>
      </c>
      <c r="B50" s="202" t="s">
        <v>97</v>
      </c>
      <c r="C50" s="224"/>
      <c r="D50" s="224"/>
      <c r="E50" s="224"/>
      <c r="F50" s="256">
        <f>IF('数据-取费表'!B24=0,'数据-取费表'!N16,1)</f>
        <v>0.85</v>
      </c>
      <c r="G50" s="239" t="s">
        <v>98</v>
      </c>
    </row>
    <row r="51" spans="1:7" ht="16.5" customHeight="1">
      <c r="A51" s="731" t="s">
        <v>345</v>
      </c>
      <c r="B51" s="202" t="s">
        <v>105</v>
      </c>
      <c r="C51" s="224">
        <f ca="1">ROUND(C49*F50,0)</f>
        <v>29</v>
      </c>
      <c r="D51" s="224"/>
      <c r="E51" s="224"/>
      <c r="F51" s="256"/>
      <c r="G51" s="226" t="s">
        <v>37</v>
      </c>
    </row>
    <row r="52" spans="1:7" s="200" customFormat="1" ht="16.8" thickBot="1">
      <c r="A52" s="257" t="s">
        <v>38</v>
      </c>
      <c r="B52" s="258"/>
      <c r="C52" s="259">
        <f ca="1">C31+C51</f>
        <v>27564</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492" t="s">
        <v>3181</v>
      </c>
      <c r="B1" s="3492"/>
    </row>
    <row r="2" spans="1:7" ht="15" thickBot="1">
      <c r="A2" s="2966"/>
      <c r="B2" s="2966"/>
    </row>
    <row r="3" spans="1:7" ht="15" thickBot="1">
      <c r="A3" s="2966"/>
      <c r="B3" s="2966"/>
      <c r="C3" s="2967" t="s">
        <v>2811</v>
      </c>
      <c r="D3" s="2967" t="s">
        <v>2867</v>
      </c>
      <c r="E3" s="2967" t="s">
        <v>2813</v>
      </c>
      <c r="F3" s="2967" t="s">
        <v>2868</v>
      </c>
      <c r="G3" s="2967" t="s">
        <v>2631</v>
      </c>
    </row>
    <row r="4" spans="1:7" ht="1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1875" defaultRowHeight="14.4"/>
  <cols>
    <col min="1" max="16384" width="13.21875" style="2811"/>
  </cols>
  <sheetData>
    <row r="1" spans="1:6">
      <c r="A1" s="3493" t="s">
        <v>3232</v>
      </c>
      <c r="B1" s="3493"/>
      <c r="C1" s="3493"/>
      <c r="D1" s="3493"/>
      <c r="E1" s="3493"/>
      <c r="F1" s="3494"/>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5">
        <f>基准地价修正!G23</f>
        <v>45814</v>
      </c>
      <c r="B1" s="2927" t="s">
        <v>3377</v>
      </c>
      <c r="C1" s="2928"/>
      <c r="D1" s="2928"/>
      <c r="E1" s="2928"/>
      <c r="F1" s="2928"/>
      <c r="G1" s="2928"/>
      <c r="H1" s="2928"/>
      <c r="I1" s="2928"/>
      <c r="J1" s="2894"/>
      <c r="K1" s="2928" t="s">
        <v>454</v>
      </c>
      <c r="L1" s="2928"/>
      <c r="M1" s="2928"/>
      <c r="N1" s="2928"/>
      <c r="O1" s="2928"/>
      <c r="P1" s="2928"/>
      <c r="Q1" s="2894"/>
      <c r="R1" s="3495" t="s">
        <v>456</v>
      </c>
      <c r="S1" s="3496"/>
      <c r="T1" s="3496"/>
      <c r="U1" s="3496"/>
      <c r="V1" s="3496"/>
      <c r="W1" s="3496"/>
      <c r="X1" s="2894"/>
      <c r="Y1" s="3495" t="s">
        <v>457</v>
      </c>
      <c r="Z1" s="3496"/>
      <c r="AA1" s="3496"/>
      <c r="AB1" s="3496"/>
      <c r="AC1" s="3496"/>
      <c r="AD1" s="3496"/>
    </row>
    <row r="2" spans="1:44" s="2009" customFormat="1" ht="15" thickBot="1">
      <c r="B2" s="2879"/>
      <c r="C2" s="2880"/>
      <c r="D2" s="2010" t="s">
        <v>2810</v>
      </c>
      <c r="E2" s="2011" t="s">
        <v>2811</v>
      </c>
      <c r="F2" s="2011" t="s">
        <v>2812</v>
      </c>
      <c r="G2" s="2011" t="s">
        <v>2813</v>
      </c>
      <c r="H2" s="2011" t="s">
        <v>2814</v>
      </c>
      <c r="I2" s="2011" t="s">
        <v>2631</v>
      </c>
      <c r="J2" s="2881"/>
      <c r="K2" s="2010" t="s">
        <v>2810</v>
      </c>
      <c r="L2" s="2011" t="s">
        <v>2811</v>
      </c>
      <c r="M2" s="2011" t="s">
        <v>2812</v>
      </c>
      <c r="N2" s="2011" t="s">
        <v>2813</v>
      </c>
      <c r="O2" s="2011" t="s">
        <v>2815</v>
      </c>
      <c r="P2" s="2011" t="s">
        <v>2631</v>
      </c>
      <c r="Q2" s="2881"/>
      <c r="R2" s="2010" t="s">
        <v>2810</v>
      </c>
      <c r="S2" s="2011" t="s">
        <v>2811</v>
      </c>
      <c r="T2" s="2011" t="s">
        <v>2812</v>
      </c>
      <c r="U2" s="2011" t="s">
        <v>2816</v>
      </c>
      <c r="V2" s="2011" t="s">
        <v>2817</v>
      </c>
      <c r="W2" s="2011" t="s">
        <v>2631</v>
      </c>
      <c r="X2" s="2881"/>
      <c r="Y2" s="2010" t="s">
        <v>2810</v>
      </c>
      <c r="Z2" s="2011" t="s">
        <v>2811</v>
      </c>
      <c r="AA2" s="2011" t="s">
        <v>2812</v>
      </c>
      <c r="AB2" s="2011" t="s">
        <v>2818</v>
      </c>
      <c r="AC2" s="2011" t="s">
        <v>2817</v>
      </c>
      <c r="AD2" s="2011" t="s">
        <v>2631</v>
      </c>
      <c r="AF2" t="s">
        <v>3404</v>
      </c>
      <c r="AG2" t="s">
        <v>673</v>
      </c>
      <c r="AH2" t="s">
        <v>21</v>
      </c>
      <c r="AI2" t="s">
        <v>3405</v>
      </c>
      <c r="AJ2" t="s">
        <v>3</v>
      </c>
      <c r="AK2" t="s">
        <v>3406</v>
      </c>
      <c r="AM2" t="s">
        <v>3404</v>
      </c>
      <c r="AN2" t="s">
        <v>673</v>
      </c>
      <c r="AO2" t="s">
        <v>21</v>
      </c>
      <c r="AP2" t="s">
        <v>3405</v>
      </c>
      <c r="AQ2" t="s">
        <v>3</v>
      </c>
      <c r="AR2" t="s">
        <v>3406</v>
      </c>
    </row>
    <row r="3" spans="1:44" s="2884" customFormat="1" ht="13.2">
      <c r="A3" s="2882" t="s">
        <v>2819</v>
      </c>
      <c r="B3" s="2883"/>
      <c r="D3" s="2884">
        <f>ROUND(AVERAGEIF(D4:D24,"&lt;&gt;0"),2)</f>
        <v>0.39</v>
      </c>
      <c r="E3" s="2884">
        <f t="shared" ref="E3:H3" si="0">ROUND(AVERAGEIF(E4:E24,"&lt;&gt;0"),2)</f>
        <v>0.21</v>
      </c>
      <c r="F3" s="2884">
        <f t="shared" si="0"/>
        <v>-0.06</v>
      </c>
      <c r="G3" s="2884">
        <f t="shared" si="0"/>
        <v>0.46</v>
      </c>
      <c r="H3" s="2884">
        <f t="shared" si="0"/>
        <v>0.51</v>
      </c>
      <c r="I3" s="2884">
        <f>F3</f>
        <v>-0.06</v>
      </c>
      <c r="J3" s="2885"/>
      <c r="K3" s="2886">
        <f>ROUND(AVERAGEIF(K4:K24,"&lt;&gt;0"),4)</f>
        <v>3.8999999999999998E-3</v>
      </c>
      <c r="L3" s="2887">
        <f t="shared" ref="L3:O3" si="1">ROUND(AVERAGEIF(L4:L24,"&lt;&gt;0"),4)</f>
        <v>2.0999999999999999E-3</v>
      </c>
      <c r="M3" s="2887">
        <f t="shared" si="1"/>
        <v>-5.9999999999999995E-4</v>
      </c>
      <c r="N3" s="2887">
        <f t="shared" si="1"/>
        <v>4.5999999999999999E-3</v>
      </c>
      <c r="O3" s="2887">
        <f t="shared" si="1"/>
        <v>5.1000000000000004E-3</v>
      </c>
      <c r="P3" s="2887">
        <f>M3</f>
        <v>-5.9999999999999995E-4</v>
      </c>
      <c r="Q3" s="2885"/>
      <c r="R3" s="2888">
        <f>ROUND(SUMPRODUCT(PRODUCT(1+K4:K24)),4)</f>
        <v>1.0674999999999999</v>
      </c>
      <c r="S3" s="2889">
        <f t="shared" ref="S3:V3" si="2">ROUND(SUMPRODUCT(PRODUCT(1+L4:L24)),4)</f>
        <v>1.0355000000000001</v>
      </c>
      <c r="T3" s="2889">
        <f t="shared" si="2"/>
        <v>0.98880000000000001</v>
      </c>
      <c r="U3" s="2889">
        <f t="shared" si="2"/>
        <v>1.0798000000000001</v>
      </c>
      <c r="V3" s="2889">
        <f t="shared" si="2"/>
        <v>1.0911</v>
      </c>
      <c r="W3" s="2888">
        <f>T3</f>
        <v>0.98880000000000001</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8" customFormat="1" ht="13.2">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44" s="2044" customFormat="1">
      <c r="A5" s="2039" t="s">
        <v>3403</v>
      </c>
      <c r="B5" s="2030">
        <v>2025</v>
      </c>
      <c r="C5" s="2041">
        <v>4</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 t="shared" ref="P5:P11" si="10">M5</f>
        <v>0</v>
      </c>
      <c r="Q5" s="2904"/>
      <c r="R5" s="2026">
        <f>ROUND(IF(项目基本情况!$B$8="出让",SUMPRODUCT(PRODUCT(1+K5:$K$24)),SUMPRODUCT(PRODUCT(1+K5:$K$23))),4)</f>
        <v>1.0571999999999999</v>
      </c>
      <c r="S5" s="2026">
        <f>ROUND(IF(项目基本情况!$B$8="出让",SUMPRODUCT(PRODUCT(1+L5:$L$24)),SUMPRODUCT(PRODUCT(1+L5:$L$23))),4)</f>
        <v>1.0339</v>
      </c>
      <c r="T5" s="2026">
        <f>ROUND(IF(项目基本情况!$B$8="出让",SUMPRODUCT(PRODUCT(1+M5:$M$24)),SUMPRODUCT(PRODUCT(1+M5:$M$23))),4)</f>
        <v>0.99129999999999996</v>
      </c>
      <c r="U5" s="2026">
        <f>ROUND(IF(项目基本情况!$B$8="出让",SUMPRODUCT(PRODUCT(1+N5:$N$24)),SUMPRODUCT(PRODUCT(1+N5:$N$23))),4)</f>
        <v>1.0679000000000001</v>
      </c>
      <c r="V5" s="2026">
        <f>ROUND(IF(项目基本情况!$B$8="出让",SUMPRODUCT(PRODUCT(1+O5:$O$24)),SUMPRODUCT(PRODUCT(1+O5:$O$23))),4)</f>
        <v>1.0871999999999999</v>
      </c>
      <c r="W5" s="2026">
        <f t="shared" ref="W5:W11" si="11">T5</f>
        <v>0.99129999999999996</v>
      </c>
      <c r="X5" s="2904"/>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1">
        <f>$AF$24*R5</f>
        <v>105.72</v>
      </c>
      <c r="AG5" s="3151">
        <f t="shared" ref="AG5:AK5" si="18">$AF$24*S5</f>
        <v>103.39</v>
      </c>
      <c r="AH5" s="3151">
        <f t="shared" si="18"/>
        <v>99.13</v>
      </c>
      <c r="AI5" s="3151">
        <f t="shared" si="18"/>
        <v>106.79</v>
      </c>
      <c r="AJ5" s="3151">
        <f t="shared" si="18"/>
        <v>108.72</v>
      </c>
      <c r="AK5" s="3151">
        <f t="shared" si="18"/>
        <v>99.13</v>
      </c>
      <c r="AM5" s="3157">
        <v>100</v>
      </c>
      <c r="AN5" s="3157">
        <v>100</v>
      </c>
      <c r="AO5" s="3157">
        <v>100</v>
      </c>
      <c r="AP5" s="3157">
        <v>100</v>
      </c>
      <c r="AQ5" s="3157">
        <v>100</v>
      </c>
      <c r="AR5" s="3157">
        <v>100</v>
      </c>
    </row>
    <row r="6" spans="1:44" s="2044" customFormat="1" ht="13.2">
      <c r="A6" s="2039" t="s">
        <v>3402</v>
      </c>
      <c r="B6" s="2030">
        <v>2025</v>
      </c>
      <c r="C6" s="2041">
        <v>3</v>
      </c>
      <c r="D6" s="2006">
        <v>0</v>
      </c>
      <c r="E6" s="2006">
        <v>0</v>
      </c>
      <c r="F6" s="2006">
        <v>0</v>
      </c>
      <c r="G6" s="2006">
        <v>0</v>
      </c>
      <c r="H6" s="2006">
        <v>0</v>
      </c>
      <c r="I6" s="2007">
        <f t="shared" ref="I6" si="19">F6</f>
        <v>0</v>
      </c>
      <c r="J6" s="2904"/>
      <c r="K6" s="2042">
        <f t="shared" ref="K6" si="20">D6/100</f>
        <v>0</v>
      </c>
      <c r="L6" s="2027">
        <f t="shared" ref="L6" si="21">E6/100</f>
        <v>0</v>
      </c>
      <c r="M6" s="2027">
        <f t="shared" ref="M6" si="22">F6/100</f>
        <v>0</v>
      </c>
      <c r="N6" s="2027">
        <f t="shared" ref="N6" si="23">G6/100</f>
        <v>0</v>
      </c>
      <c r="O6" s="2027">
        <f t="shared" ref="O6" si="24">H6/100</f>
        <v>0</v>
      </c>
      <c r="P6" s="2027">
        <f t="shared" si="10"/>
        <v>0</v>
      </c>
      <c r="Q6" s="2904"/>
      <c r="R6" s="2026">
        <f>ROUND(IF(项目基本情况!$B$8="出让",SUMPRODUCT(PRODUCT(1+K6:$K$24)),SUMPRODUCT(PRODUCT(1+K6:$K$23))),4)</f>
        <v>1.0571999999999999</v>
      </c>
      <c r="S6" s="2026">
        <f>ROUND(IF(项目基本情况!$B$8="出让",SUMPRODUCT(PRODUCT(1+L6:$L$24)),SUMPRODUCT(PRODUCT(1+L6:$L$23))),4)</f>
        <v>1.0339</v>
      </c>
      <c r="T6" s="2026">
        <f>ROUND(IF(项目基本情况!$B$8="出让",SUMPRODUCT(PRODUCT(1+M6:$M$24)),SUMPRODUCT(PRODUCT(1+M6:$M$23))),4)</f>
        <v>0.99129999999999996</v>
      </c>
      <c r="U6" s="2026">
        <f>ROUND(IF(项目基本情况!$B$8="出让",SUMPRODUCT(PRODUCT(1+N6:$N$24)),SUMPRODUCT(PRODUCT(1+N6:$N$23))),4)</f>
        <v>1.0679000000000001</v>
      </c>
      <c r="V6" s="2026">
        <f>ROUND(IF(项目基本情况!$B$8="出让",SUMPRODUCT(PRODUCT(1+O6:$O$24)),SUMPRODUCT(PRODUCT(1+O6:$O$23))),4)</f>
        <v>1.0871999999999999</v>
      </c>
      <c r="W6" s="2026">
        <f t="shared" si="11"/>
        <v>0.99129999999999996</v>
      </c>
      <c r="X6" s="2904"/>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1">
        <f t="shared" ref="AF6:AF23" si="30">$AF$24*R6</f>
        <v>105.72</v>
      </c>
      <c r="AG6" s="3151">
        <f t="shared" ref="AG6:AG23" si="31">$AF$24*S6</f>
        <v>103.39</v>
      </c>
      <c r="AH6" s="3151">
        <f t="shared" ref="AH6:AH23" si="32">$AF$24*T6</f>
        <v>99.13</v>
      </c>
      <c r="AI6" s="3151">
        <f t="shared" ref="AI6:AI23" si="33">$AF$24*U6</f>
        <v>106.79</v>
      </c>
      <c r="AJ6" s="3151">
        <f t="shared" ref="AJ6:AJ23" si="34">$AF$24*V6</f>
        <v>108.72</v>
      </c>
      <c r="AK6" s="3151">
        <f t="shared" ref="AK6:AK23" si="35">$AF$24*W6</f>
        <v>99.13</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3.2">
      <c r="A7" s="2905" t="s">
        <v>3401</v>
      </c>
      <c r="B7" s="2906">
        <v>2025</v>
      </c>
      <c r="C7" s="2907">
        <v>2</v>
      </c>
      <c r="D7" s="2908">
        <v>0</v>
      </c>
      <c r="E7" s="2908">
        <v>0</v>
      </c>
      <c r="F7" s="2908">
        <v>0</v>
      </c>
      <c r="G7" s="2908">
        <v>0</v>
      </c>
      <c r="H7" s="2909">
        <v>0</v>
      </c>
      <c r="I7" s="2910">
        <f t="shared" ref="I7" si="37">F7</f>
        <v>0</v>
      </c>
      <c r="J7" s="2911"/>
      <c r="K7" s="2912">
        <f t="shared" ref="K7" si="38">D7/100</f>
        <v>0</v>
      </c>
      <c r="L7" s="2913">
        <f t="shared" ref="L7" si="39">E7/100</f>
        <v>0</v>
      </c>
      <c r="M7" s="2913">
        <f t="shared" ref="M7" si="40">F7/100</f>
        <v>0</v>
      </c>
      <c r="N7" s="2913">
        <f t="shared" ref="N7" si="41">G7/100</f>
        <v>0</v>
      </c>
      <c r="O7" s="2913">
        <f t="shared" ref="O7" si="42">H7/100</f>
        <v>0</v>
      </c>
      <c r="P7" s="2913">
        <f t="shared" si="10"/>
        <v>0</v>
      </c>
      <c r="Q7" s="2911"/>
      <c r="R7" s="2911">
        <f>ROUND(IF(项目基本情况!$B$8="出让",SUMPRODUCT(PRODUCT(1+K7:$K$24)),SUMPRODUCT(PRODUCT(1+K7:$K$23))),4)</f>
        <v>1.0571999999999999</v>
      </c>
      <c r="S7" s="2911">
        <f>ROUND(IF(项目基本情况!$B$8="出让",SUMPRODUCT(PRODUCT(1+L7:$L$24)),SUMPRODUCT(PRODUCT(1+L7:$L$23))),4)</f>
        <v>1.0339</v>
      </c>
      <c r="T7" s="2911">
        <f>ROUND(IF(项目基本情况!$B$8="出让",SUMPRODUCT(PRODUCT(1+M7:$M$24)),SUMPRODUCT(PRODUCT(1+M7:$M$23))),4)</f>
        <v>0.99129999999999996</v>
      </c>
      <c r="U7" s="2911">
        <f>ROUND(IF(项目基本情况!$B$8="出让",SUMPRODUCT(PRODUCT(1+N7:$N$24)),SUMPRODUCT(PRODUCT(1+N7:$N$23))),4)</f>
        <v>1.0679000000000001</v>
      </c>
      <c r="V7" s="2911">
        <f>ROUND(IF(项目基本情况!$B$8="出让",SUMPRODUCT(PRODUCT(1+O7:$O$24)),SUMPRODUCT(PRODUCT(1+O7:$O$23))),4)</f>
        <v>1.0871999999999999</v>
      </c>
      <c r="W7" s="2911">
        <f t="shared" si="11"/>
        <v>0.99129999999999996</v>
      </c>
      <c r="X7" s="2911"/>
      <c r="Y7" s="2913">
        <f t="shared" si="12"/>
        <v>0</v>
      </c>
      <c r="Z7" s="2913">
        <f t="shared" ref="Z7" si="43">IF(E7=0,0,ROUND(AVERAGE(E7:E20)/100,4))</f>
        <v>0</v>
      </c>
      <c r="AA7" s="2913">
        <f t="shared" ref="AA7" si="44">IF(F7=0,0,ROUND(AVERAGE(F7:F20)/100,4))</f>
        <v>0</v>
      </c>
      <c r="AB7" s="2913">
        <f t="shared" ref="AB7" si="45">IF(G7=0,0,ROUND(AVERAGE(G7:G20)/100,4))</f>
        <v>0</v>
      </c>
      <c r="AC7" s="2913">
        <f t="shared" ref="AC7" si="46">IF(H7=0,0,ROUND(AVERAGE(H7:H20)/100,4))</f>
        <v>0</v>
      </c>
      <c r="AD7" s="2913">
        <f t="shared" ref="AD7" si="47">AA7</f>
        <v>0</v>
      </c>
      <c r="AF7" s="3152">
        <f t="shared" si="30"/>
        <v>105.72</v>
      </c>
      <c r="AG7" s="3152">
        <f t="shared" si="31"/>
        <v>103.39</v>
      </c>
      <c r="AH7" s="3152">
        <f t="shared" si="32"/>
        <v>99.13</v>
      </c>
      <c r="AI7" s="3152">
        <f t="shared" si="33"/>
        <v>106.79</v>
      </c>
      <c r="AJ7" s="3152">
        <f t="shared" si="34"/>
        <v>108.72</v>
      </c>
      <c r="AK7" s="3152">
        <f t="shared" si="35"/>
        <v>99.13</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4" customFormat="1" ht="13.2">
      <c r="A8" s="2039" t="s">
        <v>3409</v>
      </c>
      <c r="B8" s="2030">
        <v>2025</v>
      </c>
      <c r="C8" s="2041">
        <v>1</v>
      </c>
      <c r="D8" s="2006">
        <v>0.56999999999999995</v>
      </c>
      <c r="E8" s="2006">
        <v>-0.56999999999999995</v>
      </c>
      <c r="F8" s="2006">
        <v>-0.9</v>
      </c>
      <c r="G8" s="2006">
        <v>1.1200000000000001</v>
      </c>
      <c r="H8" s="2006">
        <v>0.42</v>
      </c>
      <c r="I8" s="2007">
        <f t="shared" ref="I8" si="54">F8</f>
        <v>-0.9</v>
      </c>
      <c r="J8" s="2904"/>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4"/>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4"/>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100</v>
      </c>
      <c r="AN8" s="3151">
        <f t="shared" si="49"/>
        <v>100</v>
      </c>
      <c r="AO8" s="3151">
        <f t="shared" si="50"/>
        <v>100</v>
      </c>
      <c r="AP8" s="3151">
        <f t="shared" si="51"/>
        <v>100</v>
      </c>
      <c r="AQ8" s="3151">
        <f t="shared" si="52"/>
        <v>100</v>
      </c>
      <c r="AR8" s="3151">
        <f t="shared" si="53"/>
        <v>100</v>
      </c>
    </row>
    <row r="9" spans="1:44" s="2044" customFormat="1" ht="13.2">
      <c r="A9" s="2039" t="s">
        <v>3408</v>
      </c>
      <c r="B9" s="2030">
        <v>2024</v>
      </c>
      <c r="C9" s="2041">
        <v>4</v>
      </c>
      <c r="D9" s="2006">
        <v>-1.02</v>
      </c>
      <c r="E9" s="2006">
        <v>-0.48</v>
      </c>
      <c r="F9" s="2006">
        <v>-0.75</v>
      </c>
      <c r="G9" s="2006">
        <v>-1.05</v>
      </c>
      <c r="H9" s="2006">
        <v>0.08</v>
      </c>
      <c r="I9" s="2007">
        <f t="shared" ref="I9" si="65">F9</f>
        <v>-0.75</v>
      </c>
      <c r="J9" s="2904"/>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4"/>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4"/>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99.433230585661718</v>
      </c>
      <c r="AN9" s="3151">
        <f t="shared" si="49"/>
        <v>100.57326762546515</v>
      </c>
      <c r="AO9" s="3151">
        <f t="shared" si="50"/>
        <v>100.90817356205852</v>
      </c>
      <c r="AP9" s="3151">
        <f t="shared" si="51"/>
        <v>98.892405063291136</v>
      </c>
      <c r="AQ9" s="3151">
        <f t="shared" si="52"/>
        <v>99.581756622186816</v>
      </c>
      <c r="AR9" s="3151">
        <f t="shared" si="53"/>
        <v>100.90817356205852</v>
      </c>
    </row>
    <row r="10" spans="1:44" s="2044" customFormat="1" ht="13.2">
      <c r="A10" s="2039" t="s">
        <v>3381</v>
      </c>
      <c r="B10" s="2030">
        <v>2024</v>
      </c>
      <c r="C10" s="2041">
        <v>3</v>
      </c>
      <c r="D10" s="2006">
        <v>-1.19</v>
      </c>
      <c r="E10" s="2006">
        <v>-0.47</v>
      </c>
      <c r="F10" s="2006">
        <v>-0.28999999999999998</v>
      </c>
      <c r="G10" s="2006">
        <v>-0.74</v>
      </c>
      <c r="H10" s="2006">
        <v>-0.21</v>
      </c>
      <c r="I10" s="2007">
        <f t="shared" ref="I10" si="76">F10</f>
        <v>-0.28999999999999998</v>
      </c>
      <c r="J10" s="2904"/>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4"/>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4"/>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100.45790117767399</v>
      </c>
      <c r="AN10" s="3151">
        <f t="shared" si="49"/>
        <v>101.05834769439826</v>
      </c>
      <c r="AO10" s="3151">
        <f t="shared" si="50"/>
        <v>101.670703840865</v>
      </c>
      <c r="AP10" s="3151">
        <f t="shared" si="51"/>
        <v>99.941793899233076</v>
      </c>
      <c r="AQ10" s="3151">
        <f t="shared" si="52"/>
        <v>99.502154898268216</v>
      </c>
      <c r="AR10" s="3151">
        <f t="shared" si="53"/>
        <v>101.670703840865</v>
      </c>
    </row>
    <row r="11" spans="1:44" s="2044" customFormat="1" ht="13.2">
      <c r="A11" s="2903" t="s">
        <v>3375</v>
      </c>
      <c r="B11" s="2030">
        <v>2024</v>
      </c>
      <c r="C11" s="2041">
        <v>2</v>
      </c>
      <c r="D11" s="2006">
        <v>-0.59</v>
      </c>
      <c r="E11" s="2006">
        <v>-0.21</v>
      </c>
      <c r="F11" s="2006">
        <v>-1.38</v>
      </c>
      <c r="G11" s="2006">
        <v>-1.24</v>
      </c>
      <c r="H11" s="2915">
        <v>0.34</v>
      </c>
      <c r="I11" s="2007">
        <f t="shared" ref="I11:I24" si="87">F11</f>
        <v>-1.38</v>
      </c>
      <c r="J11" s="2904"/>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4"/>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4"/>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101.66774737139357</v>
      </c>
      <c r="AN11" s="3151">
        <f t="shared" si="49"/>
        <v>101.53556484918946</v>
      </c>
      <c r="AO11" s="3151">
        <f t="shared" si="50"/>
        <v>101.9664064194815</v>
      </c>
      <c r="AP11" s="3151">
        <f t="shared" si="51"/>
        <v>100.68687678746028</v>
      </c>
      <c r="AQ11" s="3151">
        <f t="shared" si="52"/>
        <v>99.711549151486338</v>
      </c>
      <c r="AR11" s="3151">
        <f t="shared" si="53"/>
        <v>101.9664064194815</v>
      </c>
    </row>
    <row r="12" spans="1:44" s="2044" customFormat="1" ht="13.2">
      <c r="A12" s="2903" t="s">
        <v>3374</v>
      </c>
      <c r="B12" s="2030">
        <v>2024</v>
      </c>
      <c r="C12" s="2041">
        <v>1</v>
      </c>
      <c r="D12" s="2006">
        <v>0.08</v>
      </c>
      <c r="E12" s="2006">
        <v>0.46</v>
      </c>
      <c r="F12" s="2006">
        <v>-0.16</v>
      </c>
      <c r="G12" s="2006">
        <v>0.26</v>
      </c>
      <c r="H12" s="2915">
        <v>0.59</v>
      </c>
      <c r="I12" s="2007">
        <f t="shared" si="87"/>
        <v>-0.16</v>
      </c>
      <c r="J12" s="2904"/>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4"/>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4"/>
      <c r="Y12" s="2027"/>
      <c r="Z12" s="2027"/>
      <c r="AA12" s="2027"/>
      <c r="AB12" s="2027"/>
      <c r="AC12" s="2027"/>
      <c r="AD12" s="2027"/>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102.27114713951673</v>
      </c>
      <c r="AN12" s="3151">
        <f t="shared" si="49"/>
        <v>101.74923824951344</v>
      </c>
      <c r="AO12" s="3151">
        <f t="shared" si="50"/>
        <v>103.3932330353696</v>
      </c>
      <c r="AP12" s="3151">
        <f t="shared" si="51"/>
        <v>101.95107005615662</v>
      </c>
      <c r="AQ12" s="3151">
        <f t="shared" si="52"/>
        <v>99.373678644096401</v>
      </c>
      <c r="AR12" s="3151">
        <f t="shared" si="53"/>
        <v>103.3932330353696</v>
      </c>
    </row>
    <row r="13" spans="1:44" s="2044" customFormat="1" ht="13.2">
      <c r="A13" s="2903" t="s">
        <v>3370</v>
      </c>
      <c r="B13" s="2030">
        <v>2023</v>
      </c>
      <c r="C13" s="2041">
        <v>4</v>
      </c>
      <c r="D13" s="2006">
        <v>0.19</v>
      </c>
      <c r="E13" s="2006">
        <v>0.24</v>
      </c>
      <c r="F13" s="2006">
        <v>-0.16</v>
      </c>
      <c r="G13" s="2006">
        <v>0.17</v>
      </c>
      <c r="H13" s="2915">
        <v>0.61</v>
      </c>
      <c r="I13" s="2007">
        <f>F13</f>
        <v>-0.16</v>
      </c>
      <c r="J13" s="2904"/>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4"/>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4"/>
      <c r="Y13" s="2027"/>
      <c r="Z13" s="2027"/>
      <c r="AA13" s="2027"/>
      <c r="AB13" s="2027"/>
      <c r="AC13" s="2027"/>
      <c r="AD13" s="2027"/>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102.18939562301833</v>
      </c>
      <c r="AN13" s="3151">
        <f t="shared" si="49"/>
        <v>101.28333490893236</v>
      </c>
      <c r="AO13" s="3151">
        <f t="shared" si="50"/>
        <v>103.55892731908014</v>
      </c>
      <c r="AP13" s="3151">
        <f t="shared" si="51"/>
        <v>101.68668467599903</v>
      </c>
      <c r="AQ13" s="3151">
        <f t="shared" si="52"/>
        <v>98.79081284829148</v>
      </c>
      <c r="AR13" s="3151">
        <f t="shared" si="53"/>
        <v>103.55892731908014</v>
      </c>
    </row>
    <row r="14" spans="1:44" s="2044" customFormat="1" ht="13.2">
      <c r="A14" s="2903" t="s">
        <v>3369</v>
      </c>
      <c r="B14" s="2030">
        <v>2023</v>
      </c>
      <c r="C14" s="2041">
        <v>3</v>
      </c>
      <c r="D14" s="2006">
        <v>0.25</v>
      </c>
      <c r="E14" s="2006">
        <v>0.5</v>
      </c>
      <c r="F14" s="2006">
        <v>0.31</v>
      </c>
      <c r="G14" s="2006">
        <v>0.21</v>
      </c>
      <c r="H14" s="2915">
        <v>0.43</v>
      </c>
      <c r="I14" s="2007">
        <f t="shared" si="87"/>
        <v>0.31</v>
      </c>
      <c r="J14" s="2904"/>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4"/>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4"/>
      <c r="Y14" s="2027"/>
      <c r="Z14" s="2027"/>
      <c r="AA14" s="2027"/>
      <c r="AB14" s="2027"/>
      <c r="AC14" s="2027"/>
      <c r="AD14" s="2027"/>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101.99560397546495</v>
      </c>
      <c r="AN14" s="3151">
        <f t="shared" si="49"/>
        <v>101.04083690037147</v>
      </c>
      <c r="AO14" s="3151">
        <f t="shared" si="50"/>
        <v>103.72488713850174</v>
      </c>
      <c r="AP14" s="3151">
        <f t="shared" si="51"/>
        <v>101.51411068782971</v>
      </c>
      <c r="AQ14" s="3151">
        <f t="shared" si="52"/>
        <v>98.191842608380355</v>
      </c>
      <c r="AR14" s="3151">
        <f t="shared" si="53"/>
        <v>103.72488713850174</v>
      </c>
    </row>
    <row r="15" spans="1:44" s="2044" customFormat="1" ht="13.2">
      <c r="A15" s="2903" t="s">
        <v>3367</v>
      </c>
      <c r="B15" s="2030">
        <v>2023</v>
      </c>
      <c r="C15" s="2041">
        <v>2</v>
      </c>
      <c r="D15" s="2006">
        <v>0.91</v>
      </c>
      <c r="E15" s="2006">
        <v>0.66</v>
      </c>
      <c r="F15" s="2006">
        <v>0.47</v>
      </c>
      <c r="G15" s="2006">
        <v>0.96</v>
      </c>
      <c r="H15" s="2915">
        <v>0.71</v>
      </c>
      <c r="I15" s="2007">
        <f t="shared" si="87"/>
        <v>0.47</v>
      </c>
      <c r="J15" s="2904"/>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4"/>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4"/>
      <c r="Y15" s="2027"/>
      <c r="Z15" s="2027"/>
      <c r="AA15" s="2027"/>
      <c r="AB15" s="2027"/>
      <c r="AC15" s="2027"/>
      <c r="AD15" s="2027"/>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101.74125084834409</v>
      </c>
      <c r="AN15" s="3151">
        <f t="shared" si="49"/>
        <v>100.53814616952387</v>
      </c>
      <c r="AO15" s="3151">
        <f t="shared" si="50"/>
        <v>103.40433370401927</v>
      </c>
      <c r="AP15" s="3151">
        <f t="shared" si="51"/>
        <v>101.30137779446135</v>
      </c>
      <c r="AQ15" s="3151">
        <f t="shared" si="52"/>
        <v>97.771425478821428</v>
      </c>
      <c r="AR15" s="3151">
        <f t="shared" si="53"/>
        <v>103.40433370401927</v>
      </c>
    </row>
    <row r="16" spans="1:44" s="2044" customFormat="1" ht="13.2">
      <c r="A16" s="2903" t="s">
        <v>3366</v>
      </c>
      <c r="B16" s="2030">
        <v>2023</v>
      </c>
      <c r="C16" s="2041">
        <v>1</v>
      </c>
      <c r="D16" s="2006">
        <v>0.89</v>
      </c>
      <c r="E16" s="2006">
        <v>0.74</v>
      </c>
      <c r="F16" s="2006">
        <v>0.56999999999999995</v>
      </c>
      <c r="G16" s="2006">
        <v>0.92</v>
      </c>
      <c r="H16" s="2915">
        <v>0.5</v>
      </c>
      <c r="I16" s="2007">
        <f t="shared" si="87"/>
        <v>0.56999999999999995</v>
      </c>
      <c r="J16" s="2904"/>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4"/>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4"/>
      <c r="Y16" s="2027"/>
      <c r="Z16" s="2027"/>
      <c r="AA16" s="2027"/>
      <c r="AB16" s="2027"/>
      <c r="AC16" s="2027"/>
      <c r="AD16" s="2027"/>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100.82375468074926</v>
      </c>
      <c r="AN16" s="3151">
        <f t="shared" si="49"/>
        <v>99.878945131654959</v>
      </c>
      <c r="AO16" s="3151">
        <f t="shared" si="50"/>
        <v>102.92060685181573</v>
      </c>
      <c r="AP16" s="3151">
        <f t="shared" si="51"/>
        <v>100.33813172985474</v>
      </c>
      <c r="AQ16" s="3151">
        <f t="shared" si="52"/>
        <v>97.082142268713554</v>
      </c>
      <c r="AR16" s="3151">
        <f t="shared" si="53"/>
        <v>102.92060685181573</v>
      </c>
    </row>
    <row r="17" spans="1:44" s="2044" customFormat="1" ht="13.2">
      <c r="A17" s="2903" t="s">
        <v>3365</v>
      </c>
      <c r="B17" s="2030">
        <v>2022</v>
      </c>
      <c r="C17" s="2041">
        <v>4</v>
      </c>
      <c r="D17" s="2006">
        <v>0.62</v>
      </c>
      <c r="E17" s="2006">
        <v>0.2</v>
      </c>
      <c r="F17" s="2006">
        <v>0.11</v>
      </c>
      <c r="G17" s="2006">
        <v>0.69</v>
      </c>
      <c r="H17" s="2915">
        <v>0.53</v>
      </c>
      <c r="I17" s="2007">
        <f t="shared" si="87"/>
        <v>0.11</v>
      </c>
      <c r="J17" s="2904"/>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4"/>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4"/>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99.934339063087791</v>
      </c>
      <c r="AN17" s="3151">
        <f t="shared" si="49"/>
        <v>99.145270132673176</v>
      </c>
      <c r="AO17" s="3151">
        <f t="shared" si="50"/>
        <v>102.3372843311283</v>
      </c>
      <c r="AP17" s="3151">
        <f t="shared" si="51"/>
        <v>99.423436117573061</v>
      </c>
      <c r="AQ17" s="3151">
        <f t="shared" si="52"/>
        <v>96.599146536033402</v>
      </c>
      <c r="AR17" s="3151">
        <f t="shared" si="53"/>
        <v>102.3372843311283</v>
      </c>
    </row>
    <row r="18" spans="1:44" s="2044" customFormat="1" ht="13.2">
      <c r="A18" s="2903" t="s">
        <v>3363</v>
      </c>
      <c r="B18" s="2030">
        <v>2022</v>
      </c>
      <c r="C18" s="2041">
        <v>3</v>
      </c>
      <c r="D18" s="2006">
        <v>0.66</v>
      </c>
      <c r="E18" s="2006">
        <v>0.32</v>
      </c>
      <c r="F18" s="2006">
        <v>0.23</v>
      </c>
      <c r="G18" s="2006">
        <v>0.72</v>
      </c>
      <c r="H18" s="2915">
        <v>0.63</v>
      </c>
      <c r="I18" s="2007">
        <f t="shared" si="87"/>
        <v>0.23</v>
      </c>
      <c r="J18" s="2904"/>
      <c r="K18" s="2042">
        <f t="shared" si="88"/>
        <v>6.6E-3</v>
      </c>
      <c r="L18" s="2027">
        <f t="shared" si="88"/>
        <v>3.2000000000000002E-3</v>
      </c>
      <c r="M18" s="2027">
        <f t="shared" si="88"/>
        <v>2.3E-3</v>
      </c>
      <c r="N18" s="2027">
        <f t="shared" si="88"/>
        <v>7.1999999999999998E-3</v>
      </c>
      <c r="O18" s="2027">
        <f t="shared" si="88"/>
        <v>6.3E-3</v>
      </c>
      <c r="P18" s="2027">
        <f t="shared" si="108"/>
        <v>2.3E-3</v>
      </c>
      <c r="Q18" s="2904"/>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4"/>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99.318563966495518</v>
      </c>
      <c r="AN18" s="3151">
        <f t="shared" si="49"/>
        <v>98.947375381909353</v>
      </c>
      <c r="AO18" s="3151">
        <f t="shared" si="50"/>
        <v>102.22483701041683</v>
      </c>
      <c r="AP18" s="3151">
        <f t="shared" si="51"/>
        <v>98.742115520481747</v>
      </c>
      <c r="AQ18" s="3151">
        <f t="shared" si="52"/>
        <v>96.089870223847001</v>
      </c>
      <c r="AR18" s="3151">
        <f t="shared" si="53"/>
        <v>102.22483701041683</v>
      </c>
    </row>
    <row r="19" spans="1:44" s="2044" customFormat="1" ht="13.2">
      <c r="A19" s="2903" t="s">
        <v>3354</v>
      </c>
      <c r="B19" s="2030">
        <v>2022</v>
      </c>
      <c r="C19" s="2041">
        <v>2</v>
      </c>
      <c r="D19" s="2006">
        <v>0.93</v>
      </c>
      <c r="E19" s="2006">
        <v>0.15</v>
      </c>
      <c r="F19" s="2006">
        <v>0.01</v>
      </c>
      <c r="G19" s="2006">
        <v>1.05</v>
      </c>
      <c r="H19" s="2915">
        <v>1.08</v>
      </c>
      <c r="I19" s="2007">
        <f t="shared" si="87"/>
        <v>0.01</v>
      </c>
      <c r="J19" s="2904"/>
      <c r="K19" s="2042">
        <f t="shared" si="88"/>
        <v>9.300000000000001E-3</v>
      </c>
      <c r="L19" s="2027">
        <f t="shared" si="88"/>
        <v>1.5E-3</v>
      </c>
      <c r="M19" s="2027">
        <f t="shared" si="88"/>
        <v>1E-4</v>
      </c>
      <c r="N19" s="2027">
        <f t="shared" si="88"/>
        <v>1.0500000000000001E-2</v>
      </c>
      <c r="O19" s="2027">
        <f t="shared" si="88"/>
        <v>1.0800000000000001E-2</v>
      </c>
      <c r="P19" s="2027">
        <f t="shared" si="108"/>
        <v>1E-4</v>
      </c>
      <c r="Q19" s="2904"/>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4"/>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98.667359394491882</v>
      </c>
      <c r="AN19" s="3151">
        <f t="shared" si="49"/>
        <v>98.631753769845844</v>
      </c>
      <c r="AO19" s="3151">
        <f t="shared" si="50"/>
        <v>101.99025941376517</v>
      </c>
      <c r="AP19" s="3151">
        <f t="shared" si="51"/>
        <v>98.036254488166932</v>
      </c>
      <c r="AQ19" s="3151">
        <f t="shared" si="52"/>
        <v>95.488293971824504</v>
      </c>
      <c r="AR19" s="3151">
        <f t="shared" si="53"/>
        <v>101.99025941376517</v>
      </c>
    </row>
    <row r="20" spans="1:44" s="2044" customFormat="1" ht="13.2">
      <c r="A20" s="2903" t="s">
        <v>2820</v>
      </c>
      <c r="B20" s="2030">
        <v>2022</v>
      </c>
      <c r="C20" s="2041">
        <v>1</v>
      </c>
      <c r="D20" s="2006">
        <v>0.89</v>
      </c>
      <c r="E20" s="2006">
        <v>0.44</v>
      </c>
      <c r="F20" s="2006">
        <v>0.37</v>
      </c>
      <c r="G20" s="2006">
        <v>0.96</v>
      </c>
      <c r="H20" s="2915">
        <v>0.64</v>
      </c>
      <c r="I20" s="2007">
        <f t="shared" si="87"/>
        <v>0.37</v>
      </c>
      <c r="J20" s="2904"/>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4"/>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4"/>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97.758208059538163</v>
      </c>
      <c r="AN20" s="3151">
        <f t="shared" si="49"/>
        <v>98.484027728253452</v>
      </c>
      <c r="AO20" s="3151">
        <f t="shared" si="50"/>
        <v>101.98006140762442</v>
      </c>
      <c r="AP20" s="3151">
        <f t="shared" si="51"/>
        <v>97.017570003134026</v>
      </c>
      <c r="AQ20" s="3151">
        <f t="shared" si="52"/>
        <v>94.468039149015155</v>
      </c>
      <c r="AR20" s="3151">
        <f t="shared" si="53"/>
        <v>101.98006140762442</v>
      </c>
    </row>
    <row r="21" spans="1:44" s="2044" customFormat="1" ht="13.2">
      <c r="A21" s="2903" t="s">
        <v>2821</v>
      </c>
      <c r="B21" s="2030">
        <v>2021</v>
      </c>
      <c r="C21" s="2041">
        <v>4</v>
      </c>
      <c r="D21" s="2006">
        <v>1.03</v>
      </c>
      <c r="E21" s="2006">
        <v>0.24</v>
      </c>
      <c r="F21" s="2006">
        <v>7.0000000000000007E-2</v>
      </c>
      <c r="G21" s="2006">
        <v>1.17</v>
      </c>
      <c r="H21" s="2915">
        <v>0.55000000000000004</v>
      </c>
      <c r="I21" s="2007">
        <f t="shared" si="87"/>
        <v>7.0000000000000007E-2</v>
      </c>
      <c r="J21" s="2904"/>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4"/>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4"/>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96.895835126908679</v>
      </c>
      <c r="AN21" s="3151">
        <f t="shared" si="49"/>
        <v>98.0525963045136</v>
      </c>
      <c r="AO21" s="3151">
        <f t="shared" si="50"/>
        <v>101.60412614090308</v>
      </c>
      <c r="AP21" s="3151">
        <f t="shared" si="51"/>
        <v>96.095057451598677</v>
      </c>
      <c r="AQ21" s="3151">
        <f t="shared" si="52"/>
        <v>93.867288502598527</v>
      </c>
      <c r="AR21" s="3151">
        <f t="shared" si="53"/>
        <v>101.60412614090308</v>
      </c>
    </row>
    <row r="22" spans="1:44" s="2044" customFormat="1" ht="13.2">
      <c r="A22" s="2903" t="s">
        <v>2822</v>
      </c>
      <c r="B22" s="2030">
        <v>2021</v>
      </c>
      <c r="C22" s="2041">
        <v>3</v>
      </c>
      <c r="D22" s="2006">
        <v>0.47</v>
      </c>
      <c r="E22" s="2006">
        <v>0.41</v>
      </c>
      <c r="F22" s="2006">
        <v>0.24</v>
      </c>
      <c r="G22" s="2006">
        <v>0.48</v>
      </c>
      <c r="H22" s="2915">
        <v>0.48</v>
      </c>
      <c r="I22" s="2007">
        <f t="shared" si="87"/>
        <v>0.24</v>
      </c>
      <c r="J22" s="2904"/>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4"/>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4"/>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95.907982903007706</v>
      </c>
      <c r="AN22" s="3151">
        <f t="shared" si="49"/>
        <v>97.81783350410376</v>
      </c>
      <c r="AO22" s="3151">
        <f t="shared" si="50"/>
        <v>101.53305300380042</v>
      </c>
      <c r="AP22" s="3151">
        <f t="shared" si="51"/>
        <v>94.983747604624568</v>
      </c>
      <c r="AQ22" s="3151">
        <f t="shared" si="52"/>
        <v>93.353842369565911</v>
      </c>
      <c r="AR22" s="3151">
        <f t="shared" si="53"/>
        <v>101.53305300380042</v>
      </c>
    </row>
    <row r="23" spans="1:44" s="2044" customFormat="1" ht="13.2">
      <c r="A23" s="2903" t="s">
        <v>2823</v>
      </c>
      <c r="B23" s="2030">
        <v>2021</v>
      </c>
      <c r="C23" s="2041">
        <v>2</v>
      </c>
      <c r="D23" s="2006">
        <v>0.92</v>
      </c>
      <c r="E23" s="2006">
        <v>0.72</v>
      </c>
      <c r="F23" s="2006">
        <v>0.41</v>
      </c>
      <c r="G23" s="2006">
        <v>0.95</v>
      </c>
      <c r="H23" s="2915">
        <v>1.01</v>
      </c>
      <c r="I23" s="2007">
        <f t="shared" si="87"/>
        <v>0.41</v>
      </c>
      <c r="J23" s="2904"/>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4"/>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4"/>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95.459324079832498</v>
      </c>
      <c r="AN23" s="3151">
        <f t="shared" si="49"/>
        <v>97.418417990343357</v>
      </c>
      <c r="AO23" s="3151">
        <f t="shared" si="50"/>
        <v>101.28995710674424</v>
      </c>
      <c r="AP23" s="3151">
        <f t="shared" si="51"/>
        <v>94.530003587405034</v>
      </c>
      <c r="AQ23" s="3151">
        <f t="shared" si="52"/>
        <v>92.907884523851436</v>
      </c>
      <c r="AR23" s="3151">
        <f t="shared" si="53"/>
        <v>101.28995710674424</v>
      </c>
    </row>
    <row r="24" spans="1:44" s="2926" customFormat="1" ht="15" thickBot="1">
      <c r="A24" s="2916" t="s">
        <v>2824</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94.589104320087685</v>
      </c>
      <c r="AN24" s="3158">
        <f t="shared" si="49"/>
        <v>96.722019450301175</v>
      </c>
      <c r="AO24" s="3158">
        <f t="shared" si="50"/>
        <v>100.87636401428567</v>
      </c>
      <c r="AP24" s="3158">
        <f t="shared" si="51"/>
        <v>93.640419601193685</v>
      </c>
      <c r="AQ24" s="3158">
        <f t="shared" si="52"/>
        <v>91.978897657510586</v>
      </c>
      <c r="AR24" s="3158">
        <f t="shared" si="53"/>
        <v>100.87636401428567</v>
      </c>
    </row>
    <row r="25" spans="1:44" ht="15" thickTop="1"/>
    <row r="26" spans="1:44">
      <c r="A26" s="3141" t="s">
        <v>3380</v>
      </c>
    </row>
    <row r="27" spans="1:44">
      <c r="I27" s="1405" t="s">
        <v>2825</v>
      </c>
    </row>
    <row r="29" spans="1:44" s="2008" customFormat="1" ht="13.2">
      <c r="B29" s="2927" t="s">
        <v>3378</v>
      </c>
      <c r="C29" s="2928"/>
      <c r="D29" s="2928"/>
      <c r="E29" s="2928"/>
      <c r="F29" s="2928"/>
      <c r="G29" s="2928"/>
      <c r="H29" s="2928"/>
      <c r="I29" s="2928"/>
      <c r="J29" s="2894"/>
      <c r="K29" s="2928" t="s">
        <v>2826</v>
      </c>
      <c r="L29" s="2928"/>
      <c r="M29" s="2928"/>
      <c r="N29" s="2928"/>
      <c r="O29" s="2928"/>
      <c r="P29" s="2928"/>
      <c r="Q29" s="2894"/>
      <c r="R29" s="3495" t="s">
        <v>2827</v>
      </c>
      <c r="S29" s="3496"/>
      <c r="T29" s="3496"/>
      <c r="U29" s="3496"/>
      <c r="V29" s="3496"/>
      <c r="W29" s="3496"/>
      <c r="X29" s="2894"/>
      <c r="Y29" s="3495" t="s">
        <v>2828</v>
      </c>
      <c r="Z29" s="3496"/>
      <c r="AA29" s="3496"/>
      <c r="AB29" s="3496"/>
      <c r="AC29" s="3496"/>
      <c r="AD29" s="3496"/>
    </row>
    <row r="30" spans="1:44" s="2009" customFormat="1" ht="15" thickBot="1">
      <c r="B30" s="2879"/>
      <c r="C30" s="2880"/>
      <c r="D30" s="2010" t="s">
        <v>2829</v>
      </c>
      <c r="E30" s="2011" t="s">
        <v>2830</v>
      </c>
      <c r="F30" s="2011" t="s">
        <v>2831</v>
      </c>
      <c r="G30" s="2011" t="s">
        <v>2832</v>
      </c>
      <c r="H30" s="2011"/>
      <c r="I30" s="2011" t="s">
        <v>2833</v>
      </c>
      <c r="J30" s="2881"/>
      <c r="K30" s="2010" t="s">
        <v>2829</v>
      </c>
      <c r="L30" s="2011" t="s">
        <v>2830</v>
      </c>
      <c r="M30" s="2011" t="s">
        <v>2831</v>
      </c>
      <c r="N30" s="2011" t="s">
        <v>2832</v>
      </c>
      <c r="O30" s="2011"/>
      <c r="P30" s="2011" t="s">
        <v>2833</v>
      </c>
      <c r="Q30" s="2881"/>
      <c r="R30" s="2010" t="s">
        <v>2829</v>
      </c>
      <c r="S30" s="2011" t="s">
        <v>2830</v>
      </c>
      <c r="T30" s="2011" t="s">
        <v>2831</v>
      </c>
      <c r="U30" s="2011" t="s">
        <v>2832</v>
      </c>
      <c r="V30" s="2011"/>
      <c r="W30" s="2011" t="s">
        <v>2833</v>
      </c>
      <c r="X30" s="2881"/>
      <c r="Y30" s="2010" t="s">
        <v>2829</v>
      </c>
      <c r="Z30" s="2011" t="s">
        <v>2830</v>
      </c>
      <c r="AA30" s="2011" t="s">
        <v>2831</v>
      </c>
      <c r="AB30" s="2011" t="s">
        <v>2832</v>
      </c>
      <c r="AC30" s="2011"/>
      <c r="AD30" s="2011" t="s">
        <v>2833</v>
      </c>
      <c r="AG30" t="s">
        <v>673</v>
      </c>
      <c r="AH30" t="s">
        <v>21</v>
      </c>
      <c r="AI30" t="s">
        <v>3405</v>
      </c>
      <c r="AJ30"/>
      <c r="AK30" t="s">
        <v>3406</v>
      </c>
      <c r="AN30" t="s">
        <v>673</v>
      </c>
      <c r="AO30" t="s">
        <v>21</v>
      </c>
      <c r="AP30" t="s">
        <v>3405</v>
      </c>
      <c r="AQ30"/>
      <c r="AR30" t="s">
        <v>3406</v>
      </c>
    </row>
    <row r="31" spans="1:44" s="2884" customFormat="1" ht="13.2">
      <c r="A31" s="2882" t="s">
        <v>2834</v>
      </c>
      <c r="B31" s="2883"/>
      <c r="E31" s="2884">
        <f t="shared" ref="E31:G31" si="115">ROUND(AVERAGEIF(E32:E52,"&lt;&gt;0"),2)</f>
        <v>0.11</v>
      </c>
      <c r="F31" s="2884">
        <f t="shared" si="115"/>
        <v>7.0000000000000007E-2</v>
      </c>
      <c r="G31" s="2884">
        <f t="shared" si="115"/>
        <v>0.26</v>
      </c>
      <c r="I31" s="2884">
        <f>F31</f>
        <v>7.0000000000000007E-2</v>
      </c>
      <c r="J31" s="2885"/>
      <c r="K31" s="2886"/>
      <c r="L31" s="2887">
        <f t="shared" ref="L31:N31" si="116">ROUND(AVERAGEIF(L32:L52,"&lt;&gt;0"),4)</f>
        <v>1.1000000000000001E-3</v>
      </c>
      <c r="M31" s="2887">
        <f t="shared" si="116"/>
        <v>6.9999999999999999E-4</v>
      </c>
      <c r="N31" s="2887">
        <f t="shared" si="116"/>
        <v>2.5999999999999999E-3</v>
      </c>
      <c r="O31" s="2887"/>
      <c r="P31" s="2887">
        <f>M31</f>
        <v>6.9999999999999999E-4</v>
      </c>
      <c r="Q31" s="2885"/>
      <c r="R31" s="2888"/>
      <c r="S31" s="2889">
        <f>ROUND(SUMPRODUCT(PRODUCT(1+L32:L52)),4)</f>
        <v>1.0185</v>
      </c>
      <c r="T31" s="2889">
        <f t="shared" ref="T31:U31" si="117">ROUND(SUMPRODUCT(PRODUCT(1+M32:M52)),4)</f>
        <v>1.012</v>
      </c>
      <c r="U31" s="2889">
        <f t="shared" si="117"/>
        <v>1.0436000000000001</v>
      </c>
      <c r="V31" s="2889"/>
      <c r="W31" s="2888">
        <f>T31</f>
        <v>1.012</v>
      </c>
      <c r="X31" s="2885"/>
      <c r="Y31" s="2890"/>
      <c r="Z31" s="2891">
        <f t="shared" ref="Z31:AB31" si="118">ROUND(AVERAGEIF(Z32:Z52,"&lt;&gt;0"),4)</f>
        <v>3.5999999999999999E-3</v>
      </c>
      <c r="AA31" s="2892">
        <f t="shared" si="118"/>
        <v>3.0000000000000001E-3</v>
      </c>
      <c r="AB31" s="2890">
        <f t="shared" si="118"/>
        <v>7.0000000000000001E-3</v>
      </c>
      <c r="AC31" s="2893"/>
      <c r="AD31" s="2890">
        <f>AA31</f>
        <v>3.0000000000000001E-3</v>
      </c>
    </row>
    <row r="32" spans="1:44" s="2008" customFormat="1" ht="13.2">
      <c r="B32" s="2024"/>
      <c r="J32" s="2894"/>
      <c r="K32" s="2895"/>
      <c r="L32" s="2896"/>
      <c r="M32" s="2896"/>
      <c r="N32" s="2896"/>
      <c r="O32" s="2896"/>
      <c r="P32" s="2896"/>
      <c r="Q32" s="2894"/>
      <c r="R32" s="2026"/>
      <c r="S32" s="2897"/>
      <c r="T32" s="2898"/>
      <c r="U32" s="2026"/>
      <c r="V32" s="2899"/>
      <c r="W32" s="2026"/>
      <c r="X32" s="2894"/>
      <c r="Y32" s="2027"/>
      <c r="Z32" s="2900"/>
      <c r="AA32" s="2901"/>
      <c r="AB32" s="2027"/>
      <c r="AC32" s="2902"/>
      <c r="AD32" s="2027"/>
    </row>
    <row r="33" spans="1:44" s="2044" customFormat="1">
      <c r="A33" s="2039" t="s">
        <v>3403</v>
      </c>
      <c r="B33" s="2030">
        <v>2025</v>
      </c>
      <c r="C33" s="2041">
        <v>4</v>
      </c>
      <c r="D33" s="2006"/>
      <c r="E33" s="2006">
        <v>0</v>
      </c>
      <c r="F33" s="2006">
        <v>0</v>
      </c>
      <c r="G33" s="2006">
        <v>0</v>
      </c>
      <c r="H33" s="2006"/>
      <c r="I33" s="2007">
        <f t="shared" ref="I33" si="119">F33</f>
        <v>0</v>
      </c>
      <c r="J33" s="2904"/>
      <c r="K33" s="2042"/>
      <c r="L33" s="2027">
        <f t="shared" ref="L33" si="120">E33/100</f>
        <v>0</v>
      </c>
      <c r="M33" s="2027">
        <f t="shared" ref="M33" si="121">F33/100</f>
        <v>0</v>
      </c>
      <c r="N33" s="2027">
        <f t="shared" ref="N33" si="122">G33/100</f>
        <v>0</v>
      </c>
      <c r="O33" s="2027"/>
      <c r="P33" s="2027">
        <f t="shared" ref="P33:P39" si="123">M33</f>
        <v>0</v>
      </c>
      <c r="Q33" s="2904"/>
      <c r="R33" s="2026"/>
      <c r="S33" s="2026">
        <f>ROUND(IF(项目基本情况!$B$8="出让",SUMPRODUCT(PRODUCT(1+L33:L$52)),SUMPRODUCT(PRODUCT(1+L33:L$51))),4)</f>
        <v>1.0148999999999999</v>
      </c>
      <c r="T33" s="2026">
        <f>ROUND(IF(项目基本情况!$B$8="出让",SUMPRODUCT(PRODUCT(1+M33:M$52)),SUMPRODUCT(PRODUCT(1+M33:M$51))),4)</f>
        <v>1.0072000000000001</v>
      </c>
      <c r="U33" s="2026">
        <f>ROUND(IF(项目基本情况!$B$8="出让",SUMPRODUCT(PRODUCT(1+N33:N$52)),SUMPRODUCT(PRODUCT(1+N33:N$51))),4)</f>
        <v>1.0335000000000001</v>
      </c>
      <c r="V33" s="2026"/>
      <c r="W33" s="2026">
        <f t="shared" ref="W33:W39" si="124">T33</f>
        <v>1.0072000000000001</v>
      </c>
      <c r="X33" s="2904"/>
      <c r="Y33" s="2027"/>
      <c r="Z33" s="2900">
        <f t="shared" ref="Z33" si="125">IF(E33=0,0,ROUND(AVERAGE(E33:E46)/100,4))</f>
        <v>0</v>
      </c>
      <c r="AA33" s="2900">
        <f t="shared" ref="AA33" si="126">IF(F33=0,0,ROUND(AVERAGE(F33:F46)/100,4))</f>
        <v>0</v>
      </c>
      <c r="AB33" s="2900">
        <f t="shared" ref="AB33" si="127">IF(G33=0,0,ROUND(AVERAGE(G33:G46)/100,4))</f>
        <v>0</v>
      </c>
      <c r="AC33" s="2902"/>
      <c r="AD33" s="2027">
        <f t="shared" ref="AD33:AD39" si="128">IF(I33=0,0,ROUND(AVERAGE(I33:I46)/100,4))</f>
        <v>0</v>
      </c>
      <c r="AG33" s="3151">
        <f t="shared" ref="AG33:AG50" si="129">$AG$52*S33</f>
        <v>101.49</v>
      </c>
      <c r="AH33" s="3151">
        <f t="shared" ref="AH33:AH50" si="130">$AG$52*T33</f>
        <v>100.72000000000001</v>
      </c>
      <c r="AI33" s="3151">
        <f t="shared" ref="AI33:AI50" si="131">$AG$52*U33</f>
        <v>103.35000000000001</v>
      </c>
      <c r="AJ33" s="3153"/>
      <c r="AK33" s="3151">
        <f t="shared" ref="AK33:AK50" si="132">$AG$52*W33</f>
        <v>100.72000000000001</v>
      </c>
      <c r="AN33" s="3156">
        <v>100</v>
      </c>
      <c r="AO33" s="3156">
        <v>100</v>
      </c>
      <c r="AP33" s="3156">
        <v>100</v>
      </c>
      <c r="AQ33" s="3156"/>
      <c r="AR33" s="3156">
        <v>100</v>
      </c>
    </row>
    <row r="34" spans="1:44" s="2044" customFormat="1" ht="13.2">
      <c r="A34" s="2039" t="s">
        <v>3402</v>
      </c>
      <c r="B34" s="2030">
        <v>2025</v>
      </c>
      <c r="C34" s="2041">
        <v>3</v>
      </c>
      <c r="D34" s="2006"/>
      <c r="E34" s="2006">
        <v>0</v>
      </c>
      <c r="F34" s="2006">
        <v>0</v>
      </c>
      <c r="G34" s="2006">
        <v>0</v>
      </c>
      <c r="H34" s="2006"/>
      <c r="I34" s="2007">
        <f t="shared" ref="I34" si="133">F34</f>
        <v>0</v>
      </c>
      <c r="J34" s="2904"/>
      <c r="K34" s="2042"/>
      <c r="L34" s="2027">
        <f t="shared" ref="L34" si="134">E34/100</f>
        <v>0</v>
      </c>
      <c r="M34" s="2027">
        <f t="shared" ref="M34" si="135">F34/100</f>
        <v>0</v>
      </c>
      <c r="N34" s="2027">
        <f t="shared" ref="N34" si="136">G34/100</f>
        <v>0</v>
      </c>
      <c r="O34" s="2027"/>
      <c r="P34" s="2027">
        <f t="shared" si="123"/>
        <v>0</v>
      </c>
      <c r="Q34" s="2904"/>
      <c r="R34" s="2026"/>
      <c r="S34" s="2026">
        <f>ROUND(IF(项目基本情况!$B$8="出让",SUMPRODUCT(PRODUCT(1+L34:L$52)),SUMPRODUCT(PRODUCT(1+L34:L$51))),4)</f>
        <v>1.0148999999999999</v>
      </c>
      <c r="T34" s="2026">
        <f>ROUND(IF(项目基本情况!$B$8="出让",SUMPRODUCT(PRODUCT(1+M34:M$52)),SUMPRODUCT(PRODUCT(1+M34:M$51))),4)</f>
        <v>1.0072000000000001</v>
      </c>
      <c r="U34" s="2026">
        <f>ROUND(IF(项目基本情况!$B$8="出让",SUMPRODUCT(PRODUCT(1+N34:N$52)),SUMPRODUCT(PRODUCT(1+N34:N$51))),4)</f>
        <v>1.0335000000000001</v>
      </c>
      <c r="V34" s="2026"/>
      <c r="W34" s="2026">
        <f t="shared" si="124"/>
        <v>1.0072000000000001</v>
      </c>
      <c r="X34" s="2904"/>
      <c r="Y34" s="2027"/>
      <c r="Z34" s="2900">
        <f t="shared" ref="Z34" si="137">IF(E34=0,0,ROUND(AVERAGE(E34:E47)/100,4))</f>
        <v>0</v>
      </c>
      <c r="AA34" s="2900">
        <f t="shared" ref="AA34" si="138">IF(F34=0,0,ROUND(AVERAGE(F34:F47)/100,4))</f>
        <v>0</v>
      </c>
      <c r="AB34" s="2900">
        <f t="shared" ref="AB34" si="139">IF(G34=0,0,ROUND(AVERAGE(G34:G47)/100,4))</f>
        <v>0</v>
      </c>
      <c r="AC34" s="2902"/>
      <c r="AD34" s="2027">
        <f t="shared" si="128"/>
        <v>0</v>
      </c>
      <c r="AG34" s="3151">
        <f t="shared" si="129"/>
        <v>101.49</v>
      </c>
      <c r="AH34" s="3151">
        <f t="shared" si="130"/>
        <v>100.72000000000001</v>
      </c>
      <c r="AI34" s="3151">
        <f t="shared" si="131"/>
        <v>103.35000000000001</v>
      </c>
      <c r="AJ34" s="3153"/>
      <c r="AK34" s="3151">
        <f t="shared" si="132"/>
        <v>100.72000000000001</v>
      </c>
      <c r="AN34" s="3151">
        <f>AN33/(1+E33/100)</f>
        <v>100</v>
      </c>
      <c r="AO34" s="3151">
        <f t="shared" ref="AO34:AR34" si="140">AO33/(1+F33/100)</f>
        <v>100</v>
      </c>
      <c r="AP34" s="3151">
        <f t="shared" si="140"/>
        <v>100</v>
      </c>
      <c r="AQ34" s="3151"/>
      <c r="AR34" s="3151">
        <f t="shared" si="140"/>
        <v>100</v>
      </c>
    </row>
    <row r="35" spans="1:44" s="2914" customFormat="1" ht="13.2">
      <c r="A35" s="2905" t="s">
        <v>3410</v>
      </c>
      <c r="B35" s="2906">
        <v>2025</v>
      </c>
      <c r="C35" s="2907">
        <v>2</v>
      </c>
      <c r="D35" s="2908"/>
      <c r="E35" s="2908">
        <v>0</v>
      </c>
      <c r="F35" s="2908">
        <v>0</v>
      </c>
      <c r="G35" s="2908">
        <v>0</v>
      </c>
      <c r="H35" s="2909"/>
      <c r="I35" s="2910">
        <f t="shared" ref="I35" si="141">F35</f>
        <v>0</v>
      </c>
      <c r="J35" s="2911"/>
      <c r="K35" s="2912"/>
      <c r="L35" s="2913">
        <f t="shared" ref="L35" si="142">E35/100</f>
        <v>0</v>
      </c>
      <c r="M35" s="2913">
        <f t="shared" ref="M35" si="143">F35/100</f>
        <v>0</v>
      </c>
      <c r="N35" s="2913">
        <f t="shared" ref="N35" si="144">G35/100</f>
        <v>0</v>
      </c>
      <c r="O35" s="2913"/>
      <c r="P35" s="2913">
        <f t="shared" si="123"/>
        <v>0</v>
      </c>
      <c r="Q35" s="2911"/>
      <c r="R35" s="2911"/>
      <c r="S35" s="2911">
        <f>ROUND(IF(项目基本情况!$B$8="出让",SUMPRODUCT(PRODUCT(1+L35:L$52)),SUMPRODUCT(PRODUCT(1+L35:L$51))),4)</f>
        <v>1.0148999999999999</v>
      </c>
      <c r="T35" s="2911">
        <f>ROUND(IF(项目基本情况!$B$8="出让",SUMPRODUCT(PRODUCT(1+M35:M$52)),SUMPRODUCT(PRODUCT(1+M35:M$51))),4)</f>
        <v>1.0072000000000001</v>
      </c>
      <c r="U35" s="2911">
        <f>ROUND(IF(项目基本情况!$B$8="出让",SUMPRODUCT(PRODUCT(1+N35:N$52)),SUMPRODUCT(PRODUCT(1+N35:N$51))),4)</f>
        <v>1.0335000000000001</v>
      </c>
      <c r="V35" s="2911"/>
      <c r="W35" s="2911">
        <f t="shared" si="124"/>
        <v>1.0072000000000001</v>
      </c>
      <c r="X35" s="2911"/>
      <c r="Y35" s="2913"/>
      <c r="Z35" s="2929">
        <f t="shared" ref="Z35" si="145">IF(E35=0,0,ROUND(AVERAGE(E35:E48)/100,4))</f>
        <v>0</v>
      </c>
      <c r="AA35" s="2930">
        <f t="shared" ref="AA35" si="146">IF(F35=0,0,ROUND(AVERAGE(F35:F48)/100,4))</f>
        <v>0</v>
      </c>
      <c r="AB35" s="2913">
        <f t="shared" ref="AB35" si="147">IF(G35=0,0,ROUND(AVERAGE(G35:G48)/100,4))</f>
        <v>0</v>
      </c>
      <c r="AC35" s="2931"/>
      <c r="AD35" s="2913">
        <f t="shared" si="128"/>
        <v>0</v>
      </c>
      <c r="AG35" s="3152">
        <f t="shared" si="129"/>
        <v>101.49</v>
      </c>
      <c r="AH35" s="3152">
        <f t="shared" si="130"/>
        <v>100.72000000000001</v>
      </c>
      <c r="AI35" s="3152">
        <f t="shared" si="131"/>
        <v>103.35000000000001</v>
      </c>
      <c r="AJ35" s="3154"/>
      <c r="AK35" s="3152">
        <f t="shared" si="132"/>
        <v>100.72000000000001</v>
      </c>
      <c r="AN35" s="3152">
        <f t="shared" ref="AN35:AN52" si="148">AN34/(1+E34/100)</f>
        <v>100</v>
      </c>
      <c r="AO35" s="3152">
        <f t="shared" ref="AO35" si="149">AO34/(1+F34/100)</f>
        <v>100</v>
      </c>
      <c r="AP35" s="3152">
        <f t="shared" ref="AP35" si="150">AP34/(1+G34/100)</f>
        <v>100</v>
      </c>
      <c r="AQ35" s="3152"/>
      <c r="AR35" s="3152">
        <f t="shared" ref="AR35" si="151">AR34/(1+I34/100)</f>
        <v>100</v>
      </c>
    </row>
    <row r="36" spans="1:44" s="2044" customFormat="1" ht="13.2">
      <c r="A36" s="2039" t="s">
        <v>3407</v>
      </c>
      <c r="B36" s="2030">
        <v>2025</v>
      </c>
      <c r="C36" s="2041">
        <v>1</v>
      </c>
      <c r="D36" s="2006"/>
      <c r="E36" s="2006">
        <v>-1.47</v>
      </c>
      <c r="F36" s="2006">
        <v>-0.98</v>
      </c>
      <c r="G36" s="2006">
        <v>-0.51</v>
      </c>
      <c r="H36" s="2006"/>
      <c r="I36" s="2007">
        <f t="shared" ref="I36" si="152">F36</f>
        <v>-0.98</v>
      </c>
      <c r="J36" s="2904"/>
      <c r="K36" s="2042"/>
      <c r="L36" s="2027">
        <f t="shared" ref="L36" si="153">E36/100</f>
        <v>-1.47E-2</v>
      </c>
      <c r="M36" s="2027">
        <f t="shared" ref="M36" si="154">F36/100</f>
        <v>-9.7999999999999997E-3</v>
      </c>
      <c r="N36" s="2027">
        <f t="shared" ref="N36" si="155">G36/100</f>
        <v>-5.1000000000000004E-3</v>
      </c>
      <c r="O36" s="2027"/>
      <c r="P36" s="2027">
        <f t="shared" si="123"/>
        <v>-9.7999999999999997E-3</v>
      </c>
      <c r="Q36" s="2904"/>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4"/>
      <c r="Y36" s="2027"/>
      <c r="Z36" s="2900">
        <f t="shared" ref="Z36" si="156">IF(E36=0,0,ROUND(AVERAGE(E36:E49)/100,4))</f>
        <v>4.0000000000000002E-4</v>
      </c>
      <c r="AA36" s="2900">
        <f t="shared" ref="AA36" si="157">IF(F36=0,0,ROUND(AVERAGE(F36:F49)/100,4))</f>
        <v>0</v>
      </c>
      <c r="AB36" s="2900">
        <f t="shared" ref="AB36" si="158">IF(G36=0,0,ROUND(AVERAGE(G36:G49)/100,4))</f>
        <v>1E-3</v>
      </c>
      <c r="AC36" s="2902"/>
      <c r="AD36" s="2027">
        <f t="shared" si="128"/>
        <v>0</v>
      </c>
      <c r="AG36" s="3151">
        <f t="shared" si="129"/>
        <v>101.49</v>
      </c>
      <c r="AH36" s="3151">
        <f t="shared" si="130"/>
        <v>100.72000000000001</v>
      </c>
      <c r="AI36" s="3151">
        <f t="shared" si="131"/>
        <v>103.35000000000001</v>
      </c>
      <c r="AJ36" s="3153"/>
      <c r="AK36" s="3151">
        <f t="shared" si="132"/>
        <v>100.72000000000001</v>
      </c>
      <c r="AN36" s="3151">
        <f t="shared" si="148"/>
        <v>100</v>
      </c>
      <c r="AO36" s="3151">
        <f t="shared" ref="AO36:AO52" si="159">AO35/(1+F35/100)</f>
        <v>100</v>
      </c>
      <c r="AP36" s="3151">
        <f t="shared" ref="AP36:AP52" si="160">AP35/(1+G35/100)</f>
        <v>100</v>
      </c>
      <c r="AQ36" s="3151"/>
      <c r="AR36" s="3151">
        <f t="shared" ref="AR36:AR52" si="161">AR35/(1+I35/100)</f>
        <v>100</v>
      </c>
    </row>
    <row r="37" spans="1:44" s="2044" customFormat="1" ht="13.2">
      <c r="A37" s="2039" t="s">
        <v>3408</v>
      </c>
      <c r="B37" s="2030">
        <v>2024</v>
      </c>
      <c r="C37" s="2041">
        <v>4</v>
      </c>
      <c r="D37" s="2006"/>
      <c r="E37" s="2006">
        <v>-0.61</v>
      </c>
      <c r="F37" s="2006">
        <v>-0.71</v>
      </c>
      <c r="G37" s="2006">
        <v>-0.88</v>
      </c>
      <c r="H37" s="2006"/>
      <c r="I37" s="2007">
        <f t="shared" ref="I37" si="162">F37</f>
        <v>-0.71</v>
      </c>
      <c r="J37" s="2904"/>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4"/>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4"/>
      <c r="Y37" s="2027"/>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7">
        <f t="shared" si="128"/>
        <v>8.9999999999999998E-4</v>
      </c>
      <c r="AG37" s="3151">
        <f t="shared" si="129"/>
        <v>103.01</v>
      </c>
      <c r="AH37" s="3151">
        <f t="shared" si="130"/>
        <v>101.71</v>
      </c>
      <c r="AI37" s="3151">
        <f t="shared" si="131"/>
        <v>103.88</v>
      </c>
      <c r="AJ37" s="3153"/>
      <c r="AK37" s="3151">
        <f t="shared" si="132"/>
        <v>101.71</v>
      </c>
      <c r="AN37" s="3151">
        <f t="shared" si="148"/>
        <v>101.49193139145439</v>
      </c>
      <c r="AO37" s="3151">
        <f t="shared" si="159"/>
        <v>100.98969905069683</v>
      </c>
      <c r="AP37" s="3151">
        <f t="shared" si="160"/>
        <v>100.51261433309881</v>
      </c>
      <c r="AQ37" s="3151"/>
      <c r="AR37" s="3151">
        <f t="shared" si="161"/>
        <v>100.98969905069683</v>
      </c>
    </row>
    <row r="38" spans="1:44" s="2044" customFormat="1" ht="13.2">
      <c r="A38" s="2039" t="s">
        <v>3372</v>
      </c>
      <c r="B38" s="2030">
        <v>2024</v>
      </c>
      <c r="C38" s="2041">
        <v>3</v>
      </c>
      <c r="D38" s="2006"/>
      <c r="E38" s="2006">
        <v>-0.66</v>
      </c>
      <c r="F38" s="2006">
        <v>-0.52</v>
      </c>
      <c r="G38" s="2006">
        <v>-2.87</v>
      </c>
      <c r="H38" s="2006"/>
      <c r="I38" s="2007">
        <f t="shared" ref="I38" si="169">F38</f>
        <v>-0.52</v>
      </c>
      <c r="J38" s="2904"/>
      <c r="K38" s="2042"/>
      <c r="L38" s="2027">
        <f t="shared" ref="L38" si="170">E38/100</f>
        <v>-6.6E-3</v>
      </c>
      <c r="M38" s="2027">
        <f t="shared" ref="M38" si="171">F38/100</f>
        <v>-5.1999999999999998E-3</v>
      </c>
      <c r="N38" s="2027">
        <f t="shared" ref="N38" si="172">G38/100</f>
        <v>-2.87E-2</v>
      </c>
      <c r="O38" s="2027"/>
      <c r="P38" s="2027">
        <f t="shared" si="123"/>
        <v>-5.1999999999999998E-3</v>
      </c>
      <c r="Q38" s="2904"/>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4"/>
      <c r="Y38" s="2027"/>
      <c r="Z38" s="2900">
        <f t="shared" ref="Z38:AB39" si="173">IF(E38=0,0,ROUND(AVERAGE(E38:E51)/100,4))</f>
        <v>2.5999999999999999E-3</v>
      </c>
      <c r="AA38" s="2900">
        <f t="shared" si="173"/>
        <v>1.6999999999999999E-3</v>
      </c>
      <c r="AB38" s="2900">
        <f t="shared" si="173"/>
        <v>3.3999999999999998E-3</v>
      </c>
      <c r="AC38" s="2902"/>
      <c r="AD38" s="2027">
        <f t="shared" si="128"/>
        <v>1.6999999999999999E-3</v>
      </c>
      <c r="AG38" s="3151">
        <f t="shared" si="129"/>
        <v>103.64</v>
      </c>
      <c r="AH38" s="3151">
        <f t="shared" si="130"/>
        <v>102.44</v>
      </c>
      <c r="AI38" s="3151">
        <f t="shared" si="131"/>
        <v>104.80000000000001</v>
      </c>
      <c r="AJ38" s="3153"/>
      <c r="AK38" s="3151">
        <f t="shared" si="132"/>
        <v>102.44</v>
      </c>
      <c r="AN38" s="3151">
        <f t="shared" si="148"/>
        <v>102.11483186583598</v>
      </c>
      <c r="AO38" s="3151">
        <f t="shared" si="159"/>
        <v>101.71185320847701</v>
      </c>
      <c r="AP38" s="3151">
        <f t="shared" si="160"/>
        <v>101.4049781407373</v>
      </c>
      <c r="AQ38" s="3151"/>
      <c r="AR38" s="3151">
        <f t="shared" si="161"/>
        <v>101.71185320847701</v>
      </c>
    </row>
    <row r="39" spans="1:44" s="2044" customFormat="1" ht="13.2">
      <c r="A39" s="2903" t="s">
        <v>3376</v>
      </c>
      <c r="B39" s="2030">
        <v>2024</v>
      </c>
      <c r="C39" s="2041">
        <v>2</v>
      </c>
      <c r="D39" s="2006"/>
      <c r="E39" s="2006">
        <v>-0.31</v>
      </c>
      <c r="F39" s="2006">
        <v>-0.39</v>
      </c>
      <c r="G39" s="2006">
        <v>1.23</v>
      </c>
      <c r="H39" s="2915"/>
      <c r="I39" s="2007">
        <f t="shared" ref="I39:I52" si="174">F39</f>
        <v>-0.39</v>
      </c>
      <c r="J39" s="2904"/>
      <c r="K39" s="2042"/>
      <c r="L39" s="2027">
        <f t="shared" ref="L39:N52" si="175">E39/100</f>
        <v>-3.0999999999999999E-3</v>
      </c>
      <c r="M39" s="2027">
        <f t="shared" si="175"/>
        <v>-3.9000000000000003E-3</v>
      </c>
      <c r="N39" s="2027">
        <f t="shared" si="175"/>
        <v>1.23E-2</v>
      </c>
      <c r="O39" s="2027"/>
      <c r="P39" s="2027">
        <f t="shared" si="123"/>
        <v>-3.9000000000000003E-3</v>
      </c>
      <c r="Q39" s="2904"/>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4"/>
      <c r="Y39" s="2027"/>
      <c r="Z39" s="2900">
        <f t="shared" si="173"/>
        <v>3.3E-3</v>
      </c>
      <c r="AA39" s="2901">
        <f t="shared" si="173"/>
        <v>2.3999999999999998E-3</v>
      </c>
      <c r="AB39" s="2027">
        <f t="shared" si="173"/>
        <v>6.1999999999999998E-3</v>
      </c>
      <c r="AC39" s="2902"/>
      <c r="AD39" s="2027">
        <f t="shared" si="128"/>
        <v>2.3999999999999998E-3</v>
      </c>
      <c r="AG39" s="3151">
        <f t="shared" si="129"/>
        <v>104.32999999999998</v>
      </c>
      <c r="AH39" s="3151">
        <f t="shared" si="130"/>
        <v>102.98</v>
      </c>
      <c r="AI39" s="3151">
        <f t="shared" si="131"/>
        <v>107.89999999999999</v>
      </c>
      <c r="AJ39" s="3153"/>
      <c r="AK39" s="3151">
        <f t="shared" si="132"/>
        <v>102.98</v>
      </c>
      <c r="AN39" s="3151">
        <f t="shared" si="148"/>
        <v>102.79326743087979</v>
      </c>
      <c r="AO39" s="3151">
        <f t="shared" si="159"/>
        <v>102.24351950992863</v>
      </c>
      <c r="AP39" s="3151">
        <f t="shared" si="160"/>
        <v>104.40129531631555</v>
      </c>
      <c r="AQ39" s="3151"/>
      <c r="AR39" s="3151">
        <f t="shared" si="161"/>
        <v>102.24351950992863</v>
      </c>
    </row>
    <row r="40" spans="1:44" s="2044" customFormat="1" ht="13.2">
      <c r="A40" s="2903" t="s">
        <v>3373</v>
      </c>
      <c r="B40" s="2030">
        <v>2024</v>
      </c>
      <c r="C40" s="2041">
        <v>1</v>
      </c>
      <c r="D40" s="2006"/>
      <c r="E40" s="2006">
        <v>0.25</v>
      </c>
      <c r="F40" s="2006">
        <v>0.4</v>
      </c>
      <c r="G40" s="2006">
        <v>-0.63</v>
      </c>
      <c r="H40" s="2915"/>
      <c r="I40" s="2007">
        <f t="shared" ref="I40:I41" si="176">F40</f>
        <v>0.4</v>
      </c>
      <c r="J40" s="2904"/>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4"/>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4"/>
      <c r="Y40" s="2027"/>
      <c r="Z40" s="2900"/>
      <c r="AA40" s="2901"/>
      <c r="AB40" s="2027"/>
      <c r="AC40" s="2902"/>
      <c r="AD40" s="2027"/>
      <c r="AG40" s="3151">
        <f t="shared" si="129"/>
        <v>104.65</v>
      </c>
      <c r="AH40" s="3151">
        <f t="shared" si="130"/>
        <v>103.38000000000001</v>
      </c>
      <c r="AI40" s="3151">
        <f t="shared" si="131"/>
        <v>106.59</v>
      </c>
      <c r="AJ40" s="3153"/>
      <c r="AK40" s="3151">
        <f t="shared" si="132"/>
        <v>103.38000000000001</v>
      </c>
      <c r="AN40" s="3151">
        <f t="shared" si="148"/>
        <v>103.11291747505246</v>
      </c>
      <c r="AO40" s="3151">
        <f t="shared" si="159"/>
        <v>102.64383044867849</v>
      </c>
      <c r="AP40" s="3151">
        <f t="shared" si="160"/>
        <v>103.13276233953923</v>
      </c>
      <c r="AQ40" s="3151"/>
      <c r="AR40" s="3151">
        <f t="shared" si="161"/>
        <v>102.64383044867849</v>
      </c>
    </row>
    <row r="41" spans="1:44" s="2044" customFormat="1" ht="13.2">
      <c r="A41" s="2903" t="s">
        <v>3371</v>
      </c>
      <c r="B41" s="2030">
        <v>2023</v>
      </c>
      <c r="C41" s="2041">
        <v>4</v>
      </c>
      <c r="D41" s="2006"/>
      <c r="E41" s="2006">
        <v>7.0000000000000007E-2</v>
      </c>
      <c r="F41" s="2006">
        <v>0.09</v>
      </c>
      <c r="G41" s="2006">
        <v>0.03</v>
      </c>
      <c r="H41" s="2915"/>
      <c r="I41" s="2007">
        <f t="shared" si="176"/>
        <v>0.09</v>
      </c>
      <c r="J41" s="2904"/>
      <c r="K41" s="2042"/>
      <c r="L41" s="2027">
        <f t="shared" si="175"/>
        <v>7.000000000000001E-4</v>
      </c>
      <c r="M41" s="2027">
        <f t="shared" si="175"/>
        <v>8.9999999999999998E-4</v>
      </c>
      <c r="N41" s="2027">
        <f t="shared" si="175"/>
        <v>2.9999999999999997E-4</v>
      </c>
      <c r="O41" s="2027"/>
      <c r="P41" s="2027">
        <f t="shared" ref="P41" si="182">M41</f>
        <v>8.9999999999999998E-4</v>
      </c>
      <c r="Q41" s="2904"/>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4"/>
      <c r="Y41" s="2027"/>
      <c r="Z41" s="2900"/>
      <c r="AA41" s="2901"/>
      <c r="AB41" s="2027"/>
      <c r="AC41" s="2902"/>
      <c r="AD41" s="2027"/>
      <c r="AG41" s="3151">
        <f t="shared" si="129"/>
        <v>104.39</v>
      </c>
      <c r="AH41" s="3151">
        <f t="shared" si="130"/>
        <v>102.97</v>
      </c>
      <c r="AI41" s="3151">
        <f t="shared" si="131"/>
        <v>107.27</v>
      </c>
      <c r="AJ41" s="3153"/>
      <c r="AK41" s="3151">
        <f t="shared" si="132"/>
        <v>102.97</v>
      </c>
      <c r="AN41" s="3151">
        <f t="shared" si="148"/>
        <v>102.85577802997751</v>
      </c>
      <c r="AO41" s="3151">
        <f t="shared" si="159"/>
        <v>102.23489088513793</v>
      </c>
      <c r="AP41" s="3151">
        <f t="shared" si="160"/>
        <v>103.78661803314806</v>
      </c>
      <c r="AQ41" s="3151"/>
      <c r="AR41" s="3151">
        <f t="shared" si="161"/>
        <v>102.23489088513793</v>
      </c>
    </row>
    <row r="42" spans="1:44" s="2044" customFormat="1" ht="13.2">
      <c r="A42" s="2903" t="s">
        <v>3369</v>
      </c>
      <c r="B42" s="2030">
        <v>2023</v>
      </c>
      <c r="C42" s="2041">
        <v>3</v>
      </c>
      <c r="D42" s="2006"/>
      <c r="E42" s="2006">
        <v>0.35</v>
      </c>
      <c r="F42" s="2006">
        <v>0.17</v>
      </c>
      <c r="G42" s="2006">
        <v>0.52</v>
      </c>
      <c r="H42" s="2915"/>
      <c r="I42" s="2007">
        <f t="shared" si="174"/>
        <v>0.17</v>
      </c>
      <c r="J42" s="2904"/>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4"/>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4"/>
      <c r="Y42" s="2027"/>
      <c r="Z42" s="2900"/>
      <c r="AA42" s="2901"/>
      <c r="AB42" s="2027"/>
      <c r="AC42" s="2902"/>
      <c r="AD42" s="2027"/>
      <c r="AG42" s="3151">
        <f t="shared" si="129"/>
        <v>104.32</v>
      </c>
      <c r="AH42" s="3151">
        <f t="shared" si="130"/>
        <v>102.86999999999999</v>
      </c>
      <c r="AI42" s="3151">
        <f t="shared" si="131"/>
        <v>107.23</v>
      </c>
      <c r="AJ42" s="3153"/>
      <c r="AK42" s="3151">
        <f t="shared" si="132"/>
        <v>102.86999999999999</v>
      </c>
      <c r="AN42" s="3151">
        <f t="shared" si="148"/>
        <v>102.78382934943292</v>
      </c>
      <c r="AO42" s="3151">
        <f t="shared" si="159"/>
        <v>102.14296221914071</v>
      </c>
      <c r="AP42" s="3151">
        <f t="shared" si="160"/>
        <v>103.75549138573234</v>
      </c>
      <c r="AQ42" s="3151"/>
      <c r="AR42" s="3151">
        <f t="shared" si="161"/>
        <v>102.14296221914071</v>
      </c>
    </row>
    <row r="43" spans="1:44" s="2044" customFormat="1" ht="13.2">
      <c r="A43" s="2903" t="s">
        <v>3368</v>
      </c>
      <c r="B43" s="2030">
        <v>2023</v>
      </c>
      <c r="C43" s="2041">
        <v>2</v>
      </c>
      <c r="D43" s="2006"/>
      <c r="E43" s="2006">
        <v>0.5</v>
      </c>
      <c r="F43" s="2006">
        <v>0.45</v>
      </c>
      <c r="G43" s="2006">
        <v>0.89</v>
      </c>
      <c r="H43" s="2915"/>
      <c r="I43" s="2007">
        <f t="shared" si="174"/>
        <v>0.45</v>
      </c>
      <c r="J43" s="2904"/>
      <c r="K43" s="2042"/>
      <c r="L43" s="2027">
        <f t="shared" si="184"/>
        <v>5.0000000000000001E-3</v>
      </c>
      <c r="M43" s="2027">
        <f t="shared" si="185"/>
        <v>4.5000000000000005E-3</v>
      </c>
      <c r="N43" s="2027">
        <f t="shared" si="186"/>
        <v>8.8999999999999999E-3</v>
      </c>
      <c r="O43" s="2027"/>
      <c r="P43" s="2027">
        <f t="shared" si="187"/>
        <v>4.5000000000000005E-3</v>
      </c>
      <c r="Q43" s="2904"/>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4"/>
      <c r="Y43" s="2027"/>
      <c r="Z43" s="2900"/>
      <c r="AA43" s="2901"/>
      <c r="AB43" s="2027"/>
      <c r="AC43" s="2902"/>
      <c r="AD43" s="2027"/>
      <c r="AG43" s="3151">
        <f t="shared" si="129"/>
        <v>103.96000000000001</v>
      </c>
      <c r="AH43" s="3151">
        <f t="shared" si="130"/>
        <v>102.69999999999999</v>
      </c>
      <c r="AI43" s="3151">
        <f t="shared" si="131"/>
        <v>106.67999999999999</v>
      </c>
      <c r="AJ43" s="3153"/>
      <c r="AK43" s="3151">
        <f t="shared" si="132"/>
        <v>102.69999999999999</v>
      </c>
      <c r="AN43" s="3151">
        <f t="shared" si="148"/>
        <v>102.42534065713295</v>
      </c>
      <c r="AO43" s="3151">
        <f t="shared" si="159"/>
        <v>101.96961387555227</v>
      </c>
      <c r="AP43" s="3151">
        <f t="shared" si="160"/>
        <v>103.21875386563104</v>
      </c>
      <c r="AQ43" s="3151"/>
      <c r="AR43" s="3151">
        <f t="shared" si="161"/>
        <v>101.96961387555227</v>
      </c>
    </row>
    <row r="44" spans="1:44" s="2044" customFormat="1" ht="13.2">
      <c r="A44" s="2903" t="s">
        <v>3366</v>
      </c>
      <c r="B44" s="2030">
        <v>2023</v>
      </c>
      <c r="C44" s="2041">
        <v>1</v>
      </c>
      <c r="D44" s="2006"/>
      <c r="E44" s="2006">
        <v>0.55000000000000004</v>
      </c>
      <c r="F44" s="2006">
        <v>0.59</v>
      </c>
      <c r="G44" s="2006">
        <v>0.64</v>
      </c>
      <c r="H44" s="2915"/>
      <c r="I44" s="2007">
        <f t="shared" si="174"/>
        <v>0.59</v>
      </c>
      <c r="J44" s="2904"/>
      <c r="K44" s="2042"/>
      <c r="L44" s="2027">
        <f t="shared" si="184"/>
        <v>5.5000000000000005E-3</v>
      </c>
      <c r="M44" s="2027">
        <f t="shared" si="185"/>
        <v>5.8999999999999999E-3</v>
      </c>
      <c r="N44" s="2027">
        <f t="shared" si="186"/>
        <v>6.4000000000000003E-3</v>
      </c>
      <c r="O44" s="2027"/>
      <c r="P44" s="2027">
        <f t="shared" si="187"/>
        <v>5.8999999999999999E-3</v>
      </c>
      <c r="Q44" s="2904"/>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4"/>
      <c r="Y44" s="2027"/>
      <c r="Z44" s="2900"/>
      <c r="AA44" s="2901"/>
      <c r="AB44" s="2027"/>
      <c r="AC44" s="2902"/>
      <c r="AD44" s="2027"/>
      <c r="AG44" s="3151">
        <f t="shared" si="129"/>
        <v>103.44</v>
      </c>
      <c r="AH44" s="3151">
        <f t="shared" si="130"/>
        <v>102.24</v>
      </c>
      <c r="AI44" s="3151">
        <f t="shared" si="131"/>
        <v>105.74</v>
      </c>
      <c r="AJ44" s="3153"/>
      <c r="AK44" s="3151">
        <f t="shared" si="132"/>
        <v>102.24</v>
      </c>
      <c r="AN44" s="3151">
        <f t="shared" si="148"/>
        <v>101.91576184789349</v>
      </c>
      <c r="AO44" s="3151">
        <f t="shared" si="159"/>
        <v>101.5128062474388</v>
      </c>
      <c r="AP44" s="3151">
        <f t="shared" si="160"/>
        <v>102.30821078960358</v>
      </c>
      <c r="AQ44" s="3151"/>
      <c r="AR44" s="3151">
        <f t="shared" si="161"/>
        <v>101.5128062474388</v>
      </c>
    </row>
    <row r="45" spans="1:44" s="2044" customFormat="1" ht="13.2">
      <c r="A45" s="2903" t="s">
        <v>3365</v>
      </c>
      <c r="B45" s="2030">
        <v>2022</v>
      </c>
      <c r="C45" s="2041">
        <v>4</v>
      </c>
      <c r="D45" s="2006"/>
      <c r="E45" s="2006">
        <v>0.45</v>
      </c>
      <c r="F45" s="2006">
        <v>0.2</v>
      </c>
      <c r="G45" s="2006">
        <v>0.38</v>
      </c>
      <c r="H45" s="2915"/>
      <c r="I45" s="2007">
        <f t="shared" si="174"/>
        <v>0.2</v>
      </c>
      <c r="J45" s="2904"/>
      <c r="K45" s="2042"/>
      <c r="L45" s="2027">
        <f t="shared" si="175"/>
        <v>4.5000000000000005E-3</v>
      </c>
      <c r="M45" s="2027">
        <f t="shared" si="175"/>
        <v>2E-3</v>
      </c>
      <c r="N45" s="2027">
        <f t="shared" si="175"/>
        <v>3.8E-3</v>
      </c>
      <c r="O45" s="2027"/>
      <c r="P45" s="2027">
        <f t="shared" ref="P45:P52" si="189">M45</f>
        <v>2E-3</v>
      </c>
      <c r="Q45" s="2904"/>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4"/>
      <c r="Y45" s="2027"/>
      <c r="Z45" s="2900">
        <f t="shared" ref="Z45:AD52" si="191">IF(E45=0,0,ROUND(AVERAGE(E45:E53)/100,4))</f>
        <v>4.0000000000000001E-3</v>
      </c>
      <c r="AA45" s="2901">
        <f t="shared" si="191"/>
        <v>2.5999999999999999E-3</v>
      </c>
      <c r="AB45" s="2027">
        <f t="shared" si="191"/>
        <v>7.4000000000000003E-3</v>
      </c>
      <c r="AC45" s="2902"/>
      <c r="AD45" s="2027">
        <f t="shared" si="191"/>
        <v>2.5999999999999999E-3</v>
      </c>
      <c r="AG45" s="3151">
        <f t="shared" si="129"/>
        <v>102.86999999999999</v>
      </c>
      <c r="AH45" s="3151">
        <f t="shared" si="130"/>
        <v>101.64</v>
      </c>
      <c r="AI45" s="3151">
        <f t="shared" si="131"/>
        <v>105.06</v>
      </c>
      <c r="AJ45" s="3153"/>
      <c r="AK45" s="3151">
        <f t="shared" si="132"/>
        <v>101.64</v>
      </c>
      <c r="AN45" s="3151">
        <f t="shared" si="148"/>
        <v>101.35829124604027</v>
      </c>
      <c r="AO45" s="3151">
        <f t="shared" si="159"/>
        <v>100.91739362505101</v>
      </c>
      <c r="AP45" s="3151">
        <f t="shared" si="160"/>
        <v>101.6576021359336</v>
      </c>
      <c r="AQ45" s="3151"/>
      <c r="AR45" s="3151">
        <f t="shared" si="161"/>
        <v>100.91739362505101</v>
      </c>
    </row>
    <row r="46" spans="1:44" s="2044" customFormat="1" ht="13.2">
      <c r="A46" s="2903" t="s">
        <v>3364</v>
      </c>
      <c r="B46" s="2030">
        <v>2022</v>
      </c>
      <c r="C46" s="2041">
        <v>3</v>
      </c>
      <c r="D46" s="2006"/>
      <c r="E46" s="2006">
        <v>0.3</v>
      </c>
      <c r="F46" s="2006">
        <v>0.28999999999999998</v>
      </c>
      <c r="G46" s="2006">
        <v>0.83</v>
      </c>
      <c r="H46" s="2915"/>
      <c r="I46" s="2007">
        <f t="shared" si="174"/>
        <v>0.28999999999999998</v>
      </c>
      <c r="J46" s="2904"/>
      <c r="K46" s="2042"/>
      <c r="L46" s="2027">
        <f t="shared" si="175"/>
        <v>3.0000000000000001E-3</v>
      </c>
      <c r="M46" s="2027">
        <f t="shared" si="175"/>
        <v>2.8999999999999998E-3</v>
      </c>
      <c r="N46" s="2027">
        <f t="shared" si="175"/>
        <v>8.3000000000000001E-3</v>
      </c>
      <c r="O46" s="2027"/>
      <c r="P46" s="2027">
        <f t="shared" si="189"/>
        <v>2.8999999999999998E-3</v>
      </c>
      <c r="Q46" s="2904"/>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4"/>
      <c r="Y46" s="2027"/>
      <c r="Z46" s="2900">
        <f t="shared" si="191"/>
        <v>3.8999999999999998E-3</v>
      </c>
      <c r="AA46" s="2901">
        <f t="shared" si="191"/>
        <v>2.7000000000000001E-3</v>
      </c>
      <c r="AB46" s="2027">
        <f t="shared" si="191"/>
        <v>7.9000000000000008E-3</v>
      </c>
      <c r="AC46" s="2902"/>
      <c r="AD46" s="2027">
        <f t="shared" si="191"/>
        <v>2.7000000000000001E-3</v>
      </c>
      <c r="AG46" s="3151">
        <f t="shared" si="129"/>
        <v>102.41</v>
      </c>
      <c r="AH46" s="3151">
        <f t="shared" si="130"/>
        <v>101.44</v>
      </c>
      <c r="AI46" s="3151">
        <f t="shared" si="131"/>
        <v>104.67</v>
      </c>
      <c r="AJ46" s="3153"/>
      <c r="AK46" s="3151">
        <f t="shared" si="132"/>
        <v>101.44</v>
      </c>
      <c r="AN46" s="3151">
        <f t="shared" si="148"/>
        <v>100.90422224593357</v>
      </c>
      <c r="AO46" s="3151">
        <f t="shared" si="159"/>
        <v>100.71596170164771</v>
      </c>
      <c r="AP46" s="3151">
        <f t="shared" si="160"/>
        <v>101.2727656265527</v>
      </c>
      <c r="AQ46" s="3151"/>
      <c r="AR46" s="3151">
        <f t="shared" si="161"/>
        <v>100.71596170164771</v>
      </c>
    </row>
    <row r="47" spans="1:44" s="2044" customFormat="1" ht="13.2">
      <c r="A47" s="2903" t="s">
        <v>3354</v>
      </c>
      <c r="B47" s="2030">
        <v>2022</v>
      </c>
      <c r="C47" s="2041">
        <v>2</v>
      </c>
      <c r="D47" s="2006"/>
      <c r="E47" s="2006">
        <v>-0.11</v>
      </c>
      <c r="F47" s="2006">
        <v>-0.13</v>
      </c>
      <c r="G47" s="2006">
        <v>0.53</v>
      </c>
      <c r="H47" s="2915"/>
      <c r="I47" s="2007">
        <f t="shared" si="174"/>
        <v>-0.13</v>
      </c>
      <c r="J47" s="2904"/>
      <c r="K47" s="2042"/>
      <c r="L47" s="2027">
        <f t="shared" si="175"/>
        <v>-1.1000000000000001E-3</v>
      </c>
      <c r="M47" s="2027">
        <f t="shared" si="175"/>
        <v>-1.2999999999999999E-3</v>
      </c>
      <c r="N47" s="2027">
        <f t="shared" si="175"/>
        <v>5.3E-3</v>
      </c>
      <c r="O47" s="2027"/>
      <c r="P47" s="2027">
        <f t="shared" si="189"/>
        <v>-1.2999999999999999E-3</v>
      </c>
      <c r="Q47" s="2904"/>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4"/>
      <c r="Y47" s="2027"/>
      <c r="Z47" s="2900">
        <f t="shared" si="191"/>
        <v>4.1000000000000003E-3</v>
      </c>
      <c r="AA47" s="2901">
        <f t="shared" si="191"/>
        <v>2.7000000000000001E-3</v>
      </c>
      <c r="AB47" s="2027">
        <f t="shared" si="191"/>
        <v>7.9000000000000008E-3</v>
      </c>
      <c r="AC47" s="2902"/>
      <c r="AD47" s="2027">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100.60241500093079</v>
      </c>
      <c r="AO47" s="3151">
        <f t="shared" si="159"/>
        <v>100.42472998469212</v>
      </c>
      <c r="AP47" s="3151">
        <f t="shared" si="160"/>
        <v>100.43912092289268</v>
      </c>
      <c r="AQ47" s="3151"/>
      <c r="AR47" s="3151">
        <f t="shared" si="161"/>
        <v>100.42472998469212</v>
      </c>
    </row>
    <row r="48" spans="1:44" s="2044" customFormat="1" ht="13.2">
      <c r="A48" s="2903" t="s">
        <v>2835</v>
      </c>
      <c r="B48" s="2030">
        <v>2022</v>
      </c>
      <c r="C48" s="2041">
        <v>1</v>
      </c>
      <c r="D48" s="2006"/>
      <c r="E48" s="2006">
        <v>0.6</v>
      </c>
      <c r="F48" s="2006">
        <v>0.45</v>
      </c>
      <c r="G48" s="2006">
        <v>0.53</v>
      </c>
      <c r="H48" s="2915"/>
      <c r="I48" s="2007">
        <f t="shared" si="174"/>
        <v>0.45</v>
      </c>
      <c r="J48" s="2904"/>
      <c r="K48" s="2042"/>
      <c r="L48" s="2027">
        <f t="shared" si="175"/>
        <v>6.0000000000000001E-3</v>
      </c>
      <c r="M48" s="2027">
        <f t="shared" si="175"/>
        <v>4.5000000000000005E-3</v>
      </c>
      <c r="N48" s="2027">
        <f t="shared" si="175"/>
        <v>5.3E-3</v>
      </c>
      <c r="O48" s="2027"/>
      <c r="P48" s="2027">
        <f t="shared" si="189"/>
        <v>4.5000000000000005E-3</v>
      </c>
      <c r="Q48" s="2904"/>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4"/>
      <c r="Y48" s="2027"/>
      <c r="Z48" s="2900">
        <f t="shared" si="191"/>
        <v>5.1000000000000004E-3</v>
      </c>
      <c r="AA48" s="2901">
        <f t="shared" si="191"/>
        <v>3.5000000000000001E-3</v>
      </c>
      <c r="AB48" s="2027">
        <f t="shared" si="191"/>
        <v>8.3999999999999995E-3</v>
      </c>
      <c r="AC48" s="2902"/>
      <c r="AD48" s="2027">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100.71319952040324</v>
      </c>
      <c r="AO48" s="3151">
        <f t="shared" si="159"/>
        <v>100.55545207238622</v>
      </c>
      <c r="AP48" s="3151">
        <f t="shared" si="160"/>
        <v>99.90960004266654</v>
      </c>
      <c r="AQ48" s="3151"/>
      <c r="AR48" s="3151">
        <f t="shared" si="161"/>
        <v>100.55545207238622</v>
      </c>
    </row>
    <row r="49" spans="1:44" s="2044" customFormat="1" ht="13.2">
      <c r="A49" s="2903" t="s">
        <v>2836</v>
      </c>
      <c r="B49" s="2030">
        <v>2021</v>
      </c>
      <c r="C49" s="2041">
        <v>4</v>
      </c>
      <c r="D49" s="2006"/>
      <c r="E49" s="2006">
        <v>0.57999999999999996</v>
      </c>
      <c r="F49" s="2006">
        <v>0.08</v>
      </c>
      <c r="G49" s="2006">
        <v>0.68</v>
      </c>
      <c r="H49" s="2915"/>
      <c r="I49" s="2007">
        <f t="shared" si="174"/>
        <v>0.08</v>
      </c>
      <c r="J49" s="2904"/>
      <c r="K49" s="2042"/>
      <c r="L49" s="2027">
        <f t="shared" si="175"/>
        <v>5.7999999999999996E-3</v>
      </c>
      <c r="M49" s="2027">
        <f t="shared" si="175"/>
        <v>8.0000000000000004E-4</v>
      </c>
      <c r="N49" s="2027">
        <f t="shared" si="175"/>
        <v>6.8000000000000005E-3</v>
      </c>
      <c r="O49" s="2027"/>
      <c r="P49" s="2027">
        <f t="shared" si="189"/>
        <v>8.0000000000000004E-4</v>
      </c>
      <c r="Q49" s="2904"/>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4"/>
      <c r="Y49" s="2027"/>
      <c r="Z49" s="2900">
        <f t="shared" si="191"/>
        <v>4.8999999999999998E-3</v>
      </c>
      <c r="AA49" s="2901">
        <f t="shared" si="191"/>
        <v>3.3E-3</v>
      </c>
      <c r="AB49" s="2027">
        <f t="shared" si="191"/>
        <v>9.1999999999999998E-3</v>
      </c>
      <c r="AC49" s="2902"/>
      <c r="AD49" s="2027">
        <f t="shared" si="191"/>
        <v>3.3E-3</v>
      </c>
      <c r="AG49" s="3151">
        <f t="shared" si="129"/>
        <v>101.61</v>
      </c>
      <c r="AH49" s="3151">
        <f t="shared" si="130"/>
        <v>100.82</v>
      </c>
      <c r="AI49" s="3151">
        <f t="shared" si="131"/>
        <v>102.71</v>
      </c>
      <c r="AJ49" s="3153"/>
      <c r="AK49" s="3151">
        <f t="shared" si="132"/>
        <v>100.82</v>
      </c>
      <c r="AN49" s="3151">
        <f t="shared" si="148"/>
        <v>100.11252437415828</v>
      </c>
      <c r="AO49" s="3151">
        <f t="shared" si="159"/>
        <v>100.10497966389867</v>
      </c>
      <c r="AP49" s="3151">
        <f t="shared" si="160"/>
        <v>99.382870827281934</v>
      </c>
      <c r="AQ49" s="3151"/>
      <c r="AR49" s="3151">
        <f t="shared" si="161"/>
        <v>100.10497966389867</v>
      </c>
    </row>
    <row r="50" spans="1:44" s="2044" customFormat="1" ht="13.2">
      <c r="A50" s="2903" t="s">
        <v>2837</v>
      </c>
      <c r="B50" s="2030">
        <v>2021</v>
      </c>
      <c r="C50" s="2041">
        <v>3</v>
      </c>
      <c r="D50" s="2006"/>
      <c r="E50" s="2006">
        <v>0.47</v>
      </c>
      <c r="F50" s="2006">
        <v>0.28000000000000003</v>
      </c>
      <c r="G50" s="2006">
        <v>0.91</v>
      </c>
      <c r="H50" s="2915"/>
      <c r="I50" s="2007">
        <f t="shared" si="174"/>
        <v>0.28000000000000003</v>
      </c>
      <c r="J50" s="2904"/>
      <c r="K50" s="2042"/>
      <c r="L50" s="2027">
        <f t="shared" si="175"/>
        <v>4.6999999999999993E-3</v>
      </c>
      <c r="M50" s="2027">
        <f t="shared" si="175"/>
        <v>2.8000000000000004E-3</v>
      </c>
      <c r="N50" s="2027">
        <f t="shared" si="175"/>
        <v>9.1000000000000004E-3</v>
      </c>
      <c r="O50" s="2027"/>
      <c r="P50" s="2027">
        <f t="shared" si="189"/>
        <v>2.8000000000000004E-3</v>
      </c>
      <c r="Q50" s="2904"/>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4"/>
      <c r="Y50" s="2027"/>
      <c r="Z50" s="2900">
        <f t="shared" si="191"/>
        <v>4.5999999999999999E-3</v>
      </c>
      <c r="AA50" s="2901">
        <f t="shared" si="191"/>
        <v>4.1000000000000003E-3</v>
      </c>
      <c r="AB50" s="2027">
        <f t="shared" si="191"/>
        <v>0.01</v>
      </c>
      <c r="AC50" s="2902"/>
      <c r="AD50" s="2027">
        <f t="shared" si="191"/>
        <v>4.1000000000000003E-3</v>
      </c>
      <c r="AG50" s="3151">
        <f t="shared" si="129"/>
        <v>101.02</v>
      </c>
      <c r="AH50" s="3151">
        <f t="shared" si="130"/>
        <v>100.74000000000001</v>
      </c>
      <c r="AI50" s="3151">
        <f t="shared" si="131"/>
        <v>102.02</v>
      </c>
      <c r="AJ50" s="3153"/>
      <c r="AK50" s="3151">
        <f t="shared" si="132"/>
        <v>100.74000000000001</v>
      </c>
      <c r="AN50" s="3151">
        <f t="shared" si="148"/>
        <v>99.535220097592244</v>
      </c>
      <c r="AO50" s="3151">
        <f t="shared" si="159"/>
        <v>100.02495969614176</v>
      </c>
      <c r="AP50" s="3151">
        <f t="shared" si="160"/>
        <v>98.711631731507694</v>
      </c>
      <c r="AQ50" s="3151"/>
      <c r="AR50" s="3151">
        <f t="shared" si="161"/>
        <v>100.02495969614176</v>
      </c>
    </row>
    <row r="51" spans="1:44" s="2044" customFormat="1" ht="13.2">
      <c r="A51" s="2903" t="s">
        <v>2838</v>
      </c>
      <c r="B51" s="2030">
        <v>2021</v>
      </c>
      <c r="C51" s="2041">
        <v>2</v>
      </c>
      <c r="D51" s="2006"/>
      <c r="E51" s="2006">
        <v>0.55000000000000004</v>
      </c>
      <c r="F51" s="2006">
        <v>0.46</v>
      </c>
      <c r="G51" s="2006">
        <v>1.1000000000000001</v>
      </c>
      <c r="H51" s="2915"/>
      <c r="I51" s="2007">
        <f t="shared" si="174"/>
        <v>0.46</v>
      </c>
      <c r="J51" s="2904"/>
      <c r="K51" s="2042"/>
      <c r="L51" s="2027">
        <f t="shared" si="175"/>
        <v>5.5000000000000005E-3</v>
      </c>
      <c r="M51" s="2027">
        <f t="shared" si="175"/>
        <v>4.5999999999999999E-3</v>
      </c>
      <c r="N51" s="2027">
        <f t="shared" si="175"/>
        <v>1.1000000000000001E-2</v>
      </c>
      <c r="O51" s="2027"/>
      <c r="P51" s="2027">
        <f t="shared" si="189"/>
        <v>4.5999999999999999E-3</v>
      </c>
      <c r="Q51" s="2904"/>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4"/>
      <c r="Y51" s="2027"/>
      <c r="Z51" s="2900">
        <f t="shared" si="191"/>
        <v>4.4999999999999997E-3</v>
      </c>
      <c r="AA51" s="2901">
        <f t="shared" si="191"/>
        <v>4.7000000000000002E-3</v>
      </c>
      <c r="AB51" s="2027">
        <f t="shared" si="191"/>
        <v>1.04E-2</v>
      </c>
      <c r="AC51" s="2902"/>
      <c r="AD51" s="2027">
        <f t="shared" si="191"/>
        <v>4.7000000000000002E-3</v>
      </c>
      <c r="AG51" s="3151">
        <f>$AG$52*S51</f>
        <v>100.55000000000001</v>
      </c>
      <c r="AH51" s="3151">
        <f t="shared" ref="AH51:AK51" si="192">$AG$52*T51</f>
        <v>100.46</v>
      </c>
      <c r="AI51" s="3151">
        <f t="shared" si="192"/>
        <v>101.1</v>
      </c>
      <c r="AJ51" s="3153"/>
      <c r="AK51" s="3151">
        <f t="shared" si="192"/>
        <v>100.46</v>
      </c>
      <c r="AN51" s="3151">
        <f t="shared" si="148"/>
        <v>99.069593010443171</v>
      </c>
      <c r="AO51" s="3151">
        <f t="shared" si="159"/>
        <v>99.745671815059609</v>
      </c>
      <c r="AP51" s="3151">
        <f t="shared" si="160"/>
        <v>97.821456477561867</v>
      </c>
      <c r="AQ51" s="3151"/>
      <c r="AR51" s="3151">
        <f t="shared" si="161"/>
        <v>99.745671815059609</v>
      </c>
    </row>
    <row r="52" spans="1:44" s="2926" customFormat="1" ht="15" thickBot="1">
      <c r="A52" s="2916" t="s">
        <v>2824</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98.527690711529758</v>
      </c>
      <c r="AO52" s="3158">
        <f t="shared" si="159"/>
        <v>99.288942678737428</v>
      </c>
      <c r="AP52" s="3158">
        <f t="shared" si="160"/>
        <v>96.757128068805017</v>
      </c>
      <c r="AQ52" s="3158"/>
      <c r="AR52" s="3158">
        <f t="shared" si="161"/>
        <v>99.288942678737428</v>
      </c>
    </row>
    <row r="53" spans="1:44" ht="15" thickTop="1"/>
    <row r="54" spans="1:44">
      <c r="A54" s="3141" t="s">
        <v>3379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00" t="s">
        <v>452</v>
      </c>
      <c r="C1" s="3500"/>
      <c r="D1" s="3500"/>
      <c r="E1" s="3500"/>
      <c r="F1" s="3500"/>
      <c r="G1" s="3496" t="s">
        <v>453</v>
      </c>
      <c r="H1" s="3496"/>
      <c r="I1" s="3496"/>
      <c r="J1" s="3496"/>
      <c r="K1" s="3496"/>
      <c r="L1" s="3496"/>
      <c r="N1" s="3496" t="s">
        <v>454</v>
      </c>
      <c r="O1" s="3496"/>
      <c r="P1" s="3496"/>
      <c r="Q1" s="3496"/>
      <c r="S1" s="3496" t="s">
        <v>455</v>
      </c>
      <c r="T1" s="3496"/>
      <c r="U1" s="3496"/>
      <c r="V1" s="3496"/>
      <c r="X1" s="3495" t="s">
        <v>456</v>
      </c>
      <c r="Y1" s="3496"/>
      <c r="Z1" s="3496"/>
      <c r="AA1" s="3496"/>
      <c r="AB1" s="3496"/>
      <c r="AD1" s="3495" t="s">
        <v>457</v>
      </c>
      <c r="AE1" s="3496"/>
      <c r="AF1" s="3496"/>
      <c r="AG1" s="3496"/>
      <c r="AH1" s="3496"/>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3362</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3359</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3360</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3361</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98">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98"/>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98"/>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05"/>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01">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98"/>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98"/>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05"/>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01">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98"/>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98"/>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99"/>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497">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98"/>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98"/>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99"/>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497">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98"/>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98"/>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99"/>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02">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03"/>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03"/>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04"/>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497">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98"/>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98"/>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499"/>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497">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98">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98">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99">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497">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98">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98">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99">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497">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98">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98">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99">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497">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98">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98">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99">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497">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98">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98">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99">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497">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98">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98">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99">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497">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98">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98">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99">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497">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98">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98">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99">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497">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98">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98">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499">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497">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98">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98">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499">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08" t="s">
        <v>2839</v>
      </c>
      <c r="B1" s="3508"/>
      <c r="C1" s="3508"/>
      <c r="D1" s="3508"/>
      <c r="E1" s="3508"/>
      <c r="F1" s="3508"/>
      <c r="G1" s="3509"/>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1.4"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506"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1.4" thickBot="1">
      <c r="A4" s="3507"/>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1.4"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1.4"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1.4"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1.4"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45814</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92" t="str">
        <f>IF(项目基本情况!B9="房地产市场价值","估价结果一览表","结果表-2")</f>
        <v>结果表-2</v>
      </c>
      <c r="B1" s="3192"/>
      <c r="C1" s="3192"/>
      <c r="D1" s="3192"/>
      <c r="E1" s="3192"/>
      <c r="F1" s="3192"/>
      <c r="G1" s="3192"/>
      <c r="H1" s="3192"/>
      <c r="I1" s="3192"/>
    </row>
    <row r="2" spans="1:9" ht="30" customHeight="1" thickTop="1">
      <c r="A2" s="3193" t="s">
        <v>928</v>
      </c>
      <c r="B2" s="3193" t="s">
        <v>929</v>
      </c>
      <c r="C2" s="3193" t="s">
        <v>930</v>
      </c>
      <c r="D2" s="3193" t="str">
        <f>结果表!D116</f>
        <v>出让国有建设用地使用权价值</v>
      </c>
      <c r="E2" s="3193"/>
      <c r="F2" s="3193" t="str">
        <f>结果表!F116</f>
        <v>在建建筑物价值</v>
      </c>
      <c r="G2" s="3193"/>
      <c r="H2" s="3193" t="str">
        <f>IF(项目基本情况!B9="房地产市场价值","房地产市场价值","房地产价值")</f>
        <v>房地产价值</v>
      </c>
      <c r="I2" s="3193"/>
    </row>
    <row r="3" spans="1:9" ht="15.6">
      <c r="A3" s="3188"/>
      <c r="B3" s="3188"/>
      <c r="C3" s="3188"/>
      <c r="D3" s="801" t="s">
        <v>925</v>
      </c>
      <c r="E3" s="801" t="s">
        <v>931</v>
      </c>
      <c r="F3" s="801" t="s">
        <v>925</v>
      </c>
      <c r="G3" s="801" t="s">
        <v>926</v>
      </c>
      <c r="H3" s="801" t="s">
        <v>925</v>
      </c>
      <c r="I3" s="801" t="s">
        <v>926</v>
      </c>
    </row>
    <row r="4" spans="1:9" ht="30">
      <c r="A4" s="1403" t="str">
        <f>项目基本情况!S2</f>
        <v>北京市房山区怡和北路5号院14号楼2层201房地产</v>
      </c>
      <c r="B4" s="801">
        <f>项目基本情况!C17</f>
        <v>66.63</v>
      </c>
      <c r="C4" s="801">
        <f>项目基本情况!C18</f>
        <v>0</v>
      </c>
      <c r="D4" s="801">
        <f>结果表!D118</f>
        <v>0</v>
      </c>
      <c r="E4" s="801">
        <f>结果表!E118</f>
        <v>0</v>
      </c>
      <c r="F4" s="801">
        <f>结果表!F118</f>
        <v>0</v>
      </c>
      <c r="G4" s="801">
        <f>结果表!G118</f>
        <v>0</v>
      </c>
      <c r="H4" s="801">
        <f ca="1">结果表!H118</f>
        <v>82</v>
      </c>
      <c r="I4" s="801">
        <f ca="1">结果表!I118</f>
        <v>12344</v>
      </c>
    </row>
    <row r="5" spans="1:9" ht="30" customHeight="1">
      <c r="A5" s="3188" t="s">
        <v>927</v>
      </c>
      <c r="B5" s="3188"/>
      <c r="C5" s="3188"/>
      <c r="D5" s="3188" t="str">
        <f>结果表!D119</f>
        <v>零元整</v>
      </c>
      <c r="E5" s="3188"/>
      <c r="F5" s="3188" t="str">
        <f>结果表!F119</f>
        <v>零元整</v>
      </c>
      <c r="G5" s="3188"/>
      <c r="H5" s="3188" t="str">
        <f ca="1">结果表!H119</f>
        <v>捌拾贰万元整</v>
      </c>
      <c r="I5" s="3188"/>
    </row>
    <row r="6" spans="1:9" ht="15.6">
      <c r="A6" s="3187" t="str">
        <f>结果表!A120</f>
        <v>估价师知悉的法定优先受偿款</v>
      </c>
      <c r="B6" s="3187"/>
      <c r="C6" s="3187"/>
      <c r="D6" s="3187">
        <f>结果表!D120</f>
        <v>0</v>
      </c>
      <c r="E6" s="3187"/>
      <c r="F6" s="3187"/>
      <c r="G6" s="3187"/>
      <c r="H6" s="3187"/>
      <c r="I6" s="3187"/>
    </row>
    <row r="7" spans="1:9" ht="15">
      <c r="A7" s="3188" t="s">
        <v>927</v>
      </c>
      <c r="B7" s="3188"/>
      <c r="C7" s="3188"/>
      <c r="D7" s="3189" t="str">
        <f>结果表!D121</f>
        <v>零元整</v>
      </c>
      <c r="E7" s="3190"/>
      <c r="F7" s="3190"/>
      <c r="G7" s="3190"/>
      <c r="H7" s="3190"/>
      <c r="I7" s="3191"/>
    </row>
    <row r="8" spans="1:9" ht="15.6">
      <c r="A8" s="3187" t="str">
        <f>结果表!A122</f>
        <v>房地产抵押价值</v>
      </c>
      <c r="B8" s="3187"/>
      <c r="C8" s="3187"/>
      <c r="D8" s="3187">
        <f ca="1">结果表!D122</f>
        <v>82</v>
      </c>
      <c r="E8" s="3187"/>
      <c r="F8" s="3187"/>
      <c r="G8" s="3187"/>
      <c r="H8" s="3187"/>
      <c r="I8" s="3187"/>
    </row>
    <row r="9" spans="1:9" ht="15">
      <c r="A9" s="3188" t="s">
        <v>927</v>
      </c>
      <c r="B9" s="3188"/>
      <c r="C9" s="3188"/>
      <c r="D9" s="3188" t="str">
        <f ca="1">结果表!D123</f>
        <v>捌拾贰万元整</v>
      </c>
      <c r="E9" s="3188"/>
      <c r="F9" s="3188"/>
      <c r="G9" s="3188"/>
      <c r="H9" s="3188"/>
      <c r="I9" s="3188"/>
    </row>
    <row r="10" spans="1:9" ht="15.6">
      <c r="A10" s="3187" t="str">
        <f>结果表!A124</f>
        <v/>
      </c>
      <c r="B10" s="3187"/>
      <c r="C10" s="3187"/>
      <c r="D10" s="3187" t="str">
        <f>结果表!D124</f>
        <v>——</v>
      </c>
      <c r="E10" s="3187"/>
      <c r="F10" s="3187"/>
      <c r="G10" s="3187"/>
      <c r="H10" s="3187"/>
      <c r="I10" s="3187"/>
    </row>
    <row r="11" spans="1:9" ht="15">
      <c r="A11" s="3188" t="s">
        <v>927</v>
      </c>
      <c r="B11" s="3188"/>
      <c r="C11" s="3188"/>
      <c r="D11" s="3188" t="e">
        <f>结果表!D125</f>
        <v>#VALUE!</v>
      </c>
      <c r="E11" s="3188"/>
      <c r="F11" s="3188"/>
      <c r="G11" s="3188"/>
      <c r="H11" s="3188"/>
      <c r="I11" s="3188"/>
    </row>
    <row r="12" spans="1:9" ht="15.6">
      <c r="A12" s="3187" t="str">
        <f>结果表!A126</f>
        <v/>
      </c>
      <c r="B12" s="3187"/>
      <c r="C12" s="3187"/>
      <c r="D12" s="3187" t="str">
        <f>结果表!D126</f>
        <v>——</v>
      </c>
      <c r="E12" s="3187"/>
      <c r="F12" s="3187"/>
      <c r="G12" s="3187"/>
      <c r="H12" s="3187"/>
      <c r="I12" s="3187"/>
    </row>
    <row r="13" spans="1:9" ht="15.6" thickBot="1">
      <c r="A13" s="3185" t="s">
        <v>927</v>
      </c>
      <c r="B13" s="3185"/>
      <c r="C13" s="3185"/>
      <c r="D13" s="3185" t="e">
        <f>结果表!D127</f>
        <v>#VALUE!</v>
      </c>
      <c r="E13" s="3185"/>
      <c r="F13" s="3185"/>
      <c r="G13" s="3185"/>
      <c r="H13" s="3185"/>
      <c r="I13" s="3185"/>
    </row>
    <row r="14" spans="1:9" ht="14.4" thickTop="1">
      <c r="A14" s="3186" t="s">
        <v>932</v>
      </c>
      <c r="B14" s="3186"/>
      <c r="C14" s="3186"/>
      <c r="D14" s="3186"/>
      <c r="E14" s="3186"/>
      <c r="F14" s="3186"/>
      <c r="G14" s="3186"/>
      <c r="H14" s="3186"/>
      <c r="I14" s="3186"/>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00" t="s">
        <v>949</v>
      </c>
      <c r="B1" s="3200"/>
      <c r="C1" s="3200"/>
      <c r="D1" s="3200"/>
    </row>
    <row r="2" spans="1:4" ht="17.399999999999999">
      <c r="A2" s="3201" t="s">
        <v>933</v>
      </c>
      <c r="B2" s="3201"/>
      <c r="C2" s="3201"/>
      <c r="D2" s="3201"/>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吴薇</v>
      </c>
      <c r="B5" s="1409">
        <f ca="1">项目基本情况!E4</f>
        <v>1419970001</v>
      </c>
      <c r="C5" s="1412"/>
      <c r="D5" s="1411" t="s">
        <v>938</v>
      </c>
    </row>
    <row r="6" spans="1:4" ht="17.399999999999999">
      <c r="A6" s="3201" t="s">
        <v>939</v>
      </c>
      <c r="B6" s="3201"/>
      <c r="C6" s="3201"/>
      <c r="D6" s="3201"/>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02" t="s">
        <v>942</v>
      </c>
      <c r="B11" s="3194"/>
      <c r="C11" s="3194"/>
      <c r="D11" s="3194"/>
    </row>
    <row r="12" spans="1:4" ht="15.6">
      <c r="A12" s="31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9"/>
      <c r="C12" s="3199"/>
      <c r="D12" s="3199"/>
    </row>
    <row r="13" spans="1:4" ht="30" customHeight="1">
      <c r="A13" s="31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9"/>
      <c r="C13" s="3199"/>
      <c r="D13" s="3199"/>
    </row>
    <row r="14" spans="1:4" ht="15.75" customHeight="1">
      <c r="A14" s="3194" t="str">
        <f>IF(项目基本情况!B8="抵押","4.本次评估估价师所知悉的法定优先受偿款情况说明如下：","——")</f>
        <v>4.本次评估估价师所知悉的法定优先受偿款情况说明如下：</v>
      </c>
      <c r="B14" s="3199"/>
      <c r="C14" s="3199"/>
      <c r="D14" s="3199"/>
    </row>
    <row r="15" spans="1:4" ht="42" customHeight="1">
      <c r="A15" s="3194" t="str">
        <f>IF(项目基本情况!B8="抵押","（1）"&amp;CONCATENATE(项目基本情况!L20,项目基本情况!L21,项目基本情况!L22),"——")</f>
        <v>（1）根据估价对象《房屋所有权证》原件、《国有土地使用权》复印件，截至价值时点，估价对象抵押权未见登记。</v>
      </c>
      <c r="B15" s="3194"/>
      <c r="C15" s="3194"/>
      <c r="D15" s="3194"/>
    </row>
    <row r="16" spans="1:4" ht="30" customHeight="1">
      <c r="A16" s="3196" t="s">
        <v>943</v>
      </c>
      <c r="B16" s="3196"/>
      <c r="C16" s="3196"/>
      <c r="D16" s="3196"/>
    </row>
    <row r="17" spans="1:4" ht="144" customHeight="1">
      <c r="A17" s="3196" t="s">
        <v>944</v>
      </c>
      <c r="B17" s="3196"/>
      <c r="C17" s="3196"/>
      <c r="D17" s="3196"/>
    </row>
    <row r="18" spans="1:4" ht="15.75" customHeight="1">
      <c r="A18" s="3194" t="str">
        <f>IF(项目基本情况!B8="抵押",结果表!K120,"——")</f>
        <v>故，本次评估不存在估价师知悉的法定优先受偿款</v>
      </c>
      <c r="B18" s="3194"/>
      <c r="C18" s="3194"/>
      <c r="D18" s="3194"/>
    </row>
    <row r="19" spans="1:4" ht="46.5" customHeight="1">
      <c r="A19" s="31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4"/>
      <c r="C19" s="3194"/>
      <c r="D19" s="3194"/>
    </row>
    <row r="20" spans="1:4" ht="57.75" customHeight="1">
      <c r="A20" s="31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4"/>
      <c r="C20" s="3194"/>
      <c r="D20" s="3194"/>
    </row>
    <row r="21" spans="1:4" ht="57.75" customHeight="1">
      <c r="A21" s="31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7"/>
      <c r="C21" s="3197"/>
      <c r="D21" s="3197"/>
    </row>
    <row r="22" spans="1:4" ht="18.75" customHeight="1">
      <c r="A22" s="3198" t="s">
        <v>945</v>
      </c>
      <c r="B22" s="3198"/>
      <c r="C22" s="3198"/>
      <c r="D22" s="3198"/>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5">
        <v>42551</v>
      </c>
      <c r="D31" s="31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08" t="s">
        <v>956</v>
      </c>
      <c r="B15" s="3203" t="s">
        <v>109</v>
      </c>
      <c r="C15" s="3204"/>
    </row>
    <row r="16" spans="1:7" ht="14.4">
      <c r="A16" s="3209"/>
      <c r="B16" s="3203" t="s">
        <v>42</v>
      </c>
      <c r="C16" s="3204"/>
    </row>
    <row r="17" spans="1:3" ht="14.4">
      <c r="A17" s="3209"/>
      <c r="B17" s="3206" t="s">
        <v>957</v>
      </c>
      <c r="C17" s="1429" t="s">
        <v>956</v>
      </c>
    </row>
    <row r="18" spans="1:3" ht="14.4">
      <c r="A18" s="3209"/>
      <c r="B18" s="3206"/>
      <c r="C18" s="1429" t="s">
        <v>958</v>
      </c>
    </row>
    <row r="19" spans="1:3" ht="14.4">
      <c r="A19" s="3209"/>
      <c r="B19" s="3206"/>
      <c r="C19" s="1429" t="s">
        <v>959</v>
      </c>
    </row>
    <row r="20" spans="1:3" ht="14.4">
      <c r="A20" s="3210"/>
      <c r="B20" s="3205" t="s">
        <v>960</v>
      </c>
      <c r="C20" s="3204"/>
    </row>
    <row r="21" spans="1:3" ht="14.4">
      <c r="A21" s="1430" t="s">
        <v>961</v>
      </c>
      <c r="B21" s="1431"/>
      <c r="C21" s="1432"/>
    </row>
    <row r="22" spans="1:3" ht="14.4">
      <c r="A22" s="3207" t="s">
        <v>962</v>
      </c>
      <c r="B22" s="3205" t="s">
        <v>963</v>
      </c>
      <c r="C22" s="3204"/>
    </row>
    <row r="23" spans="1:3" ht="14.4">
      <c r="A23" s="3207"/>
      <c r="B23" s="3205" t="s">
        <v>964</v>
      </c>
      <c r="C23" s="3204"/>
    </row>
    <row r="24" spans="1:3" ht="14.4">
      <c r="A24" s="3207"/>
      <c r="B24" s="3205" t="s">
        <v>965</v>
      </c>
      <c r="C24" s="3204"/>
    </row>
    <row r="25" spans="1:3" ht="14.4">
      <c r="A25" s="3207"/>
      <c r="B25" s="3206" t="s">
        <v>966</v>
      </c>
      <c r="C25" s="1429" t="s">
        <v>967</v>
      </c>
    </row>
    <row r="26" spans="1:3" ht="14.4">
      <c r="A26" s="3207"/>
      <c r="B26" s="3206"/>
      <c r="C26" s="1429" t="s">
        <v>968</v>
      </c>
    </row>
    <row r="27" spans="1:3" ht="14.4">
      <c r="A27" s="3207"/>
      <c r="B27" s="3206"/>
      <c r="C27" s="1429" t="s">
        <v>969</v>
      </c>
    </row>
    <row r="28" spans="1:3" ht="14.4">
      <c r="A28" s="3207"/>
      <c r="B28" s="3206"/>
      <c r="C28" s="1429" t="s">
        <v>970</v>
      </c>
    </row>
    <row r="29" spans="1:3" ht="14.4">
      <c r="A29" s="3207"/>
      <c r="B29" s="3206"/>
      <c r="C29" s="1429" t="s">
        <v>971</v>
      </c>
    </row>
    <row r="30" spans="1:3" ht="14.4">
      <c r="A30" s="3207"/>
      <c r="B30" s="3206"/>
      <c r="C30" s="1429" t="s">
        <v>972</v>
      </c>
    </row>
    <row r="31" spans="1:3" ht="14.4">
      <c r="A31" s="3207"/>
      <c r="B31" s="3206"/>
      <c r="C31" s="1429" t="s">
        <v>973</v>
      </c>
    </row>
    <row r="32" spans="1:3" ht="14.4">
      <c r="A32" s="3207"/>
      <c r="B32" s="3206"/>
      <c r="C32" s="1429" t="s">
        <v>974</v>
      </c>
    </row>
    <row r="33" spans="1:3" ht="14.4">
      <c r="A33" s="3207"/>
      <c r="B33" s="3206"/>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45817</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t="str">
        <f ca="1">IF(C10&lt;B2,"已过期",1120100036)</f>
        <v>已过期</v>
      </c>
      <c r="C10" s="2166">
        <v>45752</v>
      </c>
      <c r="D10" s="2162" t="str">
        <f t="shared" ca="1" si="0"/>
        <v>崔锴（注册号：已过期）</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2437</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11" t="s">
        <v>2160</v>
      </c>
      <c r="B17" s="3211"/>
      <c r="C17" s="3211"/>
      <c r="D17" s="3211"/>
      <c r="E17" s="3211"/>
      <c r="F17" s="3211"/>
      <c r="G17" s="3211"/>
      <c r="H17" s="3211"/>
    </row>
    <row r="18" spans="1:8" ht="24" customHeight="1">
      <c r="A18" s="3212" t="s">
        <v>2161</v>
      </c>
      <c r="B18" s="3212"/>
      <c r="C18" s="3212"/>
      <c r="D18" s="2159"/>
      <c r="E18" s="3213" t="s">
        <v>2162</v>
      </c>
      <c r="F18" s="3212"/>
      <c r="G18" s="3212"/>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假设开发法</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售价案例</vt:lpstr>
      <vt:lpstr>租金案例</vt:lpstr>
      <vt:lpstr>零贷估值</vt:lpstr>
      <vt:lpstr>信息</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2025-06-09T05:18:48Z</dcterms:modified>
</cp:coreProperties>
</file>