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 concurrentCalc="0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H3" i="1"/>
  <c r="I3" i="1"/>
  <c r="J3" i="1"/>
  <c r="B13" i="1"/>
  <c r="J9" i="1"/>
  <c r="D13" i="1"/>
  <c r="E13" i="1"/>
  <c r="J13" i="1"/>
  <c r="K13" i="1"/>
  <c r="H9" i="1"/>
  <c r="H13" i="1"/>
  <c r="B5" i="1"/>
  <c r="D5" i="1"/>
  <c r="E5" i="1"/>
  <c r="F5" i="1"/>
  <c r="G5" i="1"/>
  <c r="H5" i="1"/>
  <c r="I5" i="1"/>
  <c r="J5" i="1"/>
  <c r="B15" i="1"/>
  <c r="J11" i="1"/>
  <c r="D15" i="1"/>
  <c r="E15" i="1"/>
  <c r="J15" i="1"/>
  <c r="K15" i="1"/>
  <c r="H15" i="1"/>
  <c r="I17" i="1"/>
  <c r="I18" i="1"/>
  <c r="I19" i="1"/>
  <c r="I13" i="1"/>
  <c r="I15" i="1"/>
  <c r="I16" i="1"/>
  <c r="B4" i="1"/>
  <c r="C4" i="1"/>
  <c r="D4" i="1"/>
  <c r="E4" i="1"/>
  <c r="F4" i="1"/>
  <c r="G4" i="1"/>
  <c r="H4" i="1"/>
  <c r="I4" i="1"/>
  <c r="J4" i="1"/>
  <c r="B14" i="1"/>
  <c r="J10" i="1"/>
  <c r="D14" i="1"/>
  <c r="E14" i="1"/>
  <c r="J14" i="1"/>
  <c r="K14" i="1"/>
  <c r="K11" i="1"/>
  <c r="B11" i="1"/>
  <c r="I11" i="1"/>
  <c r="C11" i="1"/>
  <c r="K10" i="1"/>
  <c r="B10" i="1"/>
  <c r="I10" i="1"/>
  <c r="K9" i="1"/>
  <c r="B9" i="1"/>
  <c r="I9" i="1"/>
  <c r="C9" i="1"/>
  <c r="K8" i="1"/>
  <c r="K5" i="1"/>
  <c r="K4" i="1"/>
  <c r="K3" i="1"/>
</calcChain>
</file>

<file path=xl/sharedStrings.xml><?xml version="1.0" encoding="utf-8"?>
<sst xmlns="http://schemas.openxmlformats.org/spreadsheetml/2006/main" count="48" uniqueCount="42">
  <si>
    <t>1、北京市通州区永乐店镇中心区G地块土地一级开发项目TZ10-0101-6101、6102地块R2二类居住用地、A33基础教育用地(住商办十一级Ⅺ-通1)</t>
    <phoneticPr fontId="4" type="noConversion"/>
  </si>
  <si>
    <t xml:space="preserve">            因素
基准地价法</t>
  </si>
  <si>
    <t>区片价格</t>
  </si>
  <si>
    <t>居住特殊情况修正
商业路线价修正</t>
  </si>
  <si>
    <t>基础
设施</t>
  </si>
  <si>
    <t>用途修正系数</t>
  </si>
  <si>
    <t>期日修正系数</t>
  </si>
  <si>
    <t>年期修正系数</t>
  </si>
  <si>
    <t>容积率修正系数</t>
  </si>
  <si>
    <t>因素修正系数</t>
  </si>
  <si>
    <t>结果</t>
  </si>
  <si>
    <t>政府收益</t>
  </si>
  <si>
    <t>住宅</t>
    <phoneticPr fontId="3" type="noConversion"/>
  </si>
  <si>
    <t>商业</t>
    <phoneticPr fontId="3" type="noConversion"/>
  </si>
  <si>
    <t>办公</t>
  </si>
  <si>
    <t>评估结果=（片区价格*路线修正或特殊情况修正+基础设施）*用途*年期*容积率*因素</t>
    <phoneticPr fontId="3" type="noConversion"/>
  </si>
  <si>
    <t>政府土地收益=结果*25%</t>
  </si>
  <si>
    <t xml:space="preserve">             因素
剩余法</t>
  </si>
  <si>
    <t>商品房房价（修正后的最终取值）</t>
  </si>
  <si>
    <t>商品房规模</t>
  </si>
  <si>
    <t>保障房房价</t>
  </si>
  <si>
    <t>保障房规模</t>
  </si>
  <si>
    <t>回迁房房价</t>
  </si>
  <si>
    <t>回迁房规模</t>
  </si>
  <si>
    <t>总规模</t>
  </si>
  <si>
    <t>平均房价</t>
  </si>
  <si>
    <t>居住</t>
  </si>
  <si>
    <t>住宅（剩余）</t>
    <phoneticPr fontId="3" type="noConversion"/>
  </si>
  <si>
    <t>商业（剩余）</t>
    <phoneticPr fontId="3" type="noConversion"/>
  </si>
  <si>
    <t>办公（剩余）</t>
  </si>
  <si>
    <t xml:space="preserve">      最终结果
用途</t>
  </si>
  <si>
    <t>基准地价法</t>
  </si>
  <si>
    <t>权重</t>
  </si>
  <si>
    <t>剩余法</t>
  </si>
  <si>
    <t>出让规模</t>
  </si>
  <si>
    <t>熟地总价</t>
  </si>
  <si>
    <t>熟地单价</t>
  </si>
  <si>
    <t>住宅</t>
    <phoneticPr fontId="3" type="noConversion"/>
  </si>
  <si>
    <t>商业</t>
  </si>
  <si>
    <t>政府收益总价</t>
  </si>
  <si>
    <t>补偿费</t>
  </si>
  <si>
    <t>基本价格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</si>
</sst>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0.0000_);[Red]\(0.0000\)"/>
    <numFmt numFmtId="178" formatCode="0_ "/>
    <numFmt numFmtId="179" formatCode="0.000"/>
    <numFmt numFmtId="180" formatCode="0.0%"/>
    <numFmt numFmtId="181" formatCode="0.00_ "/>
  </numFmts>
  <fonts count="11">
    <font>
      <sz val="11"/>
      <color theme="1"/>
      <name val="宋体"/>
      <family val="2"/>
      <scheme val="minor"/>
    </font>
    <font>
      <sz val="12"/>
      <color indexed="8"/>
      <name val="仿宋_GB2312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6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8"/>
      <color theme="1"/>
      <name val="仿宋_GB2312"/>
      <family val="3"/>
      <charset val="134"/>
    </font>
    <font>
      <sz val="1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5">
    <xf numFmtId="0" fontId="0" fillId="0" borderId="0" xfId="0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6" fillId="0" borderId="1" xfId="1" applyFont="1" applyFill="1" applyBorder="1" applyAlignment="1">
      <alignment horizontal="left" vertical="top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176" fontId="8" fillId="0" borderId="2" xfId="1" applyNumberFormat="1" applyFont="1" applyFill="1" applyBorder="1" applyAlignment="1">
      <alignment horizontal="center" vertical="center"/>
    </xf>
    <xf numFmtId="177" fontId="8" fillId="0" borderId="2" xfId="1" applyNumberFormat="1" applyFont="1" applyFill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center" vertical="center"/>
    </xf>
    <xf numFmtId="178" fontId="8" fillId="3" borderId="2" xfId="1" applyNumberFormat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177" fontId="8" fillId="0" borderId="3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2" xfId="1" applyNumberFormat="1" applyFont="1" applyFill="1" applyBorder="1" applyAlignment="1">
      <alignment horizontal="center" vertical="center" wrapText="1"/>
    </xf>
    <xf numFmtId="0" fontId="7" fillId="4" borderId="2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178" fontId="7" fillId="4" borderId="2" xfId="1" applyNumberFormat="1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0" fontId="5" fillId="4" borderId="0" xfId="1" applyFont="1" applyFill="1">
      <alignment vertical="center"/>
    </xf>
    <xf numFmtId="179" fontId="7" fillId="4" borderId="2" xfId="1" applyNumberFormat="1" applyFont="1" applyFill="1" applyBorder="1" applyAlignment="1">
      <alignment horizontal="center" vertical="center"/>
    </xf>
    <xf numFmtId="178" fontId="7" fillId="2" borderId="2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left" vertical="top" wrapText="1"/>
    </xf>
    <xf numFmtId="0" fontId="7" fillId="5" borderId="2" xfId="1" applyFont="1" applyFill="1" applyBorder="1" applyAlignment="1">
      <alignment horizontal="center" vertical="center" wrapText="1"/>
    </xf>
    <xf numFmtId="178" fontId="7" fillId="4" borderId="2" xfId="1" applyNumberFormat="1" applyFont="1" applyFill="1" applyBorder="1" applyAlignment="1">
      <alignment horizontal="center" vertical="center" wrapText="1"/>
    </xf>
    <xf numFmtId="9" fontId="7" fillId="0" borderId="2" xfId="1" applyNumberFormat="1" applyFont="1" applyFill="1" applyBorder="1" applyAlignment="1">
      <alignment horizontal="center" vertical="center"/>
    </xf>
    <xf numFmtId="178" fontId="7" fillId="0" borderId="2" xfId="1" applyNumberFormat="1" applyFont="1" applyFill="1" applyBorder="1" applyAlignment="1">
      <alignment horizontal="center" vertical="center" wrapText="1"/>
    </xf>
    <xf numFmtId="180" fontId="7" fillId="0" borderId="2" xfId="1" applyNumberFormat="1" applyFont="1" applyFill="1" applyBorder="1" applyAlignment="1">
      <alignment horizontal="center" vertical="center"/>
    </xf>
    <xf numFmtId="179" fontId="7" fillId="0" borderId="2" xfId="1" applyNumberFormat="1" applyFont="1" applyFill="1" applyBorder="1" applyAlignment="1">
      <alignment horizontal="center" vertical="center"/>
    </xf>
    <xf numFmtId="181" fontId="7" fillId="0" borderId="2" xfId="1" applyNumberFormat="1" applyFont="1" applyFill="1" applyBorder="1" applyAlignment="1">
      <alignment horizontal="center" vertical="center"/>
    </xf>
    <xf numFmtId="178" fontId="7" fillId="3" borderId="2" xfId="1" applyNumberFormat="1" applyFont="1" applyFill="1" applyBorder="1" applyAlignment="1">
      <alignment horizontal="center" vertical="center" wrapText="1"/>
    </xf>
    <xf numFmtId="178" fontId="5" fillId="0" borderId="0" xfId="1" applyNumberFormat="1" applyFont="1">
      <alignment vertical="center"/>
    </xf>
    <xf numFmtId="0" fontId="5" fillId="0" borderId="0" xfId="1" applyFont="1" applyAlignment="1">
      <alignment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5" fillId="0" borderId="4" xfId="1" applyFont="1" applyBorder="1">
      <alignment vertical="center"/>
    </xf>
    <xf numFmtId="181" fontId="7" fillId="0" borderId="4" xfId="1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181" fontId="7" fillId="4" borderId="2" xfId="1" applyNumberFormat="1" applyFont="1" applyFill="1" applyBorder="1" applyAlignment="1">
      <alignment horizontal="center" vertical="center"/>
    </xf>
    <xf numFmtId="0" fontId="10" fillId="6" borderId="0" xfId="1" applyFont="1" applyFill="1">
      <alignment vertical="center"/>
    </xf>
    <xf numFmtId="0" fontId="10" fillId="6" borderId="0" xfId="1" applyFont="1" applyFill="1" applyAlignment="1">
      <alignment horizontal="center" vertical="center"/>
    </xf>
    <xf numFmtId="176" fontId="10" fillId="6" borderId="0" xfId="1" applyNumberFormat="1" applyFont="1" applyFill="1" applyAlignment="1">
      <alignment horizontal="center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176" fontId="10" fillId="0" borderId="0" xfId="1" applyNumberFormat="1" applyFont="1" applyAlignment="1">
      <alignment horizontal="center" vertical="center"/>
    </xf>
  </cellXfs>
  <cellStyles count="2">
    <cellStyle name="常规" xfId="0" builtinId="0"/>
    <cellStyle name="常规 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7704;&#20048;&#24215;07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位置图"/>
      <sheetName val="面积表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报告用表"/>
      <sheetName val="土储要求测算表"/>
      <sheetName val="结果表"/>
      <sheetName val="剩余法住宅"/>
      <sheetName val="剩余法商业"/>
      <sheetName val="剩余法办公"/>
      <sheetName val="剩余法-现房"/>
      <sheetName val="比较法-住宅"/>
      <sheetName val="比较法-工业"/>
      <sheetName val="基准地价住宅"/>
      <sheetName val="修正"/>
      <sheetName val="区片价"/>
      <sheetName val="容积率修正"/>
      <sheetName val="因素修正幅度"/>
      <sheetName val="基准地价商业"/>
      <sheetName val="基准地价办公"/>
      <sheetName val="地价"/>
      <sheetName val="基准地价（汇总）"/>
      <sheetName val="收益还原法"/>
      <sheetName val="酒店收入计算"/>
      <sheetName val="成本逼近法"/>
      <sheetName val="不动产比较法-住宅"/>
      <sheetName val="建委-住宅案例截图及地图"/>
      <sheetName val="首开缇香郡"/>
      <sheetName val="泰晤士印象"/>
      <sheetName val="K2十里春风"/>
      <sheetName val="不动产比较法-商业"/>
      <sheetName val="商业案例截图及地图"/>
      <sheetName val="不动产比较法-办公 (2)"/>
      <sheetName val="案例"/>
      <sheetName val="不动产比较法-办公"/>
      <sheetName val="办公案例截图及地图"/>
      <sheetName val="不动产收益法"/>
      <sheetName val="系统读取表"/>
      <sheetName val="不动产比较法-工业"/>
      <sheetName val="不动产比较法-车位"/>
      <sheetName val="不动产比较法-仓储"/>
      <sheetName val="典型户型修正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9">
          <cell r="F19">
            <v>66471.769</v>
          </cell>
        </row>
      </sheetData>
      <sheetData sheetId="15"/>
      <sheetData sheetId="16"/>
      <sheetData sheetId="17"/>
      <sheetData sheetId="18"/>
      <sheetData sheetId="19"/>
      <sheetData sheetId="20">
        <row r="8">
          <cell r="C8">
            <v>27084</v>
          </cell>
        </row>
        <row r="37">
          <cell r="C37">
            <v>11102</v>
          </cell>
        </row>
      </sheetData>
      <sheetData sheetId="21">
        <row r="8">
          <cell r="C8">
            <v>19263</v>
          </cell>
        </row>
        <row r="37">
          <cell r="C37">
            <v>7312</v>
          </cell>
        </row>
      </sheetData>
      <sheetData sheetId="22">
        <row r="8">
          <cell r="C8">
            <v>16160</v>
          </cell>
        </row>
        <row r="37">
          <cell r="C37">
            <v>6438</v>
          </cell>
        </row>
      </sheetData>
      <sheetData sheetId="23"/>
      <sheetData sheetId="24"/>
      <sheetData sheetId="25"/>
      <sheetData sheetId="26">
        <row r="6">
          <cell r="C6">
            <v>1660</v>
          </cell>
        </row>
        <row r="12">
          <cell r="C12">
            <v>1</v>
          </cell>
        </row>
        <row r="16">
          <cell r="C16">
            <v>13</v>
          </cell>
        </row>
        <row r="18">
          <cell r="C18">
            <v>1</v>
          </cell>
        </row>
        <row r="19">
          <cell r="C19">
            <v>1.7712000000000001</v>
          </cell>
        </row>
        <row r="20">
          <cell r="C20">
            <v>1</v>
          </cell>
        </row>
        <row r="21">
          <cell r="C21">
            <v>0.95499999999999996</v>
          </cell>
        </row>
        <row r="24">
          <cell r="C24">
            <v>1.0097</v>
          </cell>
        </row>
      </sheetData>
      <sheetData sheetId="27"/>
      <sheetData sheetId="28"/>
      <sheetData sheetId="29"/>
      <sheetData sheetId="30"/>
      <sheetData sheetId="31">
        <row r="6">
          <cell r="C6">
            <v>1750</v>
          </cell>
        </row>
        <row r="7">
          <cell r="C7">
            <v>1</v>
          </cell>
        </row>
        <row r="16">
          <cell r="C16">
            <v>10</v>
          </cell>
        </row>
        <row r="18">
          <cell r="C18">
            <v>1</v>
          </cell>
        </row>
        <row r="19">
          <cell r="C19">
            <v>1.3906000000000001</v>
          </cell>
        </row>
        <row r="20">
          <cell r="C20">
            <v>1</v>
          </cell>
        </row>
        <row r="21">
          <cell r="C21">
            <v>1.0618000000000001</v>
          </cell>
        </row>
        <row r="24">
          <cell r="C24">
            <v>1.0059</v>
          </cell>
        </row>
      </sheetData>
      <sheetData sheetId="32">
        <row r="6">
          <cell r="C6">
            <v>1690</v>
          </cell>
        </row>
        <row r="16">
          <cell r="C16">
            <v>10</v>
          </cell>
        </row>
        <row r="18">
          <cell r="C18">
            <v>1</v>
          </cell>
        </row>
        <row r="19">
          <cell r="C19">
            <v>1.3906000000000001</v>
          </cell>
        </row>
        <row r="20">
          <cell r="C20">
            <v>1</v>
          </cell>
        </row>
        <row r="21">
          <cell r="C21">
            <v>1.0402</v>
          </cell>
        </row>
        <row r="24">
          <cell r="C24">
            <v>1.0098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E18" sqref="E18"/>
    </sheetView>
  </sheetViews>
  <sheetFormatPr defaultColWidth="9" defaultRowHeight="15.75"/>
  <cols>
    <col min="1" max="1" width="10.75" style="52" customWidth="1"/>
    <col min="2" max="2" width="7.5" style="52" customWidth="1"/>
    <col min="3" max="3" width="9" style="52" customWidth="1"/>
    <col min="4" max="4" width="6.125" style="52" customWidth="1"/>
    <col min="5" max="5" width="7.625" style="52" customWidth="1"/>
    <col min="6" max="6" width="7.75" style="52" customWidth="1"/>
    <col min="7" max="7" width="6.125" style="52" customWidth="1"/>
    <col min="8" max="8" width="9.875" style="52" customWidth="1"/>
    <col min="9" max="9" width="14.5" style="53" customWidth="1"/>
    <col min="10" max="10" width="11.375" style="53" customWidth="1"/>
    <col min="11" max="11" width="12.625" style="54" customWidth="1"/>
    <col min="12" max="12" width="9.5" style="52" customWidth="1"/>
    <col min="13" max="13" width="5.625" style="52" customWidth="1"/>
    <col min="14" max="16384" width="9" style="52"/>
  </cols>
  <sheetData>
    <row r="1" spans="1:14" s="3" customFormat="1" ht="14.25">
      <c r="A1" s="1" t="s">
        <v>0</v>
      </c>
      <c r="B1" s="1"/>
      <c r="C1" s="1"/>
      <c r="D1" s="1"/>
      <c r="E1" s="1"/>
      <c r="F1" s="1"/>
      <c r="G1" s="1"/>
      <c r="H1" s="1"/>
      <c r="I1" s="2"/>
      <c r="J1" s="1"/>
      <c r="K1" s="2"/>
    </row>
    <row r="2" spans="1:14" s="3" customFormat="1" ht="36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  <c r="K2" s="9" t="s">
        <v>11</v>
      </c>
    </row>
    <row r="3" spans="1:14" s="15" customFormat="1" ht="10.5">
      <c r="A3" s="7" t="s">
        <v>12</v>
      </c>
      <c r="B3" s="10">
        <f>[1]基准地价住宅!C6</f>
        <v>1660</v>
      </c>
      <c r="C3" s="11">
        <f>[1]基准地价住宅!C12</f>
        <v>1</v>
      </c>
      <c r="D3" s="7">
        <f>[1]基准地价住宅!C16</f>
        <v>13</v>
      </c>
      <c r="E3" s="12">
        <f>[1]基准地价住宅!C18</f>
        <v>1</v>
      </c>
      <c r="F3" s="12">
        <f>[1]基准地价住宅!C19</f>
        <v>1.7712000000000001</v>
      </c>
      <c r="G3" s="12">
        <f ca="1">[1]基准地价住宅!C20</f>
        <v>1</v>
      </c>
      <c r="H3" s="12">
        <f>[1]基准地价住宅!C21</f>
        <v>0.95499999999999996</v>
      </c>
      <c r="I3" s="12">
        <f>[1]基准地价住宅!C24</f>
        <v>1.0097</v>
      </c>
      <c r="J3" s="13">
        <f ca="1">ROUND((B3*C3+D3)*E3*F3*G3*H3*I3,0)</f>
        <v>2857</v>
      </c>
      <c r="K3" s="14">
        <f t="shared" ref="K3:K11" ca="1" si="0">J3*0.25</f>
        <v>714.25</v>
      </c>
    </row>
    <row r="4" spans="1:14" s="15" customFormat="1" ht="10.5">
      <c r="A4" s="7" t="s">
        <v>13</v>
      </c>
      <c r="B4" s="10">
        <f>[1]基准地价商业!C6</f>
        <v>1750</v>
      </c>
      <c r="C4" s="11">
        <f>[1]基准地价商业!C7</f>
        <v>1</v>
      </c>
      <c r="D4" s="7">
        <f>[1]基准地价商业!C16</f>
        <v>10</v>
      </c>
      <c r="E4" s="12">
        <f>[1]基准地价商业!C18</f>
        <v>1</v>
      </c>
      <c r="F4" s="12">
        <f>[1]基准地价商业!C19</f>
        <v>1.3906000000000001</v>
      </c>
      <c r="G4" s="12">
        <f ca="1">[1]基准地价商业!C20</f>
        <v>1</v>
      </c>
      <c r="H4" s="12">
        <f>[1]基准地价商业!C21</f>
        <v>1.0618000000000001</v>
      </c>
      <c r="I4" s="12">
        <f>[1]基准地价商业!C24</f>
        <v>1.0059</v>
      </c>
      <c r="J4" s="13">
        <f t="shared" ref="J4:J5" ca="1" si="1">ROUND((B4*C4+D4)*E4*F4*G4*H4*I4,0)</f>
        <v>2614</v>
      </c>
      <c r="K4" s="14">
        <f t="shared" ca="1" si="0"/>
        <v>653.5</v>
      </c>
    </row>
    <row r="5" spans="1:14" s="15" customFormat="1" ht="10.5">
      <c r="A5" s="7" t="s">
        <v>14</v>
      </c>
      <c r="B5" s="10">
        <f>[1]基准地价办公!C6</f>
        <v>1690</v>
      </c>
      <c r="C5" s="11">
        <v>1</v>
      </c>
      <c r="D5" s="7">
        <f>[1]基准地价办公!C16</f>
        <v>10</v>
      </c>
      <c r="E5" s="12">
        <f>[1]基准地价办公!C18</f>
        <v>1</v>
      </c>
      <c r="F5" s="12">
        <f>[1]基准地价办公!C19</f>
        <v>1.3906000000000001</v>
      </c>
      <c r="G5" s="12">
        <f ca="1">[1]基准地价办公!C20</f>
        <v>1</v>
      </c>
      <c r="H5" s="12">
        <f>[1]基准地价办公!C21</f>
        <v>1.0402</v>
      </c>
      <c r="I5" s="12">
        <f>[1]基准地价办公!C24</f>
        <v>1.0098</v>
      </c>
      <c r="J5" s="13">
        <f t="shared" ca="1" si="1"/>
        <v>2483</v>
      </c>
      <c r="K5" s="14">
        <f t="shared" ca="1" si="0"/>
        <v>620.75</v>
      </c>
      <c r="L5" s="16"/>
    </row>
    <row r="6" spans="1:14" s="3" customFormat="1" ht="14.25">
      <c r="A6" s="17" t="s">
        <v>15</v>
      </c>
      <c r="B6" s="17"/>
      <c r="C6" s="17"/>
      <c r="D6" s="17"/>
      <c r="E6" s="17"/>
      <c r="F6" s="17"/>
      <c r="G6" s="17"/>
      <c r="H6" s="17"/>
      <c r="I6" s="17"/>
      <c r="J6" s="17" t="s">
        <v>16</v>
      </c>
      <c r="K6" s="17"/>
    </row>
    <row r="7" spans="1:14" s="3" customFormat="1" ht="27">
      <c r="A7" s="4" t="s">
        <v>17</v>
      </c>
      <c r="B7" s="6" t="s">
        <v>18</v>
      </c>
      <c r="C7" s="5" t="s">
        <v>19</v>
      </c>
      <c r="D7" s="5" t="s">
        <v>20</v>
      </c>
      <c r="E7" s="5" t="s">
        <v>21</v>
      </c>
      <c r="F7" s="5" t="s">
        <v>22</v>
      </c>
      <c r="G7" s="5" t="s">
        <v>23</v>
      </c>
      <c r="H7" s="5" t="s">
        <v>24</v>
      </c>
      <c r="I7" s="5" t="s">
        <v>25</v>
      </c>
      <c r="J7" s="18" t="s">
        <v>10</v>
      </c>
      <c r="K7" s="19" t="s">
        <v>11</v>
      </c>
    </row>
    <row r="8" spans="1:14" s="27" customFormat="1" ht="14.25" hidden="1">
      <c r="A8" s="20" t="s">
        <v>26</v>
      </c>
      <c r="B8" s="21"/>
      <c r="C8" s="22"/>
      <c r="D8" s="23"/>
      <c r="E8" s="23"/>
      <c r="F8" s="23"/>
      <c r="G8" s="23"/>
      <c r="H8" s="22"/>
      <c r="I8" s="24"/>
      <c r="J8" s="25"/>
      <c r="K8" s="26">
        <f t="shared" si="0"/>
        <v>0</v>
      </c>
    </row>
    <row r="9" spans="1:14" s="27" customFormat="1" ht="14.25">
      <c r="A9" s="20" t="s">
        <v>27</v>
      </c>
      <c r="B9" s="21">
        <f>[1]剩余法住宅!C8</f>
        <v>27084</v>
      </c>
      <c r="C9" s="28">
        <f>H9</f>
        <v>66471.769</v>
      </c>
      <c r="D9" s="21">
        <v>0</v>
      </c>
      <c r="E9" s="21">
        <v>0</v>
      </c>
      <c r="F9" s="21">
        <v>0</v>
      </c>
      <c r="G9" s="21">
        <v>0</v>
      </c>
      <c r="H9" s="28">
        <f>'[1]数据-汇总表'!F19</f>
        <v>66471.769</v>
      </c>
      <c r="I9" s="24">
        <f>B9</f>
        <v>27084</v>
      </c>
      <c r="J9" s="29">
        <f ca="1">[1]剩余法住宅!C37</f>
        <v>11102</v>
      </c>
      <c r="K9" s="26">
        <f t="shared" ca="1" si="0"/>
        <v>2775.5</v>
      </c>
    </row>
    <row r="10" spans="1:14" s="27" customFormat="1" ht="14.25">
      <c r="A10" s="20" t="s">
        <v>28</v>
      </c>
      <c r="B10" s="21">
        <f>[1]剩余法商业!C8</f>
        <v>19263</v>
      </c>
      <c r="C10" s="22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4">
        <f t="shared" ref="I10:I11" si="2">B10</f>
        <v>19263</v>
      </c>
      <c r="J10" s="29">
        <f ca="1">[1]剩余法商业!C37</f>
        <v>7312</v>
      </c>
      <c r="K10" s="26">
        <f t="shared" ca="1" si="0"/>
        <v>1828</v>
      </c>
    </row>
    <row r="11" spans="1:14" s="3" customFormat="1" ht="14.25">
      <c r="A11" s="5" t="s">
        <v>29</v>
      </c>
      <c r="B11" s="21">
        <f>[1]剩余法办公!C8</f>
        <v>16160</v>
      </c>
      <c r="C11" s="30">
        <f>H11</f>
        <v>0</v>
      </c>
      <c r="D11" s="23">
        <v>0</v>
      </c>
      <c r="E11" s="30">
        <v>0</v>
      </c>
      <c r="F11" s="30">
        <v>0</v>
      </c>
      <c r="G11" s="30">
        <v>0</v>
      </c>
      <c r="H11" s="30">
        <v>0</v>
      </c>
      <c r="I11" s="24">
        <f t="shared" si="2"/>
        <v>16160</v>
      </c>
      <c r="J11" s="29">
        <f ca="1">[1]剩余法办公!C37</f>
        <v>6438</v>
      </c>
      <c r="K11" s="26">
        <f t="shared" ca="1" si="0"/>
        <v>1609.5</v>
      </c>
    </row>
    <row r="12" spans="1:14" s="3" customFormat="1" ht="22.5">
      <c r="A12" s="31" t="s">
        <v>30</v>
      </c>
      <c r="B12" s="32" t="s">
        <v>31</v>
      </c>
      <c r="C12" s="32" t="s">
        <v>32</v>
      </c>
      <c r="D12" s="32" t="s">
        <v>33</v>
      </c>
      <c r="E12" s="32" t="s">
        <v>32</v>
      </c>
      <c r="F12" s="32"/>
      <c r="G12" s="32"/>
      <c r="H12" s="32" t="s">
        <v>34</v>
      </c>
      <c r="I12" s="32" t="s">
        <v>35</v>
      </c>
      <c r="J12" s="32" t="s">
        <v>36</v>
      </c>
      <c r="K12" s="32" t="s">
        <v>11</v>
      </c>
    </row>
    <row r="13" spans="1:14" s="3" customFormat="1" ht="14.25">
      <c r="A13" s="5" t="s">
        <v>37</v>
      </c>
      <c r="B13" s="33">
        <f ca="1">J3</f>
        <v>2857</v>
      </c>
      <c r="C13" s="34">
        <v>0.3</v>
      </c>
      <c r="D13" s="35">
        <f ca="1">J9</f>
        <v>11102</v>
      </c>
      <c r="E13" s="36">
        <f>1-C13</f>
        <v>0.7</v>
      </c>
      <c r="F13" s="23"/>
      <c r="G13" s="36"/>
      <c r="H13" s="37">
        <f>H9</f>
        <v>66471.769</v>
      </c>
      <c r="I13" s="38">
        <f ca="1">ROUND(J13*H13/10000,2)</f>
        <v>57358.49</v>
      </c>
      <c r="J13" s="29">
        <f ca="1">ROUND(B13*C13+D13*E13,0)</f>
        <v>8629</v>
      </c>
      <c r="K13" s="39">
        <f ca="1">ROUND(J13*0.25,0)</f>
        <v>2157</v>
      </c>
      <c r="L13" s="40"/>
      <c r="M13" s="40"/>
    </row>
    <row r="14" spans="1:14" s="3" customFormat="1" ht="14.25">
      <c r="A14" s="5" t="s">
        <v>38</v>
      </c>
      <c r="B14" s="33">
        <f t="shared" ref="B14:B15" ca="1" si="3">J4</f>
        <v>2614</v>
      </c>
      <c r="C14" s="34">
        <v>0.3</v>
      </c>
      <c r="D14" s="35">
        <f t="shared" ref="D14:D15" ca="1" si="4">J10</f>
        <v>7312</v>
      </c>
      <c r="E14" s="36">
        <f t="shared" ref="E14:E15" si="5">1-C14</f>
        <v>0.7</v>
      </c>
      <c r="F14" s="23"/>
      <c r="G14" s="36"/>
      <c r="H14" s="30">
        <v>0</v>
      </c>
      <c r="I14" s="38">
        <v>0</v>
      </c>
      <c r="J14" s="29">
        <f ca="1">ROUND(B14*C14+D14*E14,0)</f>
        <v>5903</v>
      </c>
      <c r="K14" s="39">
        <f ca="1">ROUND(J14*0.25,0)</f>
        <v>1476</v>
      </c>
      <c r="L14" s="40"/>
      <c r="M14" s="40"/>
    </row>
    <row r="15" spans="1:14" s="3" customFormat="1" ht="14.25">
      <c r="A15" s="5" t="s">
        <v>14</v>
      </c>
      <c r="B15" s="33">
        <f t="shared" ca="1" si="3"/>
        <v>2483</v>
      </c>
      <c r="C15" s="34">
        <v>0.3</v>
      </c>
      <c r="D15" s="35">
        <f t="shared" ca="1" si="4"/>
        <v>6438</v>
      </c>
      <c r="E15" s="36">
        <f t="shared" si="5"/>
        <v>0.7</v>
      </c>
      <c r="F15" s="23"/>
      <c r="G15" s="36"/>
      <c r="H15" s="30">
        <f>H11</f>
        <v>0</v>
      </c>
      <c r="I15" s="38">
        <f ca="1">ROUND(J15*H15/10000,2)</f>
        <v>0</v>
      </c>
      <c r="J15" s="29">
        <f ca="1">ROUND(B15*C15+D15*E15,0)</f>
        <v>5252</v>
      </c>
      <c r="K15" s="39">
        <f ca="1">ROUND(J15*0.25,0)</f>
        <v>1313</v>
      </c>
      <c r="N15" s="41"/>
    </row>
    <row r="16" spans="1:14" s="3" customFormat="1" ht="14.25">
      <c r="A16" s="42" t="s">
        <v>35</v>
      </c>
      <c r="B16" s="43"/>
      <c r="C16" s="43"/>
      <c r="D16" s="43"/>
      <c r="E16" s="43"/>
      <c r="F16" s="43"/>
      <c r="G16" s="43"/>
      <c r="H16" s="43"/>
      <c r="I16" s="44">
        <f ca="1">I13+I15</f>
        <v>57358.49</v>
      </c>
      <c r="J16" s="43"/>
      <c r="K16" s="45"/>
    </row>
    <row r="17" spans="1:11" s="3" customFormat="1" ht="14.25">
      <c r="A17" s="7" t="s">
        <v>39</v>
      </c>
      <c r="B17" s="46"/>
      <c r="C17" s="46"/>
      <c r="D17" s="46"/>
      <c r="E17" s="46"/>
      <c r="F17" s="46"/>
      <c r="G17" s="46"/>
      <c r="H17" s="46"/>
      <c r="I17" s="38">
        <f ca="1">ROUND(K13*H13/10000,2)+ROUND(K15*H15/10000,2)</f>
        <v>14337.96</v>
      </c>
      <c r="J17" s="46"/>
      <c r="K17" s="47"/>
    </row>
    <row r="18" spans="1:11" s="3" customFormat="1" ht="14.25">
      <c r="A18" s="7" t="s">
        <v>40</v>
      </c>
      <c r="B18" s="46"/>
      <c r="C18" s="46"/>
      <c r="D18" s="46"/>
      <c r="E18" s="46"/>
      <c r="F18" s="46"/>
      <c r="G18" s="46"/>
      <c r="H18" s="46"/>
      <c r="I18" s="48">
        <f>59940+360</f>
        <v>60300</v>
      </c>
      <c r="J18" s="46"/>
      <c r="K18" s="47"/>
    </row>
    <row r="19" spans="1:11" s="3" customFormat="1" ht="14.25">
      <c r="A19" s="7" t="s">
        <v>41</v>
      </c>
      <c r="B19" s="46"/>
      <c r="C19" s="46"/>
      <c r="D19" s="46"/>
      <c r="E19" s="46"/>
      <c r="F19" s="46"/>
      <c r="G19" s="46"/>
      <c r="H19" s="46"/>
      <c r="I19" s="38">
        <f ca="1">I17+I18</f>
        <v>74637.959999999992</v>
      </c>
      <c r="J19" s="46"/>
      <c r="K19" s="47"/>
    </row>
    <row r="20" spans="1:11" s="49" customFormat="1">
      <c r="I20" s="50"/>
      <c r="J20" s="50"/>
      <c r="K20" s="51"/>
    </row>
  </sheetData>
  <mergeCells count="3">
    <mergeCell ref="A1:K1"/>
    <mergeCell ref="A6:I6"/>
    <mergeCell ref="J6:K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2021-07-30T03:39:40Z</dcterms:modified>
</cp:coreProperties>
</file>