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8BD1CEE4-3A4F-48DB-9AAC-871A440C2801}" xr6:coauthVersionLast="45" xr6:coauthVersionMax="45" xr10:uidLastSave="{00000000-0000-0000-0000-000000000000}"/>
  <bookViews>
    <workbookView xWindow="2295" yWindow="0" windowWidth="17790" windowHeight="108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25" i="1"/>
  <c r="D17" i="1" l="1"/>
  <c r="D19" i="1"/>
  <c r="J3" i="1"/>
  <c r="B17" i="1" s="1"/>
  <c r="J17" i="1" s="1"/>
  <c r="J5" i="1"/>
  <c r="B19" i="1" s="1"/>
  <c r="J19" i="1" s="1"/>
  <c r="H17" i="1"/>
  <c r="K25" i="1"/>
  <c r="I25" i="1"/>
  <c r="K24" i="1"/>
  <c r="I24" i="1"/>
  <c r="E17" i="1"/>
  <c r="E19" i="1"/>
  <c r="J4" i="1"/>
  <c r="B18" i="1"/>
  <c r="J18" i="1" s="1"/>
  <c r="K18" i="1" s="1"/>
  <c r="D18" i="1"/>
  <c r="E18" i="1"/>
  <c r="J15" i="1"/>
  <c r="K15" i="1"/>
  <c r="J14" i="1"/>
  <c r="K14" i="1"/>
  <c r="I14" i="1"/>
  <c r="J13" i="1"/>
  <c r="K13" i="1" s="1"/>
  <c r="I13" i="1"/>
  <c r="H13" i="1"/>
  <c r="C13" i="1"/>
  <c r="K10" i="1"/>
  <c r="I10" i="1"/>
  <c r="K9" i="1"/>
  <c r="I9" i="1"/>
  <c r="K8" i="1"/>
  <c r="I8" i="1"/>
  <c r="K4" i="1"/>
  <c r="I19" i="1" l="1"/>
  <c r="K19" i="1"/>
  <c r="K17" i="1"/>
  <c r="I17" i="1"/>
  <c r="K3" i="1"/>
  <c r="K5" i="1"/>
  <c r="I21" i="1" l="1"/>
  <c r="I23" i="1" s="1"/>
  <c r="I20" i="1"/>
</calcChain>
</file>

<file path=xl/sharedStrings.xml><?xml version="1.0" encoding="utf-8"?>
<sst xmlns="http://schemas.openxmlformats.org/spreadsheetml/2006/main" count="71" uniqueCount="52">
  <si>
    <t xml:space="preserve">            因素
基准地价法</t>
  </si>
  <si>
    <t>区片价格</t>
  </si>
  <si>
    <t>基础
设施</t>
  </si>
  <si>
    <t>用途修正系数</t>
  </si>
  <si>
    <t>期日修正系数</t>
  </si>
  <si>
    <t>年期修正系数</t>
  </si>
  <si>
    <t>容积率修正系数</t>
  </si>
  <si>
    <t>因素修正系数</t>
  </si>
  <si>
    <t>结果</t>
  </si>
  <si>
    <t>政府收益</t>
  </si>
  <si>
    <t>住宅</t>
    <phoneticPr fontId="3" type="noConversion"/>
  </si>
  <si>
    <t>商业</t>
    <phoneticPr fontId="3" type="noConversion"/>
  </si>
  <si>
    <t>评估结果=（片区价格*路线修正或特殊情况修正+基础设施）*用途*年期*容积率*因素</t>
    <phoneticPr fontId="3" type="noConversion"/>
  </si>
  <si>
    <t>政府土地收益=结果*25%</t>
  </si>
  <si>
    <t xml:space="preserve">             因素
剩余法</t>
  </si>
  <si>
    <t>商品房房价（修正后的最终取值）</t>
  </si>
  <si>
    <t>商品房规模</t>
  </si>
  <si>
    <t>保障房房价</t>
  </si>
  <si>
    <t>保障房规模</t>
  </si>
  <si>
    <t>回迁房房价</t>
  </si>
  <si>
    <t>回迁房规模</t>
  </si>
  <si>
    <t>总规模</t>
  </si>
  <si>
    <t>平均房价</t>
  </si>
  <si>
    <t xml:space="preserve">      最终结果
用途</t>
  </si>
  <si>
    <t>熟地总价</t>
  </si>
  <si>
    <t>政府收益总价</t>
  </si>
  <si>
    <t>补偿费</t>
  </si>
  <si>
    <t>基本价格</t>
  </si>
  <si>
    <t>居住特殊情况修正
/商办全周期全面积自持修正/商业路线价修正</t>
    <phoneticPr fontId="3" type="noConversion"/>
  </si>
  <si>
    <t>配套商业</t>
    <phoneticPr fontId="3" type="noConversion"/>
  </si>
  <si>
    <t>公共服务</t>
    <phoneticPr fontId="3" type="noConversion"/>
  </si>
  <si>
    <t xml:space="preserve">             因素
收益法</t>
    <phoneticPr fontId="3" type="noConversion"/>
  </si>
  <si>
    <t>最终租金（修正后的最终取值</t>
    <phoneticPr fontId="3" type="noConversion"/>
  </si>
  <si>
    <t>建筑物还原率</t>
    <phoneticPr fontId="3" type="noConversion"/>
  </si>
  <si>
    <t>土地还原率</t>
    <phoneticPr fontId="3" type="noConversion"/>
  </si>
  <si>
    <t>基准地价法</t>
    <phoneticPr fontId="3" type="noConversion"/>
  </si>
  <si>
    <t>权重</t>
    <phoneticPr fontId="3" type="noConversion"/>
  </si>
  <si>
    <t>剩余法</t>
    <phoneticPr fontId="3" type="noConversion"/>
  </si>
  <si>
    <t>收益还原法</t>
    <phoneticPr fontId="3" type="noConversion"/>
  </si>
  <si>
    <t>出让规模</t>
    <phoneticPr fontId="3" type="noConversion"/>
  </si>
  <si>
    <t>熟地总价</t>
    <phoneticPr fontId="3" type="noConversion"/>
  </si>
  <si>
    <t>熟地单价</t>
    <phoneticPr fontId="3" type="noConversion"/>
  </si>
  <si>
    <t>政府收益</t>
    <phoneticPr fontId="3" type="noConversion"/>
  </si>
  <si>
    <t>总建筑规模（㎡）</t>
    <phoneticPr fontId="3" type="noConversion"/>
  </si>
  <si>
    <t>建安费用（元/平方米）</t>
    <phoneticPr fontId="3" type="noConversion"/>
  </si>
  <si>
    <t>利润率</t>
    <phoneticPr fontId="3" type="noConversion"/>
  </si>
  <si>
    <t>出让商品房住宅面积（㎡）</t>
    <phoneticPr fontId="3" type="noConversion"/>
  </si>
  <si>
    <t>社区养老服务站（不出让）（㎡）</t>
    <phoneticPr fontId="3" type="noConversion"/>
  </si>
  <si>
    <t>社区级公共文化设施（不出让）（㎡）</t>
    <phoneticPr fontId="3" type="noConversion"/>
  </si>
  <si>
    <t>评估设定通平</t>
    <phoneticPr fontId="3" type="noConversion"/>
  </si>
  <si>
    <t>五通一平</t>
    <phoneticPr fontId="3" type="noConversion"/>
  </si>
  <si>
    <t>顺义区顺义新城第19街区19-69地块(住、商、公服-六级VI-顺2)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</si>
</sst>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000_);[Red]\(0.0000\)"/>
    <numFmt numFmtId="178" formatCode="0_ "/>
    <numFmt numFmtId="179" formatCode="0.000"/>
    <numFmt numFmtId="180" formatCode="0.0%"/>
    <numFmt numFmtId="181" formatCode="0.0000_ "/>
  </numFmts>
  <fonts count="14" x14ac:knownFonts="1">
    <font>
      <sz val="11"/>
      <color theme="1"/>
      <name val="宋体"/>
      <family val="2"/>
      <scheme val="minor"/>
    </font>
    <font>
      <sz val="12"/>
      <color indexed="8"/>
      <name val="仿宋_GB2312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仿宋_GB2312"/>
      <family val="3"/>
      <charset val="134"/>
    </font>
    <font>
      <sz val="12"/>
      <color indexed="8"/>
      <name val="Times New Roman"/>
      <family val="1"/>
    </font>
    <font>
      <sz val="9"/>
      <color theme="1"/>
      <name val="仿宋_GB2312"/>
      <family val="3"/>
      <charset val="134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1">
    <xf numFmtId="0" fontId="0" fillId="0" borderId="0" xfId="0"/>
    <xf numFmtId="0" fontId="5" fillId="0" borderId="0" xfId="1" applyFont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4" borderId="2" xfId="1" applyFont="1" applyFill="1" applyBorder="1" applyAlignment="1">
      <alignment horizontal="center" vertical="center" wrapText="1"/>
    </xf>
    <xf numFmtId="178" fontId="7" fillId="4" borderId="2" xfId="1" applyNumberFormat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0" fontId="5" fillId="4" borderId="0" xfId="1" applyFont="1" applyFill="1">
      <alignment vertical="center"/>
    </xf>
    <xf numFmtId="179" fontId="7" fillId="4" borderId="2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top" wrapText="1"/>
    </xf>
    <xf numFmtId="178" fontId="7" fillId="4" borderId="2" xfId="1" applyNumberFormat="1" applyFont="1" applyFill="1" applyBorder="1" applyAlignment="1">
      <alignment horizontal="center" vertical="center" wrapText="1"/>
    </xf>
    <xf numFmtId="178" fontId="7" fillId="3" borderId="2" xfId="1" applyNumberFormat="1" applyFont="1" applyFill="1" applyBorder="1" applyAlignment="1">
      <alignment horizontal="center" vertical="center" wrapText="1"/>
    </xf>
    <xf numFmtId="178" fontId="5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0" fontId="10" fillId="6" borderId="0" xfId="1" applyFont="1" applyFill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 wrapText="1"/>
    </xf>
    <xf numFmtId="178" fontId="7" fillId="3" borderId="2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9" fontId="7" fillId="0" borderId="2" xfId="1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center" vertical="center" wrapText="1"/>
    </xf>
    <xf numFmtId="180" fontId="7" fillId="0" borderId="2" xfId="1" applyNumberFormat="1" applyFont="1" applyBorder="1" applyAlignment="1">
      <alignment horizontal="center" vertical="center"/>
    </xf>
    <xf numFmtId="179" fontId="7" fillId="0" borderId="2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11" fillId="0" borderId="4" xfId="1" applyFont="1" applyBorder="1">
      <alignment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>
      <alignment vertical="center"/>
    </xf>
    <xf numFmtId="0" fontId="11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10" fillId="4" borderId="0" xfId="1" applyFont="1" applyFill="1">
      <alignment vertical="center"/>
    </xf>
    <xf numFmtId="0" fontId="10" fillId="0" borderId="2" xfId="1" applyFont="1" applyBorder="1">
      <alignment vertical="center"/>
    </xf>
    <xf numFmtId="181" fontId="7" fillId="0" borderId="2" xfId="1" applyNumberFormat="1" applyFont="1" applyBorder="1" applyAlignment="1">
      <alignment horizontal="center" vertical="center"/>
    </xf>
    <xf numFmtId="181" fontId="7" fillId="0" borderId="4" xfId="1" applyNumberFormat="1" applyFont="1" applyBorder="1" applyAlignment="1">
      <alignment horizontal="center" vertical="center"/>
    </xf>
    <xf numFmtId="181" fontId="7" fillId="4" borderId="2" xfId="1" applyNumberFormat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1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10&#27979;&#31639;-&#21518;&#27801;&#23786;A&#35843;&#259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常用公式"/>
      <sheetName val="土地级别"/>
      <sheetName val="规划指标"/>
      <sheetName val="项目基本情况"/>
      <sheetName val="数据-基础表"/>
      <sheetName val="数据-汇总表"/>
      <sheetName val="数据-取费表"/>
      <sheetName val="估价对象房地状况"/>
      <sheetName val="结果表"/>
      <sheetName val="土储要求测算表"/>
      <sheetName val="剩余法-待开发"/>
      <sheetName val="报告用表"/>
      <sheetName val="结果汇总表"/>
      <sheetName val="基准地价住宅"/>
      <sheetName val="基准地价商业"/>
      <sheetName val="基准地价公服"/>
      <sheetName val="地价-分区"/>
      <sheetName val="配套比例"/>
      <sheetName val="剩余法住宅(待)"/>
      <sheetName val="不动产比较法-住宅"/>
      <sheetName val="新房销售案例2"/>
      <sheetName val="新房销售案例1"/>
      <sheetName val="位置图"/>
      <sheetName val="剩余法商业(待)"/>
      <sheetName val="不动产比较法-商业"/>
      <sheetName val="住宅配套商业销售案例"/>
      <sheetName val="剩余法公服(待)"/>
      <sheetName val="剩余法-现房"/>
      <sheetName val="比较法-住宅、综合"/>
      <sheetName val="比较法-工业"/>
      <sheetName val="基准地价"/>
      <sheetName val="修正"/>
      <sheetName val="区片价"/>
      <sheetName val="区片价-范围"/>
      <sheetName val="容积率修正"/>
      <sheetName val="因素修正幅度"/>
      <sheetName val="地价"/>
      <sheetName val="基准地价（汇总）"/>
      <sheetName val="收益还原法"/>
      <sheetName val="不动产收益法"/>
      <sheetName val="不动产收益法-酒店模型"/>
      <sheetName val="成本逼近法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公服租金案例"/>
      <sheetName val="系统读取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</sheetData>
      <sheetData sheetId="8">
        <row r="1">
          <cell r="A1" t="str">
            <v>用途类型</v>
          </cell>
        </row>
      </sheetData>
      <sheetData sheetId="9"/>
      <sheetData sheetId="10"/>
      <sheetData sheetId="11"/>
      <sheetData sheetId="12"/>
      <sheetData sheetId="13"/>
      <sheetData sheetId="14">
        <row r="17">
          <cell r="C17" t="str">
            <v>项目类型</v>
          </cell>
        </row>
        <row r="23">
          <cell r="F23">
            <v>0</v>
          </cell>
        </row>
      </sheetData>
      <sheetData sheetId="15">
        <row r="6">
          <cell r="L6">
            <v>4500</v>
          </cell>
          <cell r="Q6">
            <v>0.3</v>
          </cell>
        </row>
        <row r="7">
          <cell r="L7">
            <v>4000</v>
          </cell>
          <cell r="Q7">
            <v>0.25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">
          <cell r="B6">
            <v>0</v>
          </cell>
        </row>
      </sheetData>
      <sheetData sheetId="28">
        <row r="61">
          <cell r="A61" t="str">
            <v>交易情况</v>
          </cell>
        </row>
      </sheetData>
      <sheetData sheetId="29"/>
      <sheetData sheetId="30"/>
      <sheetData sheetId="31"/>
      <sheetData sheetId="32">
        <row r="6">
          <cell r="B6">
            <v>0</v>
          </cell>
        </row>
      </sheetData>
      <sheetData sheetId="33">
        <row r="61">
          <cell r="A61" t="str">
            <v>交易情况</v>
          </cell>
        </row>
      </sheetData>
      <sheetData sheetId="34"/>
      <sheetData sheetId="35">
        <row r="6">
          <cell r="B6">
            <v>0</v>
          </cell>
        </row>
      </sheetData>
      <sheetData sheetId="36"/>
      <sheetData sheetId="37">
        <row r="74">
          <cell r="A74" t="str">
            <v>交易情况</v>
          </cell>
        </row>
      </sheetData>
      <sheetData sheetId="38">
        <row r="71">
          <cell r="B71" t="str">
            <v>用途</v>
          </cell>
        </row>
      </sheetData>
      <sheetData sheetId="39"/>
      <sheetData sheetId="40">
        <row r="8">
          <cell r="A8" t="str">
            <v>通路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62">
          <cell r="A62" t="str">
            <v>交易情况</v>
          </cell>
        </row>
      </sheetData>
      <sheetData sheetId="52">
        <row r="55">
          <cell r="A55" t="str">
            <v>交易情况</v>
          </cell>
        </row>
      </sheetData>
      <sheetData sheetId="53">
        <row r="51">
          <cell r="A51" t="str">
            <v>交易情况</v>
          </cell>
        </row>
      </sheetData>
      <sheetData sheetId="54">
        <row r="49">
          <cell r="A49" t="str">
            <v>交易情况</v>
          </cell>
        </row>
      </sheetData>
      <sheetData sheetId="55">
        <row r="5">
          <cell r="A5">
            <v>0</v>
          </cell>
        </row>
      </sheetData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7"/>
  <sheetViews>
    <sheetView tabSelected="1" topLeftCell="A10" workbookViewId="0">
      <selection activeCell="I26" sqref="I26"/>
    </sheetView>
  </sheetViews>
  <sheetFormatPr defaultColWidth="9" defaultRowHeight="15.75" x14ac:dyDescent="0.15"/>
  <cols>
    <col min="1" max="1" width="10.75" style="17" customWidth="1"/>
    <col min="2" max="2" width="7.5" style="17" customWidth="1"/>
    <col min="3" max="4" width="9" style="17" customWidth="1"/>
    <col min="5" max="5" width="7.625" style="17" customWidth="1"/>
    <col min="6" max="7" width="7.75" style="17" customWidth="1"/>
    <col min="8" max="8" width="9.875" style="17" customWidth="1"/>
    <col min="9" max="9" width="14.5" style="18" customWidth="1"/>
    <col min="10" max="10" width="11.375" style="18" customWidth="1"/>
    <col min="11" max="11" width="12.625" style="19" customWidth="1"/>
    <col min="12" max="12" width="9.5" style="17" customWidth="1"/>
    <col min="13" max="13" width="5.625" style="17" customWidth="1"/>
    <col min="14" max="16384" width="9" style="17"/>
  </cols>
  <sheetData>
    <row r="1" spans="1:14" s="1" customFormat="1" ht="14.25" x14ac:dyDescent="0.15">
      <c r="A1" s="58" t="s">
        <v>51</v>
      </c>
      <c r="B1" s="58"/>
      <c r="C1" s="58"/>
      <c r="D1" s="58"/>
      <c r="E1" s="58"/>
      <c r="F1" s="58"/>
      <c r="G1" s="58"/>
      <c r="H1" s="58"/>
      <c r="I1" s="59"/>
      <c r="J1" s="58"/>
      <c r="K1" s="59"/>
    </row>
    <row r="2" spans="1:14" s="1" customFormat="1" ht="36" x14ac:dyDescent="0.15">
      <c r="A2" s="20" t="s">
        <v>0</v>
      </c>
      <c r="B2" s="21" t="s">
        <v>1</v>
      </c>
      <c r="C2" s="22" t="s">
        <v>28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" t="s">
        <v>8</v>
      </c>
      <c r="K2" s="3" t="s">
        <v>9</v>
      </c>
    </row>
    <row r="3" spans="1:14" s="4" customFormat="1" ht="11.25" x14ac:dyDescent="0.15">
      <c r="A3" s="23" t="s">
        <v>10</v>
      </c>
      <c r="B3" s="21">
        <v>13140</v>
      </c>
      <c r="C3" s="21">
        <v>1.1000000000000001</v>
      </c>
      <c r="D3" s="21">
        <v>-22</v>
      </c>
      <c r="E3" s="24">
        <v>1</v>
      </c>
      <c r="F3" s="24">
        <v>1.0609</v>
      </c>
      <c r="G3" s="24">
        <v>1</v>
      </c>
      <c r="H3" s="24">
        <v>1.0790999999999999</v>
      </c>
      <c r="I3" s="24">
        <v>1.0349999999999999</v>
      </c>
      <c r="J3" s="10">
        <f>ROUND((B3*C3+D3)*E3*F3*G3*H3*I3,0)</f>
        <v>17100</v>
      </c>
      <c r="K3" s="25">
        <f t="shared" ref="K3:K10" si="0">J3*0.25</f>
        <v>4275</v>
      </c>
    </row>
    <row r="4" spans="1:14" s="4" customFormat="1" ht="11.25" x14ac:dyDescent="0.15">
      <c r="A4" s="23" t="s">
        <v>29</v>
      </c>
      <c r="B4" s="21">
        <v>10430</v>
      </c>
      <c r="C4" s="21">
        <v>1</v>
      </c>
      <c r="D4" s="21">
        <v>-22</v>
      </c>
      <c r="E4" s="24">
        <v>0.8</v>
      </c>
      <c r="F4" s="24">
        <v>1.0323</v>
      </c>
      <c r="G4" s="24">
        <v>1</v>
      </c>
      <c r="H4" s="24">
        <v>1.0653999999999999</v>
      </c>
      <c r="I4" s="24">
        <v>1.0255000000000001</v>
      </c>
      <c r="J4" s="10">
        <f t="shared" ref="J4:J5" si="1">ROUND((B4*C4+D4)*E4*F4*G4*H4*I4,0)</f>
        <v>9391</v>
      </c>
      <c r="K4" s="25">
        <f t="shared" si="0"/>
        <v>2347.75</v>
      </c>
    </row>
    <row r="5" spans="1:14" s="4" customFormat="1" ht="11.25" x14ac:dyDescent="0.15">
      <c r="A5" s="23" t="s">
        <v>30</v>
      </c>
      <c r="B5" s="21">
        <v>6650</v>
      </c>
      <c r="C5" s="21">
        <v>1</v>
      </c>
      <c r="D5" s="21">
        <v>-28</v>
      </c>
      <c r="E5" s="24">
        <v>1</v>
      </c>
      <c r="F5" s="24">
        <v>1.0213000000000001</v>
      </c>
      <c r="G5" s="24">
        <v>1</v>
      </c>
      <c r="H5" s="24">
        <v>1.0243</v>
      </c>
      <c r="I5" s="24">
        <v>1.026</v>
      </c>
      <c r="J5" s="10">
        <f t="shared" si="1"/>
        <v>7108</v>
      </c>
      <c r="K5" s="25">
        <f t="shared" si="0"/>
        <v>1777</v>
      </c>
    </row>
    <row r="6" spans="1:14" s="1" customFormat="1" ht="14.25" customHeight="1" x14ac:dyDescent="0.15">
      <c r="A6" s="60" t="s">
        <v>12</v>
      </c>
      <c r="B6" s="60"/>
      <c r="C6" s="60"/>
      <c r="D6" s="60"/>
      <c r="E6" s="60"/>
      <c r="F6" s="60"/>
      <c r="G6" s="60"/>
      <c r="H6" s="60"/>
      <c r="I6" s="60"/>
      <c r="J6" s="60" t="s">
        <v>13</v>
      </c>
      <c r="K6" s="60"/>
    </row>
    <row r="7" spans="1:14" s="1" customFormat="1" ht="27" x14ac:dyDescent="0.15">
      <c r="A7" s="20" t="s">
        <v>14</v>
      </c>
      <c r="B7" s="22" t="s">
        <v>15</v>
      </c>
      <c r="C7" s="23" t="s">
        <v>16</v>
      </c>
      <c r="D7" s="23" t="s">
        <v>17</v>
      </c>
      <c r="E7" s="23" t="s">
        <v>18</v>
      </c>
      <c r="F7" s="23" t="s">
        <v>19</v>
      </c>
      <c r="G7" s="23" t="s">
        <v>20</v>
      </c>
      <c r="H7" s="23" t="s">
        <v>21</v>
      </c>
      <c r="I7" s="23" t="s">
        <v>22</v>
      </c>
      <c r="J7" s="2" t="s">
        <v>8</v>
      </c>
      <c r="K7" s="3" t="s">
        <v>9</v>
      </c>
    </row>
    <row r="8" spans="1:14" s="8" customFormat="1" ht="14.25" customHeight="1" x14ac:dyDescent="0.15">
      <c r="A8" s="23" t="s">
        <v>10</v>
      </c>
      <c r="B8" s="21">
        <v>52392</v>
      </c>
      <c r="C8" s="9">
        <f>D25</f>
        <v>55511.61</v>
      </c>
      <c r="D8" s="5"/>
      <c r="E8" s="5"/>
      <c r="F8" s="5"/>
      <c r="G8" s="5"/>
      <c r="H8" s="9"/>
      <c r="I8" s="6">
        <f>B8</f>
        <v>52392</v>
      </c>
      <c r="J8" s="10">
        <v>24784</v>
      </c>
      <c r="K8" s="7">
        <f t="shared" si="0"/>
        <v>6196</v>
      </c>
    </row>
    <row r="9" spans="1:14" s="8" customFormat="1" ht="14.25" x14ac:dyDescent="0.15">
      <c r="A9" s="23" t="s">
        <v>29</v>
      </c>
      <c r="B9" s="21">
        <v>32894</v>
      </c>
      <c r="C9" s="26"/>
      <c r="D9" s="5"/>
      <c r="E9" s="5"/>
      <c r="F9" s="5"/>
      <c r="G9" s="5"/>
      <c r="H9" s="26"/>
      <c r="I9" s="6">
        <f t="shared" ref="I9:I10" si="2">B9</f>
        <v>32894</v>
      </c>
      <c r="J9" s="10">
        <v>15024</v>
      </c>
      <c r="K9" s="7">
        <f t="shared" si="0"/>
        <v>3756</v>
      </c>
    </row>
    <row r="10" spans="1:14" s="8" customFormat="1" ht="14.25" x14ac:dyDescent="0.15">
      <c r="A10" s="23" t="s">
        <v>30</v>
      </c>
      <c r="B10" s="21">
        <v>16867</v>
      </c>
      <c r="C10" s="27"/>
      <c r="D10" s="21"/>
      <c r="E10" s="27"/>
      <c r="F10" s="27"/>
      <c r="G10" s="27"/>
      <c r="H10" s="27"/>
      <c r="I10" s="6">
        <f t="shared" si="2"/>
        <v>16867</v>
      </c>
      <c r="J10" s="10">
        <v>6765</v>
      </c>
      <c r="K10" s="7">
        <f t="shared" si="0"/>
        <v>1691.25</v>
      </c>
    </row>
    <row r="11" spans="1:14" s="1" customFormat="1" ht="14.25" x14ac:dyDescent="0.15">
      <c r="A11" s="49"/>
      <c r="B11" s="50"/>
      <c r="C11" s="50"/>
      <c r="D11" s="50"/>
      <c r="E11" s="50"/>
      <c r="F11" s="50"/>
      <c r="G11" s="50"/>
      <c r="H11" s="50"/>
      <c r="I11" s="51"/>
      <c r="J11" s="60" t="s">
        <v>13</v>
      </c>
      <c r="K11" s="60"/>
    </row>
    <row r="12" spans="1:14" s="1" customFormat="1" ht="31.5" x14ac:dyDescent="0.15">
      <c r="A12" s="20" t="s">
        <v>31</v>
      </c>
      <c r="B12" s="23" t="s">
        <v>32</v>
      </c>
      <c r="C12" s="23" t="s">
        <v>33</v>
      </c>
      <c r="D12" s="23" t="s">
        <v>34</v>
      </c>
      <c r="E12" s="23"/>
      <c r="F12" s="23"/>
      <c r="G12" s="23"/>
      <c r="H12" s="23"/>
      <c r="I12" s="23"/>
      <c r="J12" s="2" t="s">
        <v>8</v>
      </c>
      <c r="K12" s="3" t="s">
        <v>9</v>
      </c>
    </row>
    <row r="13" spans="1:14" s="1" customFormat="1" ht="14.25" hidden="1" x14ac:dyDescent="0.15">
      <c r="A13" s="23" t="s">
        <v>10</v>
      </c>
      <c r="B13" s="5">
        <v>0</v>
      </c>
      <c r="C13" s="9">
        <f>H13</f>
        <v>0</v>
      </c>
      <c r="D13" s="5">
        <v>0</v>
      </c>
      <c r="E13" s="5">
        <v>0</v>
      </c>
      <c r="F13" s="5">
        <v>0</v>
      </c>
      <c r="G13" s="5">
        <v>0</v>
      </c>
      <c r="H13" s="9">
        <f>'[1]数据-汇总表'!F23</f>
        <v>0</v>
      </c>
      <c r="I13" s="6">
        <f>B13</f>
        <v>0</v>
      </c>
      <c r="J13" s="10">
        <f>'[1]剩余法住宅(待)'!B6</f>
        <v>0</v>
      </c>
      <c r="K13" s="7">
        <f t="shared" ref="K13:K15" si="3">J13*0.25</f>
        <v>0</v>
      </c>
      <c r="L13" s="14"/>
      <c r="M13" s="14"/>
    </row>
    <row r="14" spans="1:14" s="1" customFormat="1" ht="14.25" hidden="1" x14ac:dyDescent="0.15">
      <c r="A14" s="23" t="s">
        <v>29</v>
      </c>
      <c r="B14" s="5">
        <v>0</v>
      </c>
      <c r="C14" s="26">
        <v>0</v>
      </c>
      <c r="D14" s="5">
        <v>0</v>
      </c>
      <c r="E14" s="5">
        <v>0</v>
      </c>
      <c r="F14" s="5">
        <v>0</v>
      </c>
      <c r="G14" s="5">
        <v>0</v>
      </c>
      <c r="H14" s="26">
        <v>0</v>
      </c>
      <c r="I14" s="6">
        <f t="shared" ref="I14" si="4">B14</f>
        <v>0</v>
      </c>
      <c r="J14" s="10">
        <f>'[1]剩余法商业(待)'!B6</f>
        <v>0</v>
      </c>
      <c r="K14" s="7">
        <f t="shared" si="3"/>
        <v>0</v>
      </c>
      <c r="L14" s="14"/>
      <c r="M14" s="14"/>
    </row>
    <row r="15" spans="1:14" s="1" customFormat="1" ht="14.25" x14ac:dyDescent="0.15">
      <c r="A15" s="23" t="s">
        <v>11</v>
      </c>
      <c r="B15" s="5">
        <v>0</v>
      </c>
      <c r="C15" s="28">
        <v>0</v>
      </c>
      <c r="D15" s="29">
        <v>0</v>
      </c>
      <c r="E15" s="27"/>
      <c r="F15" s="27"/>
      <c r="G15" s="27"/>
      <c r="H15" s="27"/>
      <c r="I15" s="6"/>
      <c r="J15" s="10">
        <f>'[1]剩余法公服(待)'!B6</f>
        <v>0</v>
      </c>
      <c r="K15" s="7">
        <f t="shared" si="3"/>
        <v>0</v>
      </c>
      <c r="N15" s="15"/>
    </row>
    <row r="16" spans="1:14" s="1" customFormat="1" ht="18" x14ac:dyDescent="0.15">
      <c r="A16" s="11" t="s">
        <v>23</v>
      </c>
      <c r="B16" s="30" t="s">
        <v>35</v>
      </c>
      <c r="C16" s="30" t="s">
        <v>36</v>
      </c>
      <c r="D16" s="30" t="s">
        <v>37</v>
      </c>
      <c r="E16" s="30" t="s">
        <v>36</v>
      </c>
      <c r="F16" s="30" t="s">
        <v>38</v>
      </c>
      <c r="G16" s="30" t="s">
        <v>36</v>
      </c>
      <c r="H16" s="30" t="s">
        <v>39</v>
      </c>
      <c r="I16" s="30" t="s">
        <v>40</v>
      </c>
      <c r="J16" s="30" t="s">
        <v>41</v>
      </c>
      <c r="K16" s="30" t="s">
        <v>42</v>
      </c>
    </row>
    <row r="17" spans="1:58" s="1" customFormat="1" ht="14.25" x14ac:dyDescent="0.15">
      <c r="A17" s="23" t="s">
        <v>10</v>
      </c>
      <c r="B17" s="12">
        <f>J3</f>
        <v>17100</v>
      </c>
      <c r="C17" s="28">
        <v>0.3</v>
      </c>
      <c r="D17" s="31">
        <f>J8</f>
        <v>24784</v>
      </c>
      <c r="E17" s="32">
        <f>1-C17</f>
        <v>0.7</v>
      </c>
      <c r="F17" s="21"/>
      <c r="G17" s="32"/>
      <c r="H17" s="33">
        <f>C8</f>
        <v>55511.61</v>
      </c>
      <c r="I17" s="43">
        <f>ROUND(J17*H17/10000,4)</f>
        <v>124784.5481</v>
      </c>
      <c r="J17" s="10">
        <f>ROUND(B17*C17+D17*E17,0)</f>
        <v>22479</v>
      </c>
      <c r="K17" s="13">
        <f>ROUND(J17*0.25,0)</f>
        <v>5620</v>
      </c>
    </row>
    <row r="18" spans="1:58" s="1" customFormat="1" ht="14.25" x14ac:dyDescent="0.15">
      <c r="A18" s="23" t="s">
        <v>29</v>
      </c>
      <c r="B18" s="12">
        <f>J4</f>
        <v>9391</v>
      </c>
      <c r="C18" s="28">
        <v>0.3</v>
      </c>
      <c r="D18" s="31">
        <f>J9</f>
        <v>15024</v>
      </c>
      <c r="E18" s="32">
        <f t="shared" ref="E18:E19" si="5">1-C18</f>
        <v>0.7</v>
      </c>
      <c r="F18" s="21"/>
      <c r="G18" s="32"/>
      <c r="H18" s="27"/>
      <c r="I18" s="43">
        <v>0</v>
      </c>
      <c r="J18" s="10">
        <f>ROUND(B18*C18+D18*E18,0)</f>
        <v>13334</v>
      </c>
      <c r="K18" s="13">
        <f>ROUND(J18*0.25,0)</f>
        <v>3334</v>
      </c>
    </row>
    <row r="19" spans="1:58" s="1" customFormat="1" ht="14.25" x14ac:dyDescent="0.15">
      <c r="A19" s="23" t="s">
        <v>30</v>
      </c>
      <c r="B19" s="12">
        <f>J5</f>
        <v>7108</v>
      </c>
      <c r="C19" s="28">
        <v>0.5</v>
      </c>
      <c r="D19" s="31">
        <f>J10</f>
        <v>6765</v>
      </c>
      <c r="E19" s="32">
        <f t="shared" si="5"/>
        <v>0.5</v>
      </c>
      <c r="F19" s="21"/>
      <c r="G19" s="32"/>
      <c r="H19" s="27"/>
      <c r="I19" s="43">
        <f>ROUND(J19*H19/10000,2)</f>
        <v>0</v>
      </c>
      <c r="J19" s="10">
        <f>ROUND(B19*C19+D19*E19,0)</f>
        <v>6937</v>
      </c>
      <c r="K19" s="13">
        <f>ROUND(J19*0.25,0)</f>
        <v>1734</v>
      </c>
    </row>
    <row r="20" spans="1:58" s="16" customFormat="1" x14ac:dyDescent="0.15">
      <c r="A20" s="34" t="s">
        <v>24</v>
      </c>
      <c r="B20" s="35"/>
      <c r="C20" s="35"/>
      <c r="D20" s="35"/>
      <c r="E20" s="35"/>
      <c r="F20" s="35"/>
      <c r="G20" s="35"/>
      <c r="H20" s="35"/>
      <c r="I20" s="44">
        <f>I17+I19</f>
        <v>124784.5481</v>
      </c>
      <c r="J20" s="35"/>
      <c r="K20" s="36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</row>
    <row r="21" spans="1:58" x14ac:dyDescent="0.15">
      <c r="A21" s="23" t="s">
        <v>25</v>
      </c>
      <c r="B21" s="37"/>
      <c r="C21" s="37"/>
      <c r="D21" s="37"/>
      <c r="E21" s="37"/>
      <c r="F21" s="37"/>
      <c r="G21" s="37"/>
      <c r="H21" s="37"/>
      <c r="I21" s="43">
        <f>ROUND(K17*H17/10000,4)+ROUND(K19*H19/10000,4)</f>
        <v>31197.524799999999</v>
      </c>
      <c r="J21" s="37"/>
      <c r="K21" s="38"/>
    </row>
    <row r="22" spans="1:58" x14ac:dyDescent="0.15">
      <c r="A22" s="23" t="s">
        <v>26</v>
      </c>
      <c r="B22" s="37"/>
      <c r="C22" s="37"/>
      <c r="D22" s="37"/>
      <c r="E22" s="37"/>
      <c r="F22" s="37"/>
      <c r="G22" s="37"/>
      <c r="H22" s="37"/>
      <c r="I22" s="45">
        <v>95286.97</v>
      </c>
      <c r="J22" s="37"/>
      <c r="K22" s="38"/>
    </row>
    <row r="23" spans="1:58" x14ac:dyDescent="0.15">
      <c r="A23" s="23" t="s">
        <v>27</v>
      </c>
      <c r="B23" s="37"/>
      <c r="C23" s="37"/>
      <c r="D23" s="37"/>
      <c r="E23" s="37"/>
      <c r="F23" s="37"/>
      <c r="G23" s="37"/>
      <c r="H23" s="37"/>
      <c r="I23" s="43">
        <f>I21+I22</f>
        <v>126484.4948</v>
      </c>
      <c r="J23" s="37"/>
      <c r="K23" s="38"/>
    </row>
    <row r="24" spans="1:58" x14ac:dyDescent="0.15">
      <c r="A24" s="46" t="s">
        <v>43</v>
      </c>
      <c r="B24" s="46"/>
      <c r="C24" s="46"/>
      <c r="D24" s="9">
        <v>56811.61</v>
      </c>
      <c r="E24" s="42"/>
      <c r="F24" s="52" t="s">
        <v>37</v>
      </c>
      <c r="G24" s="23" t="s">
        <v>10</v>
      </c>
      <c r="H24" s="55" t="s">
        <v>44</v>
      </c>
      <c r="I24" s="39">
        <f>'[1]数据-取费表'!L6</f>
        <v>4500</v>
      </c>
      <c r="J24" s="55" t="s">
        <v>45</v>
      </c>
      <c r="K24" s="40">
        <f>'[1]数据-取费表'!Q6</f>
        <v>0.3</v>
      </c>
    </row>
    <row r="25" spans="1:58" x14ac:dyDescent="0.15">
      <c r="A25" s="46" t="s">
        <v>46</v>
      </c>
      <c r="B25" s="46"/>
      <c r="C25" s="46"/>
      <c r="D25" s="9">
        <f>D24-D26-D27</f>
        <v>55511.61</v>
      </c>
      <c r="E25" s="42"/>
      <c r="F25" s="53"/>
      <c r="G25" s="23" t="s">
        <v>29</v>
      </c>
      <c r="H25" s="56"/>
      <c r="I25" s="39">
        <f>'[1]数据-取费表'!L7</f>
        <v>4000</v>
      </c>
      <c r="J25" s="56"/>
      <c r="K25" s="40">
        <f>'[1]数据-取费表'!Q7</f>
        <v>0.25</v>
      </c>
    </row>
    <row r="26" spans="1:58" x14ac:dyDescent="0.15">
      <c r="A26" s="46" t="s">
        <v>47</v>
      </c>
      <c r="B26" s="46"/>
      <c r="C26" s="46"/>
      <c r="D26" s="9">
        <v>1000</v>
      </c>
      <c r="E26" s="42"/>
      <c r="F26" s="54"/>
      <c r="G26" s="23" t="s">
        <v>30</v>
      </c>
      <c r="H26" s="57"/>
      <c r="I26" s="39">
        <v>4000</v>
      </c>
      <c r="J26" s="57"/>
      <c r="K26" s="40">
        <v>0.15</v>
      </c>
    </row>
    <row r="27" spans="1:58" x14ac:dyDescent="0.15">
      <c r="A27" s="46" t="s">
        <v>48</v>
      </c>
      <c r="B27" s="46"/>
      <c r="C27" s="46"/>
      <c r="D27" s="9">
        <v>300</v>
      </c>
      <c r="E27" s="42"/>
      <c r="F27" s="47" t="s">
        <v>49</v>
      </c>
      <c r="G27" s="48"/>
      <c r="H27" s="49" t="s">
        <v>50</v>
      </c>
      <c r="I27" s="50"/>
      <c r="J27" s="50"/>
      <c r="K27" s="51"/>
    </row>
  </sheetData>
  <mergeCells count="14">
    <mergeCell ref="A1:K1"/>
    <mergeCell ref="A6:I6"/>
    <mergeCell ref="J6:K6"/>
    <mergeCell ref="A11:I11"/>
    <mergeCell ref="J11:K11"/>
    <mergeCell ref="A27:C27"/>
    <mergeCell ref="F27:G27"/>
    <mergeCell ref="H27:K27"/>
    <mergeCell ref="A24:C24"/>
    <mergeCell ref="F24:F26"/>
    <mergeCell ref="H24:H26"/>
    <mergeCell ref="J24:J26"/>
    <mergeCell ref="A25:C25"/>
    <mergeCell ref="A26:C26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"/>
    </sheetView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2023-04-13T10:26:52Z</dcterms:modified>
</cp:coreProperties>
</file>